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'1.tab.'!$F:$J</definedName>
    <definedName name="_xlnm.Print_Area" localSheetId="11">'11.tabula'!$A$1:$F$62</definedName>
    <definedName name="_xlnm.Print_Area" localSheetId="12">'12.tabula'!$A$1:$E$59</definedName>
    <definedName name="_xlnm.Print_Area" localSheetId="13">'13.tabula'!$A$1:$F$48</definedName>
    <definedName name="_xlnm.Print_Area" localSheetId="14">'14.tabula'!$A$1:$E$47</definedName>
    <definedName name="_xlnm.Print_Area" localSheetId="15">'15.tabula'!$A$1:$E$34</definedName>
    <definedName name="_xlnm.Print_Area" localSheetId="16">'16.tabula'!$A$1:$E$49</definedName>
    <definedName name="_xlnm.Print_Area" localSheetId="2">'2.tab.'!$A$1:$Y$45</definedName>
    <definedName name="_xlnm.Print_Area" localSheetId="3">'3.tab.'!$A$1:$N$121</definedName>
    <definedName name="_xlnm.Print_Area" localSheetId="7">'7.tab.'!$A$1:$J$44</definedName>
    <definedName name="_xlnm.Print_Titles" localSheetId="11">'11.tabula'!$5:$6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<sst xmlns="http://schemas.openxmlformats.org/spreadsheetml/2006/main" count="2379" uniqueCount="746">
  <si>
    <t>Valsts kases pārvaldnieka v.I.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</si>
  <si>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</si>
  <si>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</si>
  <si>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</si>
  <si>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jūlijs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</si>
  <si>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</si>
  <si>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</si>
  <si>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</si>
  <si>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</si>
  <si>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</si>
  <si>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</si>
  <si>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</si>
  <si>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</si>
  <si>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</si>
  <si>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</si>
  <si>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</si>
  <si>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>Valsts kases oficiālais mēneša pārskats par valsts kopbudžeta izpildi
(2000. gada janvāris - jūlijs)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</si>
  <si>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</si>
  <si>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</si>
  <si>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</si>
  <si>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</si>
  <si>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</si>
  <si>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Jūlija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</si>
  <si>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</si>
  <si>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</si>
  <si>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</si>
  <si>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</si>
  <si>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</si>
  <si>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</si>
  <si>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</si>
  <si>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</si>
  <si>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</si>
  <si>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</si>
  <si>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</si>
  <si>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</si>
  <si>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</si>
  <si>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</si>
  <si>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</si>
  <si>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</si>
  <si>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</si>
  <si>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</si>
  <si>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</si>
  <si>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</si>
  <si>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</si>
  <si>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</si>
  <si>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</si>
  <si>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</si>
  <si>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</si>
  <si>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</si>
  <si>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</si>
  <si>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</si>
  <si>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</si>
  <si>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</si>
  <si>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</si>
  <si>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</si>
  <si>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</si>
  <si>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</si>
  <si>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pārvaldnieka v.i.                                                                V. Lindemanis</t>
  </si>
  <si>
    <t>Valsts kase/Pārskatu departaments</t>
  </si>
  <si>
    <t>2000.gada 15.augusts</t>
  </si>
  <si>
    <t xml:space="preserve">Valsts kases oficiālais mēneša pārskats 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</si>
  <si>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</si>
  <si>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</si>
  <si>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</si>
  <si>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janvāris-jūlijs)</t>
  </si>
  <si>
    <t>kopā ar ārvalstu  finansu palīdzību</t>
  </si>
  <si>
    <t>(latos)</t>
  </si>
  <si>
    <t>(tūkst.latu)</t>
  </si>
  <si>
    <t>Likumā apstiprinātais gada plāns</t>
  </si>
  <si>
    <t xml:space="preserve">Finansēšanas plāns pārskata periodam </t>
  </si>
  <si>
    <t>Izpilde no gada sākuma</t>
  </si>
  <si>
    <t>Izpilde % pret gada plānu (4/2)</t>
  </si>
  <si>
    <t>Izpilde % pret finansēša-nas plānu pārskata periodam 
  (4/3)</t>
  </si>
  <si>
    <t>Jūnija izpilde</t>
  </si>
  <si>
    <t>Izpilde % pret finansēšanas plānu pārskata periodam 
  (4/3)</t>
  </si>
  <si>
    <t>mēneša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</si>
  <si>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</si>
  <si>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</si>
  <si>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</si>
  <si>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</si>
  <si>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</si>
  <si>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</si>
  <si>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</si>
  <si>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</si>
  <si>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</si>
  <si>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</si>
  <si>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</si>
  <si>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</si>
  <si>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</si>
  <si>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</si>
  <si>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</si>
  <si>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</si>
  <si>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</si>
  <si>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</si>
  <si>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</si>
  <si>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</si>
  <si>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</si>
  <si>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</si>
  <si>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</si>
  <si>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</si>
  <si>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</si>
  <si>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</si>
  <si>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</si>
  <si>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</si>
  <si>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</si>
  <si>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</si>
  <si>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reformu lietās 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</si>
  <si>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</si>
  <si>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</si>
  <si>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</si>
  <si>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</si>
  <si>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</si>
  <si>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Valsts kases pārvaldnieks _________________________________________ (A.Veiss)</t>
  </si>
  <si>
    <t>Valsts kases pārvaldnieka v.i._________________________________(V.Lindemanis)</t>
  </si>
  <si>
    <t>Valsts kase / Pārskatu departaments</t>
  </si>
  <si>
    <t>2000. gada 15.augusts</t>
  </si>
  <si>
    <t>2.tabula</t>
  </si>
  <si>
    <t>Valsts kases oficiālais mēneša pārskats</t>
  </si>
  <si>
    <t xml:space="preserve">                    Valsts kases oficiālais mēneša pārskats</t>
  </si>
  <si>
    <t>Valsts pamatbudžeta ieņēmumi (2000.gada janvāris- jūlijs )</t>
  </si>
  <si>
    <t>Gada sagaidāmā izpilde %</t>
  </si>
  <si>
    <t>Izpilde % pret gada plānu            (4/2)</t>
  </si>
  <si>
    <t xml:space="preserve">Izpilde no gada sākuma </t>
  </si>
  <si>
    <t>jūlijs</t>
  </si>
  <si>
    <t>jūnijs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</si>
  <si>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</si>
  <si>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</si>
  <si>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</si>
  <si>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</si>
  <si>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</si>
  <si>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</si>
  <si>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</si>
  <si>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</si>
  <si>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</si>
  <si>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</si>
  <si>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</si>
  <si>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</si>
  <si>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</si>
  <si>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</si>
  <si>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>Speciāliem mērķiem paredzētās nodevas</t>
  </si>
  <si>
    <t xml:space="preserve">   Speciāliem mērķiem paredzētās nodevas</t>
  </si>
  <si>
    <t xml:space="preserve">   Ienākumi no valsts īpašuma iznomāšanas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</si>
  <si>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</si>
  <si>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</si>
  <si>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</si>
  <si>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</si>
  <si>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</si>
  <si>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</si>
  <si>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</si>
  <si>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</si>
  <si>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</si>
  <si>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</si>
  <si>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>1.4. Ārvalstu finansu palīdzība</t>
  </si>
  <si>
    <t>1.4. Ārvalstu finansu palīdzība ***</t>
  </si>
  <si>
    <t>* - ieskaitot nodokli no īpašuma - 759005.52 latu</t>
  </si>
  <si>
    <t>* - ieskaitot nodokli no īpašuma - 759 tūkst. latu</t>
  </si>
  <si>
    <t>** - ieskaitot procentus par valsts depozītu - 2233327.65  latu</t>
  </si>
  <si>
    <t>** - ieskaitot procentus par valsts depozītu - 2 233 tūkst. latu</t>
  </si>
  <si>
    <t xml:space="preserve">                    Valsts kases pārvaldnieks________________________________________(A.Veiss)</t>
  </si>
  <si>
    <t>Valsts kases pārvaldnieks________________________________________(A.Veiss)</t>
  </si>
  <si>
    <t>2000.gada 15. augusts</t>
  </si>
  <si>
    <t>2000.gada 15. Augusts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</si>
  <si>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</si>
  <si>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</si>
  <si>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</si>
  <si>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jūlijs)</t>
  </si>
  <si>
    <t>Izpilde  % pret gada plānu         (3/2)</t>
  </si>
  <si>
    <t xml:space="preserve">Janvāra  izpilde </t>
  </si>
  <si>
    <t xml:space="preserve">Jūlija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</si>
  <si>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</si>
  <si>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</si>
  <si>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</si>
  <si>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</si>
  <si>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</si>
  <si>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</si>
  <si>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</si>
  <si>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</si>
  <si>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</si>
  <si>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</si>
  <si>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</si>
  <si>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</si>
  <si>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</si>
  <si>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</si>
  <si>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</si>
  <si>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</si>
  <si>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</si>
  <si>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</si>
  <si>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</si>
  <si>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</si>
  <si>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</si>
  <si>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</si>
  <si>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</si>
  <si>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</si>
  <si>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</si>
  <si>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</si>
  <si>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</si>
  <si>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</si>
  <si>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</si>
  <si>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</si>
  <si>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</si>
  <si>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</si>
  <si>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</si>
  <si>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</si>
  <si>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</si>
  <si>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</si>
  <si>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</si>
  <si>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</si>
  <si>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</si>
  <si>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</si>
  <si>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</si>
  <si>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</si>
  <si>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</si>
  <si>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</si>
  <si>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</si>
  <si>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</si>
  <si>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</si>
  <si>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</si>
  <si>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</si>
  <si>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</si>
  <si>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</si>
  <si>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</si>
  <si>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</si>
  <si>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</si>
  <si>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</si>
  <si>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</si>
  <si>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</si>
  <si>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</si>
  <si>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</si>
  <si>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</si>
  <si>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</si>
  <si>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</si>
  <si>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</si>
  <si>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</si>
  <si>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</si>
  <si>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pārvaldnieka v.i. ______________________________  (V. Lindemanis)                                                                    </t>
  </si>
  <si>
    <t xml:space="preserve">Valsts kases pārvaldnieks ______________________________  (A.Veiss)                                                                    </t>
  </si>
  <si>
    <t>4.tabula</t>
  </si>
  <si>
    <t xml:space="preserve">           Valsts kases oficiālais mēneša pārskats</t>
  </si>
  <si>
    <t xml:space="preserve">Valsts pamatbudžeta ieņēmumu un izdevumu atšifrējums </t>
  </si>
  <si>
    <t xml:space="preserve">Valsts pamatbudžeta ieņēmumi un izdevumi  </t>
  </si>
  <si>
    <t>pēc ekonomiskās klasifikācijas</t>
  </si>
  <si>
    <t>(2000.gada janvāris - jūlijs )</t>
  </si>
  <si>
    <t>Finansēšanas plāns pārskata periodam</t>
  </si>
  <si>
    <t>Izpilde % pret gada plānu      (4/2)</t>
  </si>
  <si>
    <t>Izpilde % pret finansēšanas plānu pārskata periodam       (4/3)</t>
  </si>
  <si>
    <t>Jūlija  izpilde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</si>
  <si>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</si>
  <si>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</si>
  <si>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</si>
  <si>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</si>
  <si>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</si>
  <si>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</si>
  <si>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</si>
  <si>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</si>
  <si>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</si>
  <si>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</si>
  <si>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</si>
  <si>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</si>
  <si>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</si>
  <si>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</si>
  <si>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</si>
  <si>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</si>
  <si>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</si>
  <si>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</si>
  <si>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</si>
  <si>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</si>
  <si>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</si>
  <si>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</si>
  <si>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</si>
  <si>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</si>
  <si>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</si>
  <si>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t.sk.speciālajam budžetam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</si>
  <si>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</si>
  <si>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</si>
  <si>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</si>
  <si>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</si>
  <si>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</si>
  <si>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</si>
  <si>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</si>
  <si>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</si>
  <si>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</si>
  <si>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</si>
  <si>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</si>
  <si>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</si>
  <si>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</si>
  <si>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</si>
  <si>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</si>
  <si>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</si>
  <si>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</si>
  <si>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</si>
  <si>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</si>
  <si>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X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</si>
  <si>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</si>
  <si>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</si>
  <si>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</si>
  <si>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</si>
  <si>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</si>
  <si>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</si>
  <si>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</si>
  <si>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</si>
  <si>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</si>
  <si>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</si>
  <si>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Valsts kases pārvaldnieks _______________________________________ (A.Veiss)</t>
  </si>
  <si>
    <t>2000.gada 15.augustā</t>
  </si>
  <si>
    <t>5.tabula</t>
  </si>
  <si>
    <t xml:space="preserve">             Valsts kases oficiālais mēneša pārskats</t>
  </si>
  <si>
    <t xml:space="preserve">Valsts speciālā budžeta ieņēmumi un izdevumi pa ministrijām </t>
  </si>
  <si>
    <t>(2000.gada  janvāris -jūlijs )</t>
  </si>
  <si>
    <t>latos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</si>
  <si>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</si>
  <si>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</si>
  <si>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</si>
  <si>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</si>
  <si>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</si>
  <si>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</si>
  <si>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</si>
  <si>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</si>
  <si>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</si>
  <si>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</si>
  <si>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</si>
  <si>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</si>
  <si>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Aizņēmums no pamatbudžeta *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</si>
  <si>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</si>
  <si>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</si>
  <si>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</si>
  <si>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</si>
  <si>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</si>
  <si>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</si>
  <si>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</si>
  <si>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</si>
  <si>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</si>
  <si>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</si>
  <si>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</si>
  <si>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</si>
  <si>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</si>
  <si>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</si>
  <si>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</si>
  <si>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</si>
  <si>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</si>
  <si>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</si>
  <si>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</si>
  <si>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</si>
  <si>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</si>
  <si>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</si>
  <si>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</si>
  <si>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</si>
  <si>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</si>
  <si>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</si>
  <si>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</si>
  <si>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</si>
  <si>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Ostu attīstības fonds</t>
  </si>
  <si>
    <t xml:space="preserve">    Ostas un kuģošanas nodeva</t>
  </si>
  <si>
    <t>Izlidošanas nodeva</t>
  </si>
  <si>
    <t xml:space="preserve">        Aizņēmums no pamatbudžeta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</si>
  <si>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</si>
  <si>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</si>
  <si>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</si>
  <si>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</si>
  <si>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</si>
  <si>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</si>
  <si>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</si>
  <si>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</si>
  <si>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</si>
  <si>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</si>
  <si>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</si>
  <si>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</si>
  <si>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</si>
  <si>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</si>
  <si>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</si>
  <si>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</si>
  <si>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</si>
  <si>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</si>
  <si>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</si>
  <si>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</si>
  <si>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</si>
  <si>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</si>
  <si>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</si>
  <si>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</si>
  <si>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</si>
  <si>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t>* izpildē no gada sākuma uzrādīta no gada sākuma aizdotā summa ( izņemot tīros neto aizdevumus Labklājības ministrijas veselības speciālajam budžetam par 1 825 tūkst.latu, iedzīvotāju ienākuma nodoķļa kompensāciju un sociālās apdrošināšanas speciālos budžetus par noslēgtā overdrafta līgumu - 28 798 tūkst.latu.)  )</t>
  </si>
  <si>
    <r>
      <t xml:space="preserve">** </t>
    </r>
    <r>
      <rPr>
        <i/>
        <sz val="10"/>
        <rFont val="Arial"/>
        <family val="2"/>
      </rPr>
      <t>konsolidēts par sociālās apdrošināšanas iekšējiem pārskaitījumiem      16 673  (tūkst.latu)</t>
    </r>
  </si>
  <si>
    <t>Valsts kases pārvaldnieka v.i. _______________________________________  (V.Lindemanis)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</si>
  <si>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</si>
  <si>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</si>
  <si>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</si>
  <si>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</si>
  <si>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(2000.gada janvāris - jūlijs)</t>
  </si>
  <si>
    <t>lati</t>
  </si>
  <si>
    <t>Izpilde % pret finansē-šanas plānu pārskata periodam           (4/3)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</si>
  <si>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</si>
  <si>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</si>
  <si>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</si>
  <si>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</si>
  <si>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Ārvalstu finansu palīdzība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</si>
  <si>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</si>
  <si>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</si>
  <si>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</si>
  <si>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</si>
  <si>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dotācijas iedzīvotājiem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</si>
  <si>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</si>
  <si>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</si>
  <si>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</si>
  <si>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</si>
  <si>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</si>
  <si>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</si>
  <si>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</si>
  <si>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</si>
  <si>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Valsts speciālā budžeta naudas līdzekļu atlikumu izmaiņas palielinājums (-) vai samazinājums (+)</t>
  </si>
  <si>
    <t>Valsts kases pārvaldnieka v.I. _______________________________________ (V.Lindemanis)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</si>
  <si>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</si>
  <si>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</si>
  <si>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</si>
  <si>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</si>
  <si>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 jūlijs)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</si>
  <si>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</si>
  <si>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</si>
  <si>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</si>
  <si>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  *</t>
  </si>
  <si>
    <t xml:space="preserve">   no ārvalstu juridiskajām un fiziskajām personām  *</t>
  </si>
  <si>
    <t>2.Izdevumi - kopā (2.1.+2.2.) **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</si>
  <si>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</si>
  <si>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</si>
  <si>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  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</si>
  <si>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</si>
  <si>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</si>
  <si>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</si>
  <si>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</si>
  <si>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</si>
  <si>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</si>
  <si>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</si>
  <si>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Fiskālā bilance (1.-2.)</t>
  </si>
  <si>
    <t>Naudas līdzekļu atlikumu izmaiņas palielinājums (-) vai samazinājums (+)</t>
  </si>
  <si>
    <t>* t.sk .no gada sākuma budžetā neiekļautā  ārvalstu finansu palīdzība   13 483 tūkst.latu</t>
  </si>
  <si>
    <t>** t.sk. no gada sākuma budžetā neiekļautā ārvalstu finansu palīdzība 4 757 tūkst. latu</t>
  </si>
  <si>
    <t>Valsts kases pārvaldnieka _______________________________________ (V.Lindemanis)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</si>
  <si>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</si>
  <si>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</si>
  <si>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</si>
  <si>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</si>
  <si>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jūlijs)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</si>
  <si>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</si>
  <si>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</si>
  <si>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</si>
  <si>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</si>
  <si>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</si>
  <si>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</si>
  <si>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</si>
  <si>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</si>
  <si>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</si>
  <si>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</si>
  <si>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</si>
  <si>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</si>
  <si>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</si>
  <si>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</si>
  <si>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</si>
  <si>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</si>
  <si>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</si>
  <si>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</si>
  <si>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</si>
  <si>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</si>
  <si>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</si>
  <si>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</si>
  <si>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</si>
  <si>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</si>
  <si>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</si>
  <si>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</si>
  <si>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</si>
  <si>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(2000.gada janvāris - jūlijs)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</si>
  <si>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</si>
  <si>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</si>
  <si>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</si>
  <si>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</si>
  <si>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</si>
  <si>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</si>
  <si>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>Valsts kases pārvaldnieka v.i. _________________________________</t>
  </si>
  <si>
    <t>(V.Lindemanis)</t>
  </si>
  <si>
    <t>10. tabula</t>
  </si>
  <si>
    <t>10.tabula</t>
  </si>
  <si>
    <t xml:space="preserve">Ārvalstu finansu palīdzības un valsts budžeta līdzdalības maksājumi </t>
  </si>
  <si>
    <t>(tūkst. latu)</t>
  </si>
  <si>
    <t xml:space="preserve">   1. Ārvalstu finansu palīdzība
un valsts pamatbudžeta 
līdzdalības maksājumi kopā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</si>
  <si>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</si>
  <si>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</si>
  <si>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</si>
  <si>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</si>
  <si>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</si>
  <si>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</si>
  <si>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</si>
  <si>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</si>
  <si>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</si>
  <si>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Valsts kases pārvaldnieka v.i. ________________________________________ (V. Lindemanis)</t>
  </si>
  <si>
    <t>2000. gada 15.augustā</t>
  </si>
  <si>
    <t>11. tabula</t>
  </si>
  <si>
    <t xml:space="preserve">Pašvaldību konsolidētā budžeta izpilde </t>
  </si>
  <si>
    <t xml:space="preserve">   ( 2000. gada  janvāris - jūlijs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</si>
  <si>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</si>
  <si>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</si>
  <si>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</si>
  <si>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</si>
  <si>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</si>
  <si>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</si>
  <si>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</si>
  <si>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</si>
  <si>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</si>
  <si>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</si>
  <si>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</si>
  <si>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</si>
  <si>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</si>
  <si>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</si>
  <si>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</si>
  <si>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</si>
  <si>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</si>
  <si>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</si>
  <si>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</si>
  <si>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</si>
  <si>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</si>
  <si>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</si>
  <si>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</si>
  <si>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</si>
  <si>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</si>
  <si>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</si>
  <si>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</si>
  <si>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</si>
  <si>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</si>
  <si>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</si>
  <si>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</si>
  <si>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</si>
  <si>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</si>
  <si>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</si>
  <si>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</si>
  <si>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</si>
  <si>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</si>
  <si>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</si>
  <si>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</si>
  <si>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</si>
  <si>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</si>
  <si>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</si>
  <si>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</si>
  <si>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pārvaldnieka v.I.                                                            __________________________ </t>
  </si>
  <si>
    <t>V. Lindemanis</t>
  </si>
  <si>
    <t xml:space="preserve">Valsts kase / Pārskatu departaments </t>
  </si>
  <si>
    <t>15.08.00.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</si>
  <si>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</si>
  <si>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</si>
  <si>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</si>
  <si>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</si>
  <si>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jūlijs ) 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</si>
  <si>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</si>
  <si>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</si>
  <si>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</si>
  <si>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</si>
  <si>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</si>
  <si>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</si>
  <si>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</si>
  <si>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</si>
  <si>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</si>
  <si>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</si>
  <si>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</si>
  <si>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</si>
  <si>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</si>
  <si>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</si>
  <si>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</si>
  <si>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</si>
  <si>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</si>
  <si>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</si>
  <si>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</si>
  <si>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</si>
  <si>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</si>
  <si>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</si>
  <si>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</si>
  <si>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</si>
  <si>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</si>
  <si>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</si>
  <si>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</si>
  <si>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</si>
  <si>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</si>
  <si>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</si>
  <si>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</si>
  <si>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</si>
  <si>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</si>
  <si>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1 892 tūkst.latu</t>
  </si>
  <si>
    <t>Valsts kases pārvaldnieka v.I.</t>
  </si>
  <si>
    <t xml:space="preserve">                                           Valsts kases oficiālais mēneša pārskats</t>
  </si>
  <si>
    <t>13. tabula</t>
  </si>
  <si>
    <t xml:space="preserve"> </t>
  </si>
  <si>
    <t xml:space="preserve">Pašvaldību pamatbudžeta izdevumi </t>
  </si>
  <si>
    <t>( 2000. gada  janvāris - jūlijs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</si>
  <si>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</si>
  <si>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</si>
  <si>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</si>
  <si>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</si>
  <si>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</si>
  <si>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</si>
  <si>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</si>
  <si>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</si>
  <si>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</si>
  <si>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</si>
  <si>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</si>
  <si>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</si>
  <si>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</si>
  <si>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</si>
  <si>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</si>
  <si>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</si>
  <si>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</si>
  <si>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</si>
  <si>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</si>
  <si>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</si>
  <si>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77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</si>
  <si>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</si>
  <si>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</si>
  <si>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</si>
  <si>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</si>
  <si>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</si>
  <si>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</si>
  <si>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</si>
  <si>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</si>
  <si>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</si>
  <si>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</si>
  <si>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</si>
  <si>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</si>
  <si>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</si>
  <si>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</si>
  <si>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</si>
  <si>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</si>
  <si>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</si>
  <si>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</si>
  <si>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</si>
  <si>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</si>
  <si>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</si>
  <si>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</si>
  <si>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</si>
  <si>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</si>
  <si>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</si>
  <si>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</si>
  <si>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</si>
  <si>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</si>
  <si>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</si>
  <si>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</si>
  <si>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</si>
  <si>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</si>
  <si>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</si>
  <si>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</si>
  <si>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</si>
  <si>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</si>
  <si>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</si>
  <si>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</si>
  <si>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2 526 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</si>
  <si>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</si>
  <si>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</si>
  <si>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</si>
  <si>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</si>
  <si>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</si>
  <si>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</si>
  <si>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</si>
  <si>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</si>
  <si>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</si>
  <si>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</si>
  <si>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</si>
  <si>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</si>
  <si>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</si>
  <si>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</si>
  <si>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</si>
  <si>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</si>
  <si>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</si>
  <si>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</si>
  <si>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</si>
  <si>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</si>
  <si>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</si>
  <si>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</si>
  <si>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</si>
  <si>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</si>
  <si>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</si>
  <si>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</si>
  <si>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</si>
  <si>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</si>
  <si>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</si>
  <si>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</si>
  <si>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</si>
  <si>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</si>
  <si>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</si>
  <si>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</si>
  <si>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</si>
  <si>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</si>
  <si>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</si>
  <si>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</si>
  <si>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</si>
  <si>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</si>
  <si>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</si>
  <si>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</si>
  <si>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</si>
  <si>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</si>
  <si>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</si>
  <si>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</si>
  <si>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</si>
  <si>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</si>
  <si>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</si>
  <si>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</si>
  <si>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</si>
  <si>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</si>
  <si>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</si>
  <si>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</si>
  <si>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</si>
  <si>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</si>
  <si>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</si>
  <si>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</si>
  <si>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</si>
  <si>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</si>
  <si>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</si>
  <si>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</si>
  <si>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</si>
  <si>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</si>
  <si>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</si>
  <si>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</si>
  <si>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</si>
  <si>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pārvaldnieka v.i. </t>
  </si>
  <si>
    <t>_______________________________</t>
  </si>
  <si>
    <t xml:space="preserve">   V. Lindemanis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</si>
  <si>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</si>
  <si>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</si>
  <si>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</si>
  <si>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</si>
  <si>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</si>
  <si>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</si>
  <si>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</si>
  <si>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</si>
  <si>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</si>
  <si>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</si>
  <si>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</si>
  <si>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</si>
  <si>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</si>
  <si>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</si>
  <si>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</si>
  <si>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</si>
  <si>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jūlijs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</si>
  <si>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</si>
  <si>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</si>
  <si>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</si>
  <si>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</si>
  <si>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</si>
  <si>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</si>
  <si>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</si>
  <si>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</si>
  <si>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</si>
  <si>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</si>
  <si>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</si>
  <si>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augustu (1.- 2.)</t>
  </si>
</sst>
</file>

<file path=xl/styles.xml><?xml version="1.0" encoding="utf-8"?>
<styleSheet xmlns="http://schemas.openxmlformats.org/spreadsheetml/2006/main">
  <numFmts count="6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0"/>
    <numFmt numFmtId="173" formatCode="###0"/>
    <numFmt numFmtId="174" formatCode="#,###%"/>
    <numFmt numFmtId="175" formatCode="###.0%"/>
    <numFmt numFmtId="176" formatCode="0.0%"/>
    <numFmt numFmtId="177" formatCode="###,###,###"/>
    <numFmt numFmtId="178" formatCode="###,###,##0"/>
    <numFmt numFmtId="179" formatCode="###%"/>
    <numFmt numFmtId="180" formatCode="#,###.0%"/>
    <numFmt numFmtId="181" formatCode="###,###"/>
    <numFmt numFmtId="182" formatCode="00.000"/>
    <numFmt numFmtId="183" formatCode="##0.0%"/>
    <numFmt numFmtId="184" formatCode="#,##0\ &quot;LVR&quot;;\-#,##0\ &quot;LVR&quot;"/>
    <numFmt numFmtId="185" formatCode="#,##0\ &quot;LVR&quot;;[Red]\-#,##0\ &quot;LVR&quot;"/>
    <numFmt numFmtId="186" formatCode="#,##0.00\ &quot;LVR&quot;;\-#,##0.00\ &quot;LVR&quot;"/>
    <numFmt numFmtId="187" formatCode="#,##0.00\ &quot;LVR&quot;;[Red]\-#,##0.00\ &quot;LVR&quot;"/>
    <numFmt numFmtId="188" formatCode="_-* #,##0\ &quot;LVR&quot;_-;\-* #,##0\ &quot;LVR&quot;_-;_-* &quot;-&quot;\ &quot;LVR&quot;_-;_-@_-"/>
    <numFmt numFmtId="189" formatCode="_-* #,##0\ _L_V_R_-;\-* #,##0\ _L_V_R_-;_-* &quot;-&quot;\ _L_V_R_-;_-@_-"/>
    <numFmt numFmtId="190" formatCode="_-* #,##0.00\ &quot;LVR&quot;_-;\-* #,##0.00\ &quot;LVR&quot;_-;_-* &quot;-&quot;??\ &quot;LVR&quot;_-;_-@_-"/>
    <numFmt numFmtId="191" formatCode="_-* #,##0.00\ _L_V_R_-;\-* #,##0.00\ _L_V_R_-;_-* &quot;-&quot;??\ _L_V_R_-;_-@_-"/>
    <numFmt numFmtId="192" formatCode="&quot;Ls&quot;#,##0_);\(&quot;Ls&quot;#,##0\)"/>
    <numFmt numFmtId="193" formatCode="&quot;Ls&quot;#,##0_);[Red]\(&quot;Ls&quot;#,##0\)"/>
    <numFmt numFmtId="194" formatCode="&quot;Ls&quot;#,##0.00_);\(&quot;Ls&quot;#,##0.00\)"/>
    <numFmt numFmtId="195" formatCode="&quot;Ls&quot;#,##0.00_);[Red]\(&quot;Ls&quot;#,##0.00\)"/>
    <numFmt numFmtId="196" formatCode="_(&quot;Ls&quot;* #,##0_);_(&quot;Ls&quot;* \(#,##0\);_(&quot;Ls&quot;* &quot;-&quot;_);_(@_)"/>
    <numFmt numFmtId="197" formatCode="_(&quot;Ls&quot;* #,##0.00_);_(&quot;Ls&quot;* \(#,##0.00\);_(&quot;Ls&quot;* &quot;-&quot;??_);_(@_)"/>
    <numFmt numFmtId="198" formatCode="#,###,##0"/>
    <numFmt numFmtId="199" formatCode="#,000"/>
    <numFmt numFmtId="200" formatCode="#,###,000"/>
    <numFmt numFmtId="201" formatCode="#,"/>
    <numFmt numFmtId="202" formatCode="0,"/>
    <numFmt numFmtId="203" formatCode="##0"/>
    <numFmt numFmtId="204" formatCode="#0,"/>
    <numFmt numFmtId="205" formatCode="#,#00"/>
    <numFmt numFmtId="206" formatCode="#."/>
    <numFmt numFmtId="207" formatCode="##0,"/>
    <numFmt numFmtId="208" formatCode="##0,###"/>
    <numFmt numFmtId="209" formatCode="#,###"/>
    <numFmt numFmtId="210" formatCode="\ #,"/>
    <numFmt numFmtId="211" formatCode="\ #"/>
    <numFmt numFmtId="212" formatCode="#,###,000.0"/>
    <numFmt numFmtId="213" formatCode="_(* #,##0.000_);_(* \(#,##0.000\);_(* &quot;-&quot;??_);_(@_)"/>
    <numFmt numFmtId="214" formatCode="_(* #,##0.0_);_(* \(#,##0.0\);_(* &quot;-&quot;??_);_(@_)"/>
    <numFmt numFmtId="215" formatCode="_(* #,##0_);_(* \(#,##0\);_(* &quot;-&quot;??_);_(@_)"/>
    <numFmt numFmtId="216" formatCode="#\ ###\ ##0"/>
    <numFmt numFmtId="217" formatCode="#\ ###\ \ ##0"/>
    <numFmt numFmtId="218" formatCode="###,##0,"/>
    <numFmt numFmtId="219" formatCode="#,###,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 horizontal="center" wrapText="1"/>
    </xf>
    <xf numFmtId="172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wrapText="1"/>
    </xf>
    <xf numFmtId="172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3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 wrapText="1"/>
    </xf>
    <xf numFmtId="172" fontId="3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3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4" fontId="8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75" fontId="8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3" fillId="0" borderId="1" xfId="21" applyNumberFormat="1" applyFont="1" applyBorder="1" applyAlignment="1">
      <alignment/>
    </xf>
    <xf numFmtId="175" fontId="3" fillId="0" borderId="1" xfId="21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172" fontId="8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17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174" fontId="5" fillId="0" borderId="1" xfId="21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172" fontId="2" fillId="0" borderId="1" xfId="0" applyNumberFormat="1" applyFont="1" applyBorder="1" applyAlignment="1">
      <alignment/>
    </xf>
    <xf numFmtId="175" fontId="5" fillId="0" borderId="1" xfId="21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8" fillId="0" borderId="0" xfId="0" applyNumberFormat="1" applyFont="1" applyFill="1" applyBorder="1" applyAlignment="1">
      <alignment/>
    </xf>
    <xf numFmtId="175" fontId="8" fillId="0" borderId="4" xfId="21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72" fontId="9" fillId="0" borderId="0" xfId="0" applyNumberFormat="1" applyFont="1" applyAlignment="1">
      <alignment horizontal="centerContinuous"/>
    </xf>
    <xf numFmtId="10" fontId="0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9" fontId="4" fillId="0" borderId="0" xfId="21" applyFont="1" applyBorder="1" applyAlignment="1">
      <alignment/>
    </xf>
    <xf numFmtId="0" fontId="4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/>
    </xf>
    <xf numFmtId="9" fontId="8" fillId="0" borderId="1" xfId="0" applyNumberFormat="1" applyFont="1" applyBorder="1" applyAlignment="1">
      <alignment horizontal="right"/>
    </xf>
    <xf numFmtId="9" fontId="8" fillId="0" borderId="1" xfId="21" applyFont="1" applyBorder="1" applyAlignment="1">
      <alignment/>
    </xf>
    <xf numFmtId="3" fontId="4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72" fontId="8" fillId="0" borderId="1" xfId="0" applyNumberFormat="1" applyFont="1" applyBorder="1" applyAlignment="1">
      <alignment/>
    </xf>
    <xf numFmtId="9" fontId="8" fillId="0" borderId="1" xfId="21" applyFont="1" applyBorder="1" applyAlignment="1">
      <alignment horizontal="right"/>
    </xf>
    <xf numFmtId="10" fontId="4" fillId="0" borderId="0" xfId="21" applyNumberFormat="1" applyFont="1" applyFill="1" applyBorder="1" applyAlignment="1">
      <alignment/>
    </xf>
    <xf numFmtId="9" fontId="8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21" applyNumberFormat="1" applyFont="1" applyFill="1" applyBorder="1" applyAlignment="1">
      <alignment/>
    </xf>
    <xf numFmtId="9" fontId="2" fillId="0" borderId="0" xfId="21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1" xfId="2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9" fontId="4" fillId="0" borderId="0" xfId="2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0" fillId="0" borderId="0" xfId="21" applyFont="1" applyBorder="1" applyAlignment="1">
      <alignment/>
    </xf>
    <xf numFmtId="9" fontId="8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10" fontId="8" fillId="0" borderId="1" xfId="21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0" fontId="2" fillId="0" borderId="0" xfId="21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/>
    </xf>
    <xf numFmtId="9" fontId="2" fillId="2" borderId="0" xfId="21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/>
    </xf>
    <xf numFmtId="9" fontId="6" fillId="0" borderId="1" xfId="21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9" fontId="2" fillId="0" borderId="0" xfId="21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172" fontId="11" fillId="0" borderId="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/>
    </xf>
    <xf numFmtId="176" fontId="3" fillId="0" borderId="1" xfId="21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10" fontId="4" fillId="0" borderId="0" xfId="21" applyNumberFormat="1" applyFont="1" applyFill="1" applyBorder="1" applyAlignment="1">
      <alignment horizontal="right"/>
    </xf>
    <xf numFmtId="172" fontId="12" fillId="0" borderId="1" xfId="0" applyNumberFormat="1" applyFont="1" applyBorder="1" applyAlignment="1">
      <alignment/>
    </xf>
    <xf numFmtId="9" fontId="12" fillId="0" borderId="1" xfId="21" applyFont="1" applyBorder="1" applyAlignment="1">
      <alignment/>
    </xf>
    <xf numFmtId="9" fontId="11" fillId="0" borderId="1" xfId="2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72" fontId="0" fillId="0" borderId="0" xfId="0" applyNumberFormat="1" applyFont="1" applyFill="1" applyAlignment="1">
      <alignment horizontal="centerContinuous"/>
    </xf>
    <xf numFmtId="0" fontId="13" fillId="0" borderId="0" xfId="19" applyFont="1" applyFill="1" applyAlignment="1">
      <alignment/>
    </xf>
    <xf numFmtId="0" fontId="14" fillId="0" borderId="0" xfId="19" applyFont="1" applyAlignment="1">
      <alignment/>
    </xf>
    <xf numFmtId="0" fontId="15" fillId="0" borderId="0" xfId="19" applyFont="1" applyAlignment="1">
      <alignment/>
    </xf>
    <xf numFmtId="0" fontId="10" fillId="0" borderId="0" xfId="19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19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6" fontId="8" fillId="0" borderId="1" xfId="21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6" fontId="2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77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176" fontId="6" fillId="0" borderId="1" xfId="21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77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77" fontId="8" fillId="0" borderId="1" xfId="0" applyNumberFormat="1" applyFont="1" applyBorder="1" applyAlignment="1">
      <alignment horizontal="right" wrapText="1"/>
    </xf>
    <xf numFmtId="179" fontId="8" fillId="0" borderId="1" xfId="21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174" fontId="8" fillId="0" borderId="1" xfId="21" applyNumberFormat="1" applyFont="1" applyFill="1" applyBorder="1" applyAlignment="1">
      <alignment/>
    </xf>
    <xf numFmtId="172" fontId="8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74" fontId="2" fillId="0" borderId="1" xfId="21" applyNumberFormat="1" applyFont="1" applyBorder="1" applyAlignment="1">
      <alignment/>
    </xf>
    <xf numFmtId="177" fontId="3" fillId="0" borderId="1" xfId="0" applyNumberFormat="1" applyFont="1" applyBorder="1" applyAlignment="1">
      <alignment horizontal="right" wrapText="1"/>
    </xf>
    <xf numFmtId="179" fontId="3" fillId="0" borderId="1" xfId="21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2" fontId="2" fillId="0" borderId="1" xfId="0" applyNumberFormat="1" applyFont="1" applyFill="1" applyBorder="1" applyAlignment="1">
      <alignment/>
    </xf>
    <xf numFmtId="177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 horizontal="right" wrapText="1"/>
    </xf>
    <xf numFmtId="17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77" fontId="8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172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/>
    </xf>
    <xf numFmtId="10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77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right" wrapText="1"/>
    </xf>
    <xf numFmtId="179" fontId="6" fillId="0" borderId="1" xfId="0" applyNumberFormat="1" applyFont="1" applyBorder="1" applyAlignment="1">
      <alignment horizontal="center" wrapText="1"/>
    </xf>
    <xf numFmtId="179" fontId="6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wrapText="1"/>
    </xf>
    <xf numFmtId="174" fontId="2" fillId="0" borderId="1" xfId="21" applyNumberFormat="1" applyFont="1" applyBorder="1" applyAlignment="1">
      <alignment horizontal="center"/>
    </xf>
    <xf numFmtId="179" fontId="3" fillId="0" borderId="1" xfId="2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177" fontId="2" fillId="0" borderId="1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 wrapText="1"/>
    </xf>
    <xf numFmtId="179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177" fontId="3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Continuous"/>
    </xf>
    <xf numFmtId="172" fontId="11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/>
    </xf>
    <xf numFmtId="174" fontId="4" fillId="0" borderId="1" xfId="21" applyNumberFormat="1" applyFont="1" applyBorder="1" applyAlignment="1">
      <alignment/>
    </xf>
    <xf numFmtId="176" fontId="4" fillId="0" borderId="1" xfId="21" applyNumberFormat="1" applyFont="1" applyBorder="1" applyAlignment="1">
      <alignment/>
    </xf>
    <xf numFmtId="0" fontId="19" fillId="0" borderId="0" xfId="0" applyFont="1" applyAlignment="1">
      <alignment/>
    </xf>
    <xf numFmtId="180" fontId="4" fillId="0" borderId="1" xfId="21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180" fontId="0" fillId="0" borderId="1" xfId="21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6" fontId="0" fillId="0" borderId="1" xfId="21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vertical="center" wrapText="1"/>
    </xf>
    <xf numFmtId="17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72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1" xfId="0" applyFont="1" applyBorder="1" applyAlignment="1">
      <alignment/>
    </xf>
    <xf numFmtId="172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176" fontId="9" fillId="0" borderId="1" xfId="21" applyNumberFormat="1" applyFont="1" applyBorder="1" applyAlignment="1">
      <alignment/>
    </xf>
    <xf numFmtId="172" fontId="9" fillId="0" borderId="3" xfId="0" applyNumberFormat="1" applyFont="1" applyBorder="1" applyAlignment="1">
      <alignment/>
    </xf>
    <xf numFmtId="180" fontId="9" fillId="0" borderId="1" xfId="21" applyNumberFormat="1" applyFont="1" applyBorder="1" applyAlignment="1">
      <alignment/>
    </xf>
    <xf numFmtId="0" fontId="21" fillId="0" borderId="0" xfId="0" applyFont="1" applyAlignment="1">
      <alignment/>
    </xf>
    <xf numFmtId="177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right" wrapText="1"/>
    </xf>
    <xf numFmtId="3" fontId="22" fillId="0" borderId="1" xfId="0" applyNumberFormat="1" applyFont="1" applyBorder="1" applyAlignment="1">
      <alignment horizontal="right" wrapText="1"/>
    </xf>
    <xf numFmtId="176" fontId="22" fillId="0" borderId="1" xfId="21" applyNumberFormat="1" applyFont="1" applyBorder="1" applyAlignment="1">
      <alignment/>
    </xf>
    <xf numFmtId="0" fontId="22" fillId="0" borderId="3" xfId="0" applyFont="1" applyBorder="1" applyAlignment="1">
      <alignment horizontal="right" wrapText="1"/>
    </xf>
    <xf numFmtId="177" fontId="22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176" fontId="18" fillId="0" borderId="1" xfId="21" applyNumberFormat="1" applyFont="1" applyBorder="1" applyAlignment="1">
      <alignment/>
    </xf>
    <xf numFmtId="0" fontId="18" fillId="0" borderId="3" xfId="0" applyFont="1" applyBorder="1" applyAlignment="1">
      <alignment/>
    </xf>
    <xf numFmtId="177" fontId="18" fillId="0" borderId="1" xfId="0" applyNumberFormat="1" applyFont="1" applyBorder="1" applyAlignment="1">
      <alignment horizontal="right" wrapText="1"/>
    </xf>
    <xf numFmtId="177" fontId="18" fillId="0" borderId="1" xfId="0" applyNumberFormat="1" applyFont="1" applyBorder="1" applyAlignment="1">
      <alignment horizontal="right" vertical="center" wrapText="1"/>
    </xf>
    <xf numFmtId="172" fontId="22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72" fontId="22" fillId="0" borderId="3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left"/>
    </xf>
    <xf numFmtId="172" fontId="22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72" fontId="22" fillId="0" borderId="3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172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72" fontId="18" fillId="0" borderId="3" xfId="0" applyNumberFormat="1" applyFont="1" applyBorder="1" applyAlignment="1">
      <alignment/>
    </xf>
    <xf numFmtId="172" fontId="18" fillId="0" borderId="1" xfId="0" applyNumberFormat="1" applyFont="1" applyBorder="1" applyAlignment="1">
      <alignment horizontal="center"/>
    </xf>
    <xf numFmtId="10" fontId="18" fillId="0" borderId="1" xfId="0" applyNumberFormat="1" applyFont="1" applyBorder="1" applyAlignment="1">
      <alignment horizontal="center" wrapText="1"/>
    </xf>
    <xf numFmtId="177" fontId="18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/>
    </xf>
    <xf numFmtId="177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wrapText="1"/>
    </xf>
    <xf numFmtId="172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/>
    </xf>
    <xf numFmtId="10" fontId="23" fillId="0" borderId="1" xfId="0" applyNumberFormat="1" applyFont="1" applyBorder="1" applyAlignment="1">
      <alignment horizontal="center" wrapText="1"/>
    </xf>
    <xf numFmtId="177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77" fontId="23" fillId="0" borderId="1" xfId="0" applyNumberFormat="1" applyFont="1" applyBorder="1" applyAlignment="1">
      <alignment horizontal="right" wrapText="1"/>
    </xf>
    <xf numFmtId="177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172" fontId="22" fillId="0" borderId="1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172" fontId="22" fillId="0" borderId="3" xfId="0" applyNumberFormat="1" applyFont="1" applyBorder="1" applyAlignment="1">
      <alignment horizontal="right"/>
    </xf>
    <xf numFmtId="177" fontId="22" fillId="0" borderId="1" xfId="0" applyNumberFormat="1" applyFont="1" applyBorder="1" applyAlignment="1">
      <alignment horizontal="right"/>
    </xf>
    <xf numFmtId="172" fontId="18" fillId="0" borderId="1" xfId="0" applyNumberFormat="1" applyFont="1" applyBorder="1" applyAlignment="1">
      <alignment horizontal="right"/>
    </xf>
    <xf numFmtId="172" fontId="23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 wrapText="1"/>
    </xf>
    <xf numFmtId="172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10" fontId="18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18" fillId="0" borderId="0" xfId="0" applyNumberFormat="1" applyFont="1" applyAlignment="1">
      <alignment horizontal="center"/>
    </xf>
    <xf numFmtId="172" fontId="23" fillId="0" borderId="0" xfId="0" applyNumberFormat="1" applyFont="1" applyAlignment="1">
      <alignment horizontal="center"/>
    </xf>
    <xf numFmtId="172" fontId="18" fillId="0" borderId="0" xfId="0" applyNumberFormat="1" applyFont="1" applyAlignment="1">
      <alignment/>
    </xf>
    <xf numFmtId="10" fontId="22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centerContinuous"/>
    </xf>
    <xf numFmtId="10" fontId="18" fillId="0" borderId="0" xfId="0" applyNumberFormat="1" applyFont="1" applyBorder="1" applyAlignment="1">
      <alignment horizontal="centerContinuous"/>
    </xf>
    <xf numFmtId="172" fontId="23" fillId="0" borderId="0" xfId="0" applyNumberFormat="1" applyFont="1" applyAlignment="1">
      <alignment horizontal="centerContinuous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81" fontId="4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74" fontId="0" fillId="0" borderId="1" xfId="21" applyNumberFormat="1" applyFont="1" applyBorder="1" applyAlignment="1">
      <alignment horizontal="right"/>
    </xf>
    <xf numFmtId="0" fontId="0" fillId="0" borderId="3" xfId="0" applyFont="1" applyBorder="1" applyAlignment="1">
      <alignment horizontal="right" wrapText="1"/>
    </xf>
    <xf numFmtId="172" fontId="4" fillId="0" borderId="1" xfId="0" applyNumberFormat="1" applyFont="1" applyBorder="1" applyAlignment="1">
      <alignment horizontal="right"/>
    </xf>
    <xf numFmtId="172" fontId="4" fillId="0" borderId="3" xfId="0" applyNumberFormat="1" applyFont="1" applyBorder="1" applyAlignment="1">
      <alignment horizontal="right"/>
    </xf>
    <xf numFmtId="174" fontId="0" fillId="0" borderId="1" xfId="21" applyNumberFormat="1" applyFont="1" applyBorder="1" applyAlignment="1">
      <alignment/>
    </xf>
    <xf numFmtId="172" fontId="0" fillId="0" borderId="3" xfId="0" applyNumberFormat="1" applyFont="1" applyBorder="1" applyAlignment="1">
      <alignment horizontal="right" wrapText="1"/>
    </xf>
    <xf numFmtId="172" fontId="0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7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 wrapText="1"/>
    </xf>
    <xf numFmtId="9" fontId="4" fillId="0" borderId="1" xfId="21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2" fontId="0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182" fontId="0" fillId="0" borderId="0" xfId="0" applyNumberFormat="1" applyFont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9" fontId="0" fillId="0" borderId="1" xfId="2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82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/>
    </xf>
    <xf numFmtId="10" fontId="4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72" fontId="4" fillId="0" borderId="5" xfId="0" applyNumberFormat="1" applyFont="1" applyBorder="1" applyAlignment="1">
      <alignment horizontal="right"/>
    </xf>
    <xf numFmtId="174" fontId="4" fillId="0" borderId="5" xfId="21" applyNumberFormat="1" applyFont="1" applyBorder="1" applyAlignment="1">
      <alignment/>
    </xf>
    <xf numFmtId="183" fontId="4" fillId="0" borderId="1" xfId="21" applyNumberFormat="1" applyFont="1" applyBorder="1" applyAlignment="1">
      <alignment/>
    </xf>
    <xf numFmtId="175" fontId="4" fillId="0" borderId="1" xfId="21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75" fontId="4" fillId="0" borderId="5" xfId="21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74" fontId="5" fillId="0" borderId="5" xfId="21" applyNumberFormat="1" applyFont="1" applyBorder="1" applyAlignment="1">
      <alignment/>
    </xf>
    <xf numFmtId="183" fontId="8" fillId="0" borderId="1" xfId="21" applyNumberFormat="1" applyFont="1" applyBorder="1" applyAlignment="1">
      <alignment/>
    </xf>
    <xf numFmtId="174" fontId="8" fillId="0" borderId="5" xfId="21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72" fontId="5" fillId="0" borderId="1" xfId="0" applyNumberFormat="1" applyFont="1" applyBorder="1" applyAlignment="1">
      <alignment/>
    </xf>
    <xf numFmtId="183" fontId="5" fillId="0" borderId="1" xfId="21" applyNumberFormat="1" applyFont="1" applyBorder="1" applyAlignment="1">
      <alignment/>
    </xf>
    <xf numFmtId="183" fontId="3" fillId="0" borderId="1" xfId="21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4" fillId="0" borderId="2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5" xfId="0" applyNumberFormat="1" applyFont="1" applyBorder="1" applyAlignment="1">
      <alignment horizontal="center"/>
    </xf>
    <xf numFmtId="174" fontId="4" fillId="0" borderId="5" xfId="21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72" fontId="1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0" fillId="0" borderId="0" xfId="20" applyFont="1" applyAlignment="1">
      <alignment horizontal="centerContinuous"/>
      <protection/>
    </xf>
    <xf numFmtId="0" fontId="0" fillId="0" borderId="0" xfId="20" applyFont="1" applyAlignment="1">
      <alignment horizontal="right"/>
      <protection/>
    </xf>
    <xf numFmtId="0" fontId="25" fillId="0" borderId="0" xfId="20" applyFont="1">
      <alignment/>
      <protection/>
    </xf>
    <xf numFmtId="0" fontId="0" fillId="0" borderId="0" xfId="20" applyFont="1">
      <alignment/>
      <protection/>
    </xf>
    <xf numFmtId="0" fontId="1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  <xf numFmtId="0" fontId="17" fillId="0" borderId="6" xfId="20" applyFont="1" applyBorder="1" applyAlignment="1">
      <alignment horizontal="centerContinuous"/>
      <protection/>
    </xf>
    <xf numFmtId="0" fontId="0" fillId="0" borderId="6" xfId="20" applyFont="1" applyBorder="1" applyAlignment="1">
      <alignment horizontal="centerContinuous"/>
      <protection/>
    </xf>
    <xf numFmtId="0" fontId="3" fillId="0" borderId="6" xfId="20" applyFont="1" applyBorder="1">
      <alignment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25" fillId="0" borderId="0" xfId="20" applyFont="1" applyAlignment="1">
      <alignment horizontal="center"/>
      <protection/>
    </xf>
    <xf numFmtId="0" fontId="4" fillId="0" borderId="9" xfId="20" applyFont="1" applyBorder="1" applyAlignment="1">
      <alignment wrapText="1"/>
      <protection/>
    </xf>
    <xf numFmtId="172" fontId="2" fillId="0" borderId="1" xfId="20" applyNumberFormat="1" applyFont="1" applyBorder="1">
      <alignment/>
      <protection/>
    </xf>
    <xf numFmtId="2" fontId="2" fillId="0" borderId="1" xfId="20" applyNumberFormat="1" applyFont="1" applyBorder="1">
      <alignment/>
      <protection/>
    </xf>
    <xf numFmtId="172" fontId="2" fillId="0" borderId="10" xfId="20" applyNumberFormat="1" applyFont="1" applyBorder="1">
      <alignment/>
      <protection/>
    </xf>
    <xf numFmtId="0" fontId="2" fillId="0" borderId="9" xfId="20" applyFont="1" applyBorder="1" applyAlignment="1">
      <alignment/>
      <protection/>
    </xf>
    <xf numFmtId="0" fontId="6" fillId="0" borderId="9" xfId="20" applyFont="1" applyBorder="1" applyAlignment="1">
      <alignment horizontal="center" wrapText="1"/>
      <protection/>
    </xf>
    <xf numFmtId="0" fontId="0" fillId="0" borderId="9" xfId="20" applyFont="1" applyBorder="1" applyAlignment="1">
      <alignment wrapText="1"/>
      <protection/>
    </xf>
    <xf numFmtId="0" fontId="8" fillId="0" borderId="9" xfId="20" applyFont="1" applyBorder="1" applyAlignment="1">
      <alignment wrapText="1"/>
      <protection/>
    </xf>
    <xf numFmtId="0" fontId="2" fillId="0" borderId="9" xfId="20" applyFont="1" applyBorder="1" applyAlignment="1">
      <alignment wrapText="1"/>
      <protection/>
    </xf>
    <xf numFmtId="0" fontId="25" fillId="0" borderId="4" xfId="20" applyFont="1" applyBorder="1">
      <alignment/>
      <protection/>
    </xf>
    <xf numFmtId="0" fontId="25" fillId="0" borderId="1" xfId="20" applyFont="1" applyBorder="1">
      <alignment/>
      <protection/>
    </xf>
    <xf numFmtId="0" fontId="4" fillId="0" borderId="11" xfId="20" applyFont="1" applyBorder="1" applyAlignment="1">
      <alignment wrapText="1"/>
      <protection/>
    </xf>
    <xf numFmtId="172" fontId="2" fillId="0" borderId="12" xfId="20" applyNumberFormat="1" applyFont="1" applyBorder="1">
      <alignment/>
      <protection/>
    </xf>
    <xf numFmtId="2" fontId="2" fillId="0" borderId="12" xfId="20" applyNumberFormat="1" applyFont="1" applyBorder="1">
      <alignment/>
      <protection/>
    </xf>
    <xf numFmtId="172" fontId="2" fillId="0" borderId="13" xfId="20" applyNumberFormat="1" applyFont="1" applyBorder="1">
      <alignment/>
      <protection/>
    </xf>
    <xf numFmtId="0" fontId="0" fillId="0" borderId="0" xfId="20" applyFont="1" applyAlignment="1">
      <alignment wrapText="1"/>
      <protection/>
    </xf>
    <xf numFmtId="0" fontId="2" fillId="0" borderId="0" xfId="20" applyFont="1" applyAlignment="1">
      <alignment horizontal="left"/>
      <protection/>
    </xf>
    <xf numFmtId="0" fontId="0" fillId="0" borderId="0" xfId="20" applyNumberFormat="1" applyFont="1" applyBorder="1">
      <alignment/>
      <protection/>
    </xf>
    <xf numFmtId="49" fontId="2" fillId="0" borderId="0" xfId="20" applyNumberFormat="1" applyFont="1" applyBorder="1" applyAlignment="1">
      <alignment horizontal="center"/>
      <protection/>
    </xf>
    <xf numFmtId="0" fontId="3" fillId="0" borderId="0" xfId="20" applyFont="1" applyAlignment="1">
      <alignment wrapText="1"/>
      <protection/>
    </xf>
    <xf numFmtId="0" fontId="25" fillId="0" borderId="0" xfId="20" applyFont="1" applyAlignment="1">
      <alignment wrapText="1"/>
      <protection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49" fontId="1" fillId="0" borderId="0" xfId="20" applyNumberFormat="1" applyFont="1" applyAlignment="1">
      <alignment horizontal="centerContinuous" vertical="top" wrapText="1"/>
      <protection/>
    </xf>
    <xf numFmtId="49" fontId="7" fillId="0" borderId="0" xfId="20" applyNumberFormat="1" applyFont="1" applyAlignment="1">
      <alignment horizontal="centerContinuous" vertical="top" wrapText="1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>
      <alignment/>
      <protection/>
    </xf>
    <xf numFmtId="49" fontId="25" fillId="0" borderId="0" xfId="20" applyNumberFormat="1" applyFont="1" applyAlignment="1">
      <alignment vertical="top" wrapText="1"/>
      <protection/>
    </xf>
    <xf numFmtId="0" fontId="25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49" fontId="3" fillId="0" borderId="6" xfId="20" applyNumberFormat="1" applyFont="1" applyBorder="1" applyAlignment="1">
      <alignment vertical="top" wrapText="1"/>
      <protection/>
    </xf>
    <xf numFmtId="0" fontId="3" fillId="0" borderId="6" xfId="20" applyFont="1" applyBorder="1" applyAlignment="1">
      <alignment horizontal="centerContinuous"/>
      <protection/>
    </xf>
    <xf numFmtId="49" fontId="3" fillId="0" borderId="7" xfId="20" applyNumberFormat="1" applyFont="1" applyFill="1" applyBorder="1" applyAlignment="1">
      <alignment horizontal="centerContinuous" vertical="center"/>
      <protection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8" xfId="20" applyNumberFormat="1" applyFont="1" applyFill="1" applyBorder="1" applyAlignment="1">
      <alignment horizontal="center" vertical="center" wrapText="1"/>
      <protection/>
    </xf>
    <xf numFmtId="49" fontId="3" fillId="0" borderId="9" xfId="20" applyNumberFormat="1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49" fontId="3" fillId="0" borderId="10" xfId="20" applyNumberFormat="1" applyFont="1" applyFill="1" applyBorder="1" applyAlignment="1">
      <alignment horizontal="center" vertical="top" wrapText="1"/>
      <protection/>
    </xf>
    <xf numFmtId="3" fontId="4" fillId="0" borderId="9" xfId="20" applyNumberFormat="1" applyFont="1" applyBorder="1" applyAlignment="1">
      <alignment horizontal="center"/>
      <protection/>
    </xf>
    <xf numFmtId="3" fontId="2" fillId="0" borderId="1" xfId="20" applyNumberFormat="1" applyFont="1" applyBorder="1">
      <alignment/>
      <protection/>
    </xf>
    <xf numFmtId="4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49" fontId="4" fillId="0" borderId="9" xfId="20" applyNumberFormat="1" applyFont="1" applyFill="1" applyBorder="1" applyAlignment="1">
      <alignment horizontal="center" vertical="top" wrapText="1"/>
      <protection/>
    </xf>
    <xf numFmtId="3" fontId="4" fillId="0" borderId="9" xfId="20" applyNumberFormat="1" applyFont="1" applyBorder="1" applyAlignment="1">
      <alignment horizontal="left"/>
      <protection/>
    </xf>
    <xf numFmtId="3" fontId="5" fillId="0" borderId="9" xfId="20" applyNumberFormat="1" applyFont="1" applyBorder="1" applyAlignment="1">
      <alignment horizontal="left"/>
      <protection/>
    </xf>
    <xf numFmtId="3" fontId="3" fillId="0" borderId="9" xfId="20" applyNumberFormat="1" applyFont="1" applyBorder="1">
      <alignment/>
      <protection/>
    </xf>
    <xf numFmtId="49" fontId="3" fillId="0" borderId="9" xfId="20" applyNumberFormat="1" applyFont="1" applyFill="1" applyBorder="1" applyAlignment="1">
      <alignment vertical="top" wrapText="1"/>
      <protection/>
    </xf>
    <xf numFmtId="49" fontId="4" fillId="0" borderId="9" xfId="20" applyNumberFormat="1" applyFont="1" applyFill="1" applyBorder="1" applyAlignment="1">
      <alignment vertical="top" wrapText="1"/>
      <protection/>
    </xf>
    <xf numFmtId="3" fontId="5" fillId="0" borderId="9" xfId="20" applyNumberFormat="1" applyFont="1" applyBorder="1" applyAlignment="1">
      <alignment horizontal="center"/>
      <protection/>
    </xf>
    <xf numFmtId="3" fontId="3" fillId="0" borderId="9" xfId="20" applyNumberFormat="1" applyFont="1" applyBorder="1" applyAlignment="1">
      <alignment wrapText="1"/>
      <protection/>
    </xf>
    <xf numFmtId="49" fontId="5" fillId="0" borderId="9" xfId="20" applyNumberFormat="1" applyFont="1" applyFill="1" applyBorder="1" applyAlignment="1">
      <alignment horizontal="center" vertical="top" wrapText="1"/>
      <protection/>
    </xf>
    <xf numFmtId="3" fontId="5" fillId="0" borderId="11" xfId="20" applyNumberFormat="1" applyFont="1" applyBorder="1" applyAlignment="1">
      <alignment horizontal="center"/>
      <protection/>
    </xf>
    <xf numFmtId="3" fontId="2" fillId="0" borderId="12" xfId="20" applyNumberFormat="1" applyFont="1" applyBorder="1">
      <alignment/>
      <protection/>
    </xf>
    <xf numFmtId="4" fontId="2" fillId="0" borderId="12" xfId="20" applyNumberFormat="1" applyFont="1" applyBorder="1">
      <alignment/>
      <protection/>
    </xf>
    <xf numFmtId="3" fontId="2" fillId="0" borderId="13" xfId="20" applyNumberFormat="1" applyFont="1" applyBorder="1">
      <alignment/>
      <protection/>
    </xf>
    <xf numFmtId="0" fontId="25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25" fillId="0" borderId="0" xfId="20" applyFont="1" applyAlignment="1">
      <alignment horizontal="left"/>
      <protection/>
    </xf>
    <xf numFmtId="0" fontId="25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2" fillId="0" borderId="0" xfId="20" applyNumberFormat="1" applyFont="1" applyAlignment="1">
      <alignment horizontal="left" vertical="top" wrapText="1"/>
      <protection/>
    </xf>
    <xf numFmtId="49" fontId="2" fillId="0" borderId="0" xfId="20" applyNumberFormat="1" applyFont="1" applyAlignment="1">
      <alignment vertical="top" wrapText="1"/>
      <protection/>
    </xf>
    <xf numFmtId="49" fontId="2" fillId="0" borderId="6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49" fontId="25" fillId="0" borderId="0" xfId="20" applyNumberFormat="1" applyFont="1" applyAlignment="1">
      <alignment horizontal="left" vertical="top" wrapText="1"/>
      <protection/>
    </xf>
    <xf numFmtId="0" fontId="3" fillId="0" borderId="0" xfId="20" applyFont="1" applyAlignment="1">
      <alignment horizontal="left"/>
      <protection/>
    </xf>
    <xf numFmtId="0" fontId="25" fillId="0" borderId="0" xfId="20" applyFont="1" applyAlignment="1">
      <alignment/>
      <protection/>
    </xf>
    <xf numFmtId="49" fontId="3" fillId="0" borderId="0" xfId="20" applyNumberFormat="1" applyFont="1" applyAlignment="1">
      <alignment vertical="top" wrapText="1"/>
      <protection/>
    </xf>
    <xf numFmtId="49" fontId="3" fillId="0" borderId="0" xfId="20" applyNumberFormat="1" applyFont="1" applyAlignment="1">
      <alignment horizontal="centerContinuous" vertical="top" wrapText="1"/>
      <protection/>
    </xf>
    <xf numFmtId="0" fontId="3" fillId="0" borderId="0" xfId="20" applyFont="1" applyAlignment="1">
      <alignment horizontal="centerContinuous"/>
      <protection/>
    </xf>
    <xf numFmtId="49" fontId="25" fillId="0" borderId="0" xfId="20" applyNumberFormat="1" applyFont="1" applyAlignment="1">
      <alignment horizontal="centerContinuous" vertical="top" wrapText="1"/>
      <protection/>
    </xf>
    <xf numFmtId="49" fontId="3" fillId="0" borderId="0" xfId="20" applyNumberFormat="1" applyFont="1" applyAlignment="1">
      <alignment horizontal="center" vertical="top" wrapText="1"/>
      <protection/>
    </xf>
    <xf numFmtId="0" fontId="3" fillId="0" borderId="0" xfId="20" applyFont="1" applyAlignment="1">
      <alignment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9" fontId="3" fillId="0" borderId="14" xfId="20" applyNumberFormat="1" applyFont="1" applyFill="1" applyBorder="1" applyAlignment="1">
      <alignment horizontal="center" vertical="center" wrapText="1"/>
      <protection/>
    </xf>
    <xf numFmtId="49" fontId="4" fillId="0" borderId="9" xfId="20" applyNumberFormat="1" applyFont="1" applyFill="1" applyBorder="1" applyAlignment="1">
      <alignment horizontal="left" vertical="top" wrapText="1"/>
      <protection/>
    </xf>
    <xf numFmtId="0" fontId="2" fillId="0" borderId="10" xfId="20" applyFont="1" applyBorder="1">
      <alignment/>
      <protection/>
    </xf>
    <xf numFmtId="49" fontId="5" fillId="0" borderId="9" xfId="20" applyNumberFormat="1" applyFont="1" applyFill="1" applyBorder="1" applyAlignment="1">
      <alignment horizontal="center" vertical="top" wrapText="1"/>
      <protection/>
    </xf>
    <xf numFmtId="49" fontId="3" fillId="0" borderId="9" xfId="20" applyNumberFormat="1" applyFont="1" applyFill="1" applyBorder="1" applyAlignment="1">
      <alignment horizontal="left" vertical="top" wrapText="1"/>
      <protection/>
    </xf>
    <xf numFmtId="49" fontId="3" fillId="0" borderId="15" xfId="20" applyNumberFormat="1" applyFont="1" applyFill="1" applyBorder="1" applyAlignment="1">
      <alignment horizontal="left" vertical="top" wrapText="1"/>
      <protection/>
    </xf>
    <xf numFmtId="49" fontId="3" fillId="0" borderId="11" xfId="20" applyNumberFormat="1" applyFont="1" applyFill="1" applyBorder="1" applyAlignment="1">
      <alignment horizontal="left" vertical="top" wrapText="1"/>
      <protection/>
    </xf>
    <xf numFmtId="0" fontId="2" fillId="0" borderId="16" xfId="20" applyFont="1" applyBorder="1" applyAlignment="1">
      <alignment horizontal="left"/>
      <protection/>
    </xf>
    <xf numFmtId="0" fontId="2" fillId="0" borderId="12" xfId="20" applyFont="1" applyBorder="1" applyAlignment="1">
      <alignment horizontal="left"/>
      <protection/>
    </xf>
    <xf numFmtId="49" fontId="3" fillId="0" borderId="0" xfId="20" applyNumberFormat="1" applyFont="1" applyFill="1" applyBorder="1" applyAlignment="1">
      <alignment horizontal="left" vertical="top" wrapText="1"/>
      <protection/>
    </xf>
    <xf numFmtId="3" fontId="2" fillId="0" borderId="0" xfId="20" applyNumberFormat="1" applyFont="1" applyBorder="1">
      <alignment/>
      <protection/>
    </xf>
    <xf numFmtId="49" fontId="2" fillId="0" borderId="0" xfId="20" applyNumberFormat="1" applyFont="1" applyAlignment="1">
      <alignment horizontal="center" vertical="top" wrapText="1"/>
      <protection/>
    </xf>
    <xf numFmtId="49" fontId="2" fillId="0" borderId="0" xfId="20" applyNumberFormat="1" applyFont="1" applyFill="1" applyBorder="1" applyAlignment="1">
      <alignment vertical="top" wrapText="1"/>
      <protection/>
    </xf>
    <xf numFmtId="49" fontId="2" fillId="0" borderId="0" xfId="20" applyNumberFormat="1" applyFont="1" applyFill="1" applyBorder="1" applyAlignment="1">
      <alignment horizontal="center" vertical="top" wrapText="1"/>
      <protection/>
    </xf>
    <xf numFmtId="0" fontId="2" fillId="0" borderId="0" xfId="20" applyFont="1" applyAlignment="1">
      <alignment/>
      <protection/>
    </xf>
    <xf numFmtId="49" fontId="25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22" fillId="0" borderId="0" xfId="20" applyNumberFormat="1" applyFont="1" applyAlignment="1">
      <alignment horizontal="centerContinuous" vertical="top" wrapText="1"/>
      <protection/>
    </xf>
    <xf numFmtId="49" fontId="5" fillId="0" borderId="9" xfId="20" applyNumberFormat="1" applyFont="1" applyFill="1" applyBorder="1" applyAlignment="1">
      <alignment horizontal="left" vertical="top" wrapText="1"/>
      <protection/>
    </xf>
    <xf numFmtId="49" fontId="6" fillId="0" borderId="9" xfId="20" applyNumberFormat="1" applyFont="1" applyFill="1" applyBorder="1" applyAlignment="1">
      <alignment horizontal="left" vertical="top" wrapText="1"/>
      <protection/>
    </xf>
    <xf numFmtId="49" fontId="4" fillId="0" borderId="17" xfId="20" applyNumberFormat="1" applyFont="1" applyFill="1" applyBorder="1" applyAlignment="1">
      <alignment horizontal="left" vertical="top" wrapText="1"/>
      <protection/>
    </xf>
    <xf numFmtId="3" fontId="25" fillId="0" borderId="0" xfId="20" applyNumberFormat="1" applyFont="1" applyAlignment="1">
      <alignment horizontal="left"/>
      <protection/>
    </xf>
    <xf numFmtId="49" fontId="4" fillId="0" borderId="18" xfId="20" applyNumberFormat="1" applyFont="1" applyFill="1" applyBorder="1" applyAlignment="1">
      <alignment horizontal="left" vertical="top" wrapText="1"/>
      <protection/>
    </xf>
    <xf numFmtId="3" fontId="2" fillId="0" borderId="19" xfId="20" applyNumberFormat="1" applyFont="1" applyBorder="1">
      <alignment/>
      <protection/>
    </xf>
    <xf numFmtId="4" fontId="2" fillId="0" borderId="19" xfId="20" applyNumberFormat="1" applyFont="1" applyBorder="1">
      <alignment/>
      <protection/>
    </xf>
    <xf numFmtId="3" fontId="2" fillId="0" borderId="20" xfId="20" applyNumberFormat="1" applyFont="1" applyBorder="1">
      <alignment/>
      <protection/>
    </xf>
    <xf numFmtId="49" fontId="3" fillId="0" borderId="0" xfId="20" applyNumberFormat="1" applyFont="1" applyAlignment="1">
      <alignment horizontal="left" vertical="top" wrapText="1"/>
      <protection/>
    </xf>
    <xf numFmtId="0" fontId="3" fillId="0" borderId="9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0" fontId="3" fillId="0" borderId="1" xfId="20" applyNumberFormat="1" applyFont="1" applyBorder="1" applyAlignment="1">
      <alignment horizontal="center"/>
      <protection/>
    </xf>
    <xf numFmtId="0" fontId="3" fillId="0" borderId="10" xfId="20" applyNumberFormat="1" applyFont="1" applyBorder="1" applyAlignment="1">
      <alignment horizontal="center"/>
      <protection/>
    </xf>
    <xf numFmtId="0" fontId="4" fillId="0" borderId="9" xfId="20" applyFont="1" applyBorder="1" applyAlignment="1">
      <alignment horizontal="left" vertical="top" wrapText="1"/>
      <protection/>
    </xf>
    <xf numFmtId="0" fontId="3" fillId="0" borderId="9" xfId="20" applyFont="1" applyBorder="1" applyAlignment="1">
      <alignment vertical="top" wrapText="1"/>
      <protection/>
    </xf>
    <xf numFmtId="0" fontId="4" fillId="0" borderId="9" xfId="20" applyFont="1" applyBorder="1" applyAlignment="1">
      <alignment vertical="top" wrapText="1"/>
      <protection/>
    </xf>
    <xf numFmtId="0" fontId="4" fillId="0" borderId="11" xfId="20" applyFont="1" applyBorder="1" applyAlignment="1">
      <alignment vertical="top" wrapText="1"/>
      <protection/>
    </xf>
    <xf numFmtId="0" fontId="4" fillId="0" borderId="0" xfId="20" applyFont="1" applyBorder="1" applyAlignment="1">
      <alignment vertical="top" wrapText="1"/>
      <protection/>
    </xf>
    <xf numFmtId="2" fontId="2" fillId="0" borderId="0" xfId="20" applyNumberFormat="1" applyFont="1" applyBorder="1">
      <alignment/>
      <protection/>
    </xf>
    <xf numFmtId="49" fontId="2" fillId="0" borderId="0" xfId="20" applyNumberFormat="1" applyFont="1" applyBorder="1">
      <alignment/>
      <protection/>
    </xf>
    <xf numFmtId="3" fontId="2" fillId="0" borderId="4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49" fontId="3" fillId="0" borderId="21" xfId="20" applyNumberFormat="1" applyFont="1" applyFill="1" applyBorder="1" applyAlignment="1">
      <alignment horizontal="left" vertical="top" wrapText="1"/>
      <protection/>
    </xf>
    <xf numFmtId="49" fontId="4" fillId="0" borderId="11" xfId="20" applyNumberFormat="1" applyFont="1" applyFill="1" applyBorder="1" applyAlignment="1">
      <alignment horizontal="left" vertical="top" wrapText="1"/>
      <protection/>
    </xf>
    <xf numFmtId="2" fontId="2" fillId="0" borderId="19" xfId="20" applyNumberFormat="1" applyFont="1" applyBorder="1">
      <alignment/>
      <protection/>
    </xf>
    <xf numFmtId="4" fontId="2" fillId="0" borderId="0" xfId="20" applyNumberFormat="1" applyFont="1" applyBorder="1">
      <alignment/>
      <protection/>
    </xf>
    <xf numFmtId="0" fontId="25" fillId="0" borderId="6" xfId="20" applyFont="1" applyBorder="1">
      <alignment/>
      <protection/>
    </xf>
    <xf numFmtId="0" fontId="2" fillId="0" borderId="0" xfId="20" applyFont="1" applyBorder="1" applyAlignment="1">
      <alignment/>
      <protection/>
    </xf>
    <xf numFmtId="49" fontId="2" fillId="0" borderId="0" xfId="20" applyNumberFormat="1" applyFont="1">
      <alignment/>
      <protection/>
    </xf>
    <xf numFmtId="0" fontId="2" fillId="0" borderId="6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2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 wrapText="1"/>
      <protection/>
    </xf>
    <xf numFmtId="0" fontId="26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22" xfId="20" applyFont="1" applyBorder="1" applyAlignment="1">
      <alignment wrapText="1"/>
      <protection/>
    </xf>
    <xf numFmtId="0" fontId="3" fillId="0" borderId="23" xfId="20" applyFont="1" applyBorder="1" applyAlignment="1">
      <alignment horizontal="centerContinuous"/>
      <protection/>
    </xf>
    <xf numFmtId="0" fontId="3" fillId="0" borderId="24" xfId="20" applyFont="1" applyBorder="1" applyAlignment="1">
      <alignment horizontal="centerContinuous"/>
      <protection/>
    </xf>
    <xf numFmtId="0" fontId="0" fillId="0" borderId="25" xfId="20" applyFont="1" applyBorder="1" applyAlignment="1">
      <alignment/>
      <protection/>
    </xf>
    <xf numFmtId="0" fontId="3" fillId="0" borderId="24" xfId="20" applyFont="1" applyBorder="1" applyAlignment="1">
      <alignment horizontal="centerContinuous" vertical="center"/>
      <protection/>
    </xf>
    <xf numFmtId="0" fontId="3" fillId="0" borderId="23" xfId="20" applyFont="1" applyBorder="1" applyAlignment="1">
      <alignment horizontal="centerContinuous" vertical="center" wrapText="1"/>
      <protection/>
    </xf>
    <xf numFmtId="0" fontId="0" fillId="0" borderId="23" xfId="20" applyFont="1" applyBorder="1" applyAlignment="1">
      <alignment horizontal="centerContinuous"/>
      <protection/>
    </xf>
    <xf numFmtId="0" fontId="0" fillId="0" borderId="26" xfId="20" applyFont="1" applyBorder="1" applyAlignment="1">
      <alignment horizontal="center"/>
      <protection/>
    </xf>
    <xf numFmtId="0" fontId="3" fillId="0" borderId="27" xfId="20" applyFont="1" applyBorder="1" applyAlignment="1">
      <alignment wrapText="1"/>
      <protection/>
    </xf>
    <xf numFmtId="0" fontId="3" fillId="0" borderId="28" xfId="20" applyFont="1" applyBorder="1" applyAlignment="1">
      <alignment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29" xfId="20" applyFont="1" applyBorder="1" applyAlignment="1">
      <alignment horizontal="center"/>
      <protection/>
    </xf>
    <xf numFmtId="49" fontId="3" fillId="0" borderId="27" xfId="20" applyNumberFormat="1" applyFont="1" applyBorder="1" applyAlignment="1">
      <alignment horizontal="center" vertical="top" wrapText="1"/>
      <protection/>
    </xf>
    <xf numFmtId="49" fontId="3" fillId="0" borderId="30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 applyAlignment="1">
      <alignment horizontal="center" vertical="center" wrapText="1"/>
      <protection/>
    </xf>
    <xf numFmtId="49" fontId="3" fillId="0" borderId="28" xfId="20" applyNumberFormat="1" applyFont="1" applyBorder="1" applyAlignment="1">
      <alignment horizontal="center" vertical="center" wrapText="1"/>
      <protection/>
    </xf>
    <xf numFmtId="0" fontId="3" fillId="0" borderId="28" xfId="20" applyFont="1" applyBorder="1" applyAlignment="1">
      <alignment horizontal="center" vertical="center" wrapText="1"/>
      <protection/>
    </xf>
    <xf numFmtId="49" fontId="3" fillId="0" borderId="29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>
      <alignment/>
      <protection/>
    </xf>
    <xf numFmtId="0" fontId="3" fillId="0" borderId="9" xfId="20" applyFont="1" applyBorder="1" applyAlignment="1">
      <alignment horizontal="center" wrapText="1"/>
      <protection/>
    </xf>
    <xf numFmtId="0" fontId="3" fillId="0" borderId="1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3" fontId="4" fillId="0" borderId="31" xfId="20" applyNumberFormat="1" applyFont="1" applyBorder="1">
      <alignment/>
      <protection/>
    </xf>
    <xf numFmtId="207" fontId="25" fillId="0" borderId="1" xfId="20" applyNumberFormat="1" applyFont="1" applyBorder="1">
      <alignment/>
      <protection/>
    </xf>
    <xf numFmtId="207" fontId="25" fillId="0" borderId="10" xfId="20" applyNumberFormat="1" applyFont="1" applyBorder="1">
      <alignment/>
      <protection/>
    </xf>
    <xf numFmtId="218" fontId="2" fillId="0" borderId="1" xfId="20" applyNumberFormat="1" applyFont="1" applyBorder="1">
      <alignment/>
      <protection/>
    </xf>
    <xf numFmtId="218" fontId="2" fillId="0" borderId="10" xfId="20" applyNumberFormat="1" applyFont="1" applyBorder="1">
      <alignment/>
      <protection/>
    </xf>
    <xf numFmtId="3" fontId="3" fillId="0" borderId="31" xfId="20" applyNumberFormat="1" applyFont="1" applyBorder="1">
      <alignment/>
      <protection/>
    </xf>
    <xf numFmtId="0" fontId="4" fillId="0" borderId="0" xfId="20" applyFont="1">
      <alignment/>
      <protection/>
    </xf>
    <xf numFmtId="0" fontId="4" fillId="0" borderId="32" xfId="20" applyFont="1" applyBorder="1" applyAlignment="1">
      <alignment horizontal="right" wrapText="1"/>
      <protection/>
    </xf>
    <xf numFmtId="218" fontId="2" fillId="0" borderId="12" xfId="20" applyNumberFormat="1" applyFont="1" applyBorder="1">
      <alignment/>
      <protection/>
    </xf>
    <xf numFmtId="218" fontId="2" fillId="0" borderId="13" xfId="20" applyNumberFormat="1" applyFont="1" applyBorder="1">
      <alignment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>
      <alignment/>
      <protection/>
    </xf>
    <xf numFmtId="49" fontId="2" fillId="0" borderId="0" xfId="20" applyNumberFormat="1" applyFont="1" applyBorder="1" applyAlignment="1">
      <alignment/>
      <protection/>
    </xf>
    <xf numFmtId="49" fontId="2" fillId="0" borderId="0" xfId="20" applyNumberFormat="1" applyFont="1" applyBorder="1" applyAlignment="1">
      <alignment horizontal="center" vertical="top" wrapText="1"/>
      <protection/>
    </xf>
    <xf numFmtId="0" fontId="2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wrapText="1"/>
      <protection/>
    </xf>
    <xf numFmtId="0" fontId="25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centerContinuous" wrapText="1"/>
      <protection/>
    </xf>
    <xf numFmtId="0" fontId="0" fillId="0" borderId="33" xfId="20" applyFont="1" applyBorder="1" applyAlignment="1">
      <alignment horizontal="center" vertical="top" wrapText="1"/>
      <protection/>
    </xf>
    <xf numFmtId="0" fontId="0" fillId="0" borderId="25" xfId="20" applyFont="1" applyBorder="1" applyAlignment="1">
      <alignment horizontal="center" vertical="top"/>
      <protection/>
    </xf>
    <xf numFmtId="0" fontId="0" fillId="0" borderId="25" xfId="20" applyFont="1" applyBorder="1" applyAlignment="1">
      <alignment horizontal="centerContinuous"/>
      <protection/>
    </xf>
    <xf numFmtId="0" fontId="0" fillId="0" borderId="24" xfId="20" applyFont="1" applyBorder="1" applyAlignment="1">
      <alignment horizontal="centerContinuous" vertical="center"/>
      <protection/>
    </xf>
    <xf numFmtId="0" fontId="0" fillId="0" borderId="23" xfId="20" applyFont="1" applyBorder="1" applyAlignment="1">
      <alignment horizontal="centerContinuous" vertical="center" wrapText="1"/>
      <protection/>
    </xf>
    <xf numFmtId="0" fontId="0" fillId="0" borderId="26" xfId="20" applyFont="1" applyBorder="1" applyAlignment="1">
      <alignment horizontal="center" vertical="top" wrapText="1"/>
      <protection/>
    </xf>
    <xf numFmtId="0" fontId="3" fillId="0" borderId="34" xfId="20" applyFont="1" applyBorder="1" applyAlignment="1">
      <alignment horizontal="center" vertical="top" wrapText="1"/>
      <protection/>
    </xf>
    <xf numFmtId="0" fontId="3" fillId="0" borderId="28" xfId="20" applyFont="1" applyBorder="1" applyAlignment="1">
      <alignment horizontal="center" vertical="top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centerContinuous"/>
      <protection/>
    </xf>
    <xf numFmtId="0" fontId="3" fillId="0" borderId="29" xfId="20" applyFont="1" applyBorder="1" applyAlignment="1">
      <alignment/>
      <protection/>
    </xf>
    <xf numFmtId="0" fontId="3" fillId="0" borderId="28" xfId="20" applyFont="1" applyBorder="1" applyAlignment="1">
      <alignment horizontal="center" vertical="top" wrapText="1"/>
      <protection/>
    </xf>
    <xf numFmtId="0" fontId="3" fillId="0" borderId="29" xfId="20" applyFont="1" applyBorder="1" applyAlignment="1">
      <alignment horizontal="center" vertical="top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wrapText="1"/>
      <protection/>
    </xf>
    <xf numFmtId="0" fontId="25" fillId="0" borderId="34" xfId="20" applyFont="1" applyBorder="1">
      <alignment/>
      <protection/>
    </xf>
    <xf numFmtId="0" fontId="4" fillId="0" borderId="9" xfId="20" applyFont="1" applyBorder="1" applyAlignment="1">
      <alignment horizontal="right" wrapText="1"/>
      <protection/>
    </xf>
    <xf numFmtId="3" fontId="26" fillId="0" borderId="0" xfId="20" applyNumberFormat="1" applyFont="1">
      <alignment/>
      <protection/>
    </xf>
    <xf numFmtId="0" fontId="26" fillId="0" borderId="0" xfId="20" applyFont="1">
      <alignment/>
      <protection/>
    </xf>
    <xf numFmtId="0" fontId="4" fillId="0" borderId="11" xfId="20" applyFont="1" applyBorder="1" applyAlignment="1">
      <alignment horizontal="right" wrapText="1"/>
      <protection/>
    </xf>
    <xf numFmtId="0" fontId="4" fillId="0" borderId="0" xfId="20" applyFont="1" applyBorder="1" applyAlignment="1">
      <alignment horizontal="right" wrapText="1"/>
      <protection/>
    </xf>
    <xf numFmtId="218" fontId="2" fillId="0" borderId="0" xfId="20" applyNumberFormat="1" applyFont="1" applyBorder="1">
      <alignment/>
      <protection/>
    </xf>
    <xf numFmtId="0" fontId="2" fillId="0" borderId="0" xfId="20" applyFont="1" applyAlignment="1">
      <alignment wrapText="1"/>
      <protection/>
    </xf>
    <xf numFmtId="49" fontId="3" fillId="0" borderId="0" xfId="20" applyNumberFormat="1" applyFont="1" applyBorder="1" applyAlignment="1">
      <alignment vertical="top" wrapText="1"/>
      <protection/>
    </xf>
    <xf numFmtId="49" fontId="3" fillId="0" borderId="0" xfId="20" applyNumberFormat="1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5" fillId="0" borderId="0" xfId="20" applyNumberFormat="1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2" fillId="0" borderId="6" xfId="20" applyFont="1" applyBorder="1">
      <alignment/>
      <protection/>
    </xf>
    <xf numFmtId="0" fontId="3" fillId="0" borderId="6" xfId="20" applyFont="1" applyBorder="1" applyAlignment="1">
      <alignment horizontal="right"/>
      <protection/>
    </xf>
    <xf numFmtId="0" fontId="0" fillId="0" borderId="7" xfId="20" applyFont="1" applyBorder="1" applyAlignment="1">
      <alignment horizontal="center" wrapText="1"/>
      <protection/>
    </xf>
    <xf numFmtId="3" fontId="2" fillId="0" borderId="8" xfId="20" applyNumberFormat="1" applyFont="1" applyBorder="1" applyAlignment="1">
      <alignment horizontal="center"/>
      <protection/>
    </xf>
    <xf numFmtId="0" fontId="0" fillId="0" borderId="9" xfId="20" applyFont="1" applyBorder="1" applyAlignment="1">
      <alignment horizontal="center" wrapText="1"/>
      <protection/>
    </xf>
    <xf numFmtId="3" fontId="2" fillId="0" borderId="10" xfId="20" applyNumberFormat="1" applyFont="1" applyBorder="1" applyAlignment="1">
      <alignment horizontal="center"/>
      <protection/>
    </xf>
    <xf numFmtId="0" fontId="2" fillId="0" borderId="1" xfId="20" applyFont="1" applyBorder="1">
      <alignment/>
      <protection/>
    </xf>
    <xf numFmtId="3" fontId="8" fillId="0" borderId="10" xfId="20" applyNumberFormat="1" applyFont="1" applyBorder="1" applyAlignment="1">
      <alignment horizontal="right"/>
      <protection/>
    </xf>
    <xf numFmtId="3" fontId="2" fillId="0" borderId="10" xfId="20" applyNumberFormat="1" applyFont="1" applyBorder="1" applyAlignment="1">
      <alignment horizontal="right"/>
      <protection/>
    </xf>
    <xf numFmtId="0" fontId="0" fillId="0" borderId="17" xfId="20" applyFont="1" applyBorder="1" applyAlignment="1">
      <alignment wrapText="1"/>
      <protection/>
    </xf>
    <xf numFmtId="3" fontId="2" fillId="0" borderId="35" xfId="20" applyNumberFormat="1" applyFont="1" applyBorder="1" applyAlignment="1">
      <alignment horizontal="right"/>
      <protection/>
    </xf>
    <xf numFmtId="0" fontId="0" fillId="0" borderId="21" xfId="20" applyFont="1" applyBorder="1" applyAlignment="1">
      <alignment wrapText="1"/>
      <protection/>
    </xf>
    <xf numFmtId="3" fontId="2" fillId="0" borderId="36" xfId="20" applyNumberFormat="1" applyFont="1" applyBorder="1" applyAlignment="1">
      <alignment horizontal="right"/>
      <protection/>
    </xf>
    <xf numFmtId="0" fontId="4" fillId="0" borderId="9" xfId="20" applyFont="1" applyBorder="1" applyAlignment="1">
      <alignment horizontal="left"/>
      <protection/>
    </xf>
    <xf numFmtId="0" fontId="4" fillId="0" borderId="11" xfId="20" applyFont="1" applyBorder="1" applyAlignment="1">
      <alignment horizontal="left"/>
      <protection/>
    </xf>
    <xf numFmtId="3" fontId="8" fillId="0" borderId="13" xfId="20" applyNumberFormat="1" applyFont="1" applyBorder="1" applyAlignment="1">
      <alignment horizontal="right"/>
      <protection/>
    </xf>
    <xf numFmtId="0" fontId="18" fillId="0" borderId="0" xfId="20" applyFont="1">
      <alignment/>
      <protection/>
    </xf>
    <xf numFmtId="3" fontId="2" fillId="0" borderId="0" xfId="20" applyNumberFormat="1" applyFont="1">
      <alignment/>
      <protection/>
    </xf>
    <xf numFmtId="3" fontId="2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3" fillId="0" borderId="5" xfId="20" applyFont="1" applyBorder="1" applyAlignment="1">
      <alignment horizontal="centerContinuous" vertical="center" wrapText="1"/>
      <protection/>
    </xf>
    <xf numFmtId="0" fontId="25" fillId="0" borderId="5" xfId="20" applyFont="1" applyBorder="1" applyAlignment="1">
      <alignment horizontal="centerContinuous"/>
      <protection/>
    </xf>
    <xf numFmtId="172" fontId="3" fillId="0" borderId="9" xfId="20" applyNumberFormat="1" applyFont="1" applyBorder="1" applyAlignment="1">
      <alignment horizontal="center"/>
      <protection/>
    </xf>
    <xf numFmtId="172" fontId="3" fillId="0" borderId="1" xfId="20" applyNumberFormat="1" applyFont="1" applyBorder="1" applyAlignment="1">
      <alignment horizontal="center"/>
      <protection/>
    </xf>
    <xf numFmtId="172" fontId="3" fillId="0" borderId="10" xfId="20" applyNumberFormat="1" applyFont="1" applyBorder="1" applyAlignment="1">
      <alignment horizontal="center"/>
      <protection/>
    </xf>
    <xf numFmtId="3" fontId="2" fillId="0" borderId="1" xfId="20" applyNumberFormat="1" applyFont="1" applyBorder="1" applyAlignment="1">
      <alignment horizontal="right"/>
      <protection/>
    </xf>
    <xf numFmtId="0" fontId="3" fillId="0" borderId="11" xfId="20" applyFont="1" applyBorder="1" applyAlignment="1">
      <alignment wrapText="1"/>
      <protection/>
    </xf>
    <xf numFmtId="3" fontId="2" fillId="0" borderId="12" xfId="20" applyNumberFormat="1" applyFont="1" applyBorder="1" applyAlignment="1">
      <alignment horizontal="right"/>
      <protection/>
    </xf>
    <xf numFmtId="3" fontId="2" fillId="0" borderId="13" xfId="20" applyNumberFormat="1" applyFont="1" applyBorder="1" applyAlignment="1">
      <alignment horizontal="right"/>
      <protection/>
    </xf>
    <xf numFmtId="0" fontId="4" fillId="0" borderId="18" xfId="20" applyFont="1" applyBorder="1" applyAlignment="1">
      <alignment horizontal="right" wrapText="1"/>
      <protection/>
    </xf>
    <xf numFmtId="3" fontId="2" fillId="0" borderId="16" xfId="20" applyNumberFormat="1" applyFont="1" applyBorder="1" applyAlignment="1">
      <alignment horizontal="right"/>
      <protection/>
    </xf>
    <xf numFmtId="3" fontId="2" fillId="0" borderId="37" xfId="20" applyNumberFormat="1" applyFont="1" applyBorder="1" applyAlignment="1">
      <alignment horizontal="right"/>
      <protection/>
    </xf>
    <xf numFmtId="4" fontId="8" fillId="0" borderId="0" xfId="20" applyNumberFormat="1" applyFont="1" applyBorder="1">
      <alignment/>
      <protection/>
    </xf>
    <xf numFmtId="3" fontId="2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4" fontId="4" fillId="0" borderId="0" xfId="20" applyNumberFormat="1" applyFont="1" applyBorder="1">
      <alignment/>
      <protection/>
    </xf>
    <xf numFmtId="216" fontId="4" fillId="0" borderId="0" xfId="20" applyNumberFormat="1" applyFont="1" applyBorder="1">
      <alignment/>
      <protection/>
    </xf>
    <xf numFmtId="217" fontId="4" fillId="0" borderId="0" xfId="20" applyNumberFormat="1" applyFont="1" applyBorder="1">
      <alignment/>
      <protection/>
    </xf>
    <xf numFmtId="172" fontId="4" fillId="0" borderId="0" xfId="20" applyNumberFormat="1" applyFont="1" applyBorder="1">
      <alignment/>
      <protection/>
    </xf>
    <xf numFmtId="217" fontId="2" fillId="0" borderId="0" xfId="20" applyNumberFormat="1" applyFont="1" applyBorder="1">
      <alignment/>
      <protection/>
    </xf>
    <xf numFmtId="172" fontId="2" fillId="0" borderId="0" xfId="20" applyNumberFormat="1" applyFont="1" applyBorder="1">
      <alignment/>
      <protection/>
    </xf>
    <xf numFmtId="4" fontId="8" fillId="0" borderId="0" xfId="20" applyNumberFormat="1" applyFont="1">
      <alignment/>
      <protection/>
    </xf>
    <xf numFmtId="172" fontId="2" fillId="0" borderId="0" xfId="20" applyNumberFormat="1" applyFont="1">
      <alignment/>
      <protection/>
    </xf>
    <xf numFmtId="0" fontId="25" fillId="0" borderId="0" xfId="20" applyFont="1" applyAlignment="1">
      <alignment horizontal="right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_07_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-arv.fin.pal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kopbudzet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Sheet2"/>
      <sheetName val="Sheet1"/>
      <sheetName val="darbam"/>
      <sheetName val="Sheet3"/>
    </sheetNames>
    <sheetDataSet>
      <sheetData sheetId="1">
        <row r="8">
          <cell r="K8" t="str">
            <v>Izpilde no gada sākuma</v>
          </cell>
        </row>
        <row r="9">
          <cell r="K9">
            <v>4</v>
          </cell>
        </row>
      </sheetData>
      <sheetData sheetId="5">
        <row r="15">
          <cell r="D15">
            <v>429590.77</v>
          </cell>
          <cell r="K15">
            <v>430</v>
          </cell>
        </row>
        <row r="16">
          <cell r="D16">
            <v>42377.3</v>
          </cell>
          <cell r="K16">
            <v>42</v>
          </cell>
        </row>
        <row r="18">
          <cell r="D18">
            <v>2578923.63</v>
          </cell>
          <cell r="K18">
            <v>2579</v>
          </cell>
        </row>
        <row r="19">
          <cell r="D19">
            <v>520949.54</v>
          </cell>
          <cell r="K19">
            <v>521</v>
          </cell>
        </row>
        <row r="21">
          <cell r="D21">
            <v>1446654.2</v>
          </cell>
          <cell r="K21">
            <v>1447</v>
          </cell>
        </row>
        <row r="22">
          <cell r="D22">
            <v>24238.9</v>
          </cell>
          <cell r="K22">
            <v>24</v>
          </cell>
        </row>
        <row r="24">
          <cell r="D24">
            <v>17681800.92</v>
          </cell>
          <cell r="K24">
            <v>17682</v>
          </cell>
        </row>
        <row r="25">
          <cell r="D25">
            <v>619390.57</v>
          </cell>
          <cell r="K25">
            <v>619</v>
          </cell>
        </row>
        <row r="27">
          <cell r="D27">
            <v>4883739.87</v>
          </cell>
          <cell r="K27">
            <v>4884</v>
          </cell>
        </row>
        <row r="28">
          <cell r="D28">
            <v>191059.18</v>
          </cell>
          <cell r="K28">
            <v>191</v>
          </cell>
        </row>
        <row r="30">
          <cell r="D30">
            <v>2656206.93</v>
          </cell>
          <cell r="K30">
            <v>2656</v>
          </cell>
        </row>
        <row r="31">
          <cell r="D31">
            <v>78501.11</v>
          </cell>
          <cell r="K31">
            <v>79</v>
          </cell>
        </row>
        <row r="33">
          <cell r="D33">
            <v>45350320.11</v>
          </cell>
          <cell r="K33">
            <v>45350</v>
          </cell>
        </row>
        <row r="34">
          <cell r="D34">
            <v>4677783.77</v>
          </cell>
          <cell r="K34">
            <v>4678</v>
          </cell>
        </row>
        <row r="36">
          <cell r="D36">
            <v>35865921.73</v>
          </cell>
          <cell r="K36">
            <v>35866</v>
          </cell>
        </row>
        <row r="37">
          <cell r="D37">
            <v>3498549.23</v>
          </cell>
          <cell r="K37">
            <v>3499</v>
          </cell>
        </row>
        <row r="39">
          <cell r="D39">
            <v>30152954.98</v>
          </cell>
          <cell r="K39">
            <v>30153</v>
          </cell>
        </row>
        <row r="40">
          <cell r="D40">
            <v>1452071.06</v>
          </cell>
          <cell r="K40">
            <v>1452</v>
          </cell>
        </row>
        <row r="42">
          <cell r="D42">
            <v>22886621.29</v>
          </cell>
          <cell r="K42">
            <v>22887</v>
          </cell>
        </row>
        <row r="43">
          <cell r="D43">
            <v>1457001.22</v>
          </cell>
          <cell r="K43">
            <v>1457</v>
          </cell>
        </row>
        <row r="45">
          <cell r="D45">
            <v>3441408.01</v>
          </cell>
          <cell r="K45">
            <v>3441</v>
          </cell>
        </row>
        <row r="46">
          <cell r="D46">
            <v>1562772.67</v>
          </cell>
          <cell r="K46">
            <v>1563</v>
          </cell>
        </row>
        <row r="48">
          <cell r="D48">
            <v>77052602.11</v>
          </cell>
          <cell r="K48">
            <v>77053</v>
          </cell>
        </row>
        <row r="49">
          <cell r="D49">
            <v>2033157.26</v>
          </cell>
          <cell r="K49">
            <v>2033</v>
          </cell>
        </row>
        <row r="51">
          <cell r="D51">
            <v>12254810.86</v>
          </cell>
          <cell r="K51">
            <v>12255</v>
          </cell>
        </row>
        <row r="52">
          <cell r="D52">
            <v>1345775.5</v>
          </cell>
          <cell r="K52">
            <v>1346</v>
          </cell>
        </row>
        <row r="54">
          <cell r="D54">
            <v>3262352.4</v>
          </cell>
          <cell r="K54">
            <v>3262</v>
          </cell>
        </row>
        <row r="55">
          <cell r="D55">
            <v>474426.58</v>
          </cell>
          <cell r="K55">
            <v>474</v>
          </cell>
        </row>
        <row r="57">
          <cell r="D57">
            <v>7832790.1</v>
          </cell>
          <cell r="K57">
            <v>7833</v>
          </cell>
        </row>
        <row r="58">
          <cell r="D58">
            <v>836066.99</v>
          </cell>
          <cell r="K58">
            <v>836</v>
          </cell>
        </row>
        <row r="60">
          <cell r="D60">
            <v>6112473.89</v>
          </cell>
          <cell r="K60">
            <v>6112</v>
          </cell>
        </row>
        <row r="61">
          <cell r="D61">
            <v>509978</v>
          </cell>
          <cell r="K61">
            <v>510</v>
          </cell>
        </row>
        <row r="63">
          <cell r="D63">
            <v>547240.59</v>
          </cell>
          <cell r="K63">
            <v>547</v>
          </cell>
        </row>
        <row r="64">
          <cell r="D64">
            <v>7393.86</v>
          </cell>
          <cell r="F64">
            <v>0.47579536679536677</v>
          </cell>
          <cell r="K64">
            <v>7</v>
          </cell>
        </row>
        <row r="65">
          <cell r="F65">
            <v>0.9775301700493692</v>
          </cell>
        </row>
        <row r="66">
          <cell r="D66">
            <v>356407.5</v>
          </cell>
          <cell r="K66">
            <v>356</v>
          </cell>
        </row>
        <row r="67">
          <cell r="D67">
            <v>152570.02000000002</v>
          </cell>
        </row>
        <row r="68">
          <cell r="D68">
            <v>139700.48</v>
          </cell>
          <cell r="K68">
            <v>140</v>
          </cell>
        </row>
        <row r="69">
          <cell r="D69">
            <v>12869.54</v>
          </cell>
          <cell r="K69">
            <v>13</v>
          </cell>
        </row>
        <row r="71">
          <cell r="D71">
            <v>3005919.57</v>
          </cell>
          <cell r="K71">
            <v>3006</v>
          </cell>
        </row>
        <row r="72">
          <cell r="D72">
            <v>38884.96</v>
          </cell>
          <cell r="K72">
            <v>39</v>
          </cell>
        </row>
        <row r="74">
          <cell r="D74">
            <v>32106.99</v>
          </cell>
          <cell r="K74">
            <v>32</v>
          </cell>
        </row>
        <row r="75">
          <cell r="D75">
            <v>1277.93</v>
          </cell>
          <cell r="K75">
            <v>1</v>
          </cell>
        </row>
        <row r="77">
          <cell r="D77">
            <v>24641.19</v>
          </cell>
          <cell r="K77">
            <v>25</v>
          </cell>
        </row>
        <row r="78">
          <cell r="K78">
            <v>385</v>
          </cell>
        </row>
        <row r="79">
          <cell r="D79">
            <v>384848</v>
          </cell>
          <cell r="K79">
            <v>385</v>
          </cell>
        </row>
        <row r="80">
          <cell r="K80">
            <v>3431</v>
          </cell>
        </row>
        <row r="81">
          <cell r="D81">
            <v>3273147.24</v>
          </cell>
          <cell r="K81">
            <v>3273</v>
          </cell>
        </row>
        <row r="82">
          <cell r="D82">
            <v>157574.89</v>
          </cell>
          <cell r="K82">
            <v>158</v>
          </cell>
        </row>
        <row r="84">
          <cell r="D84">
            <v>50324</v>
          </cell>
          <cell r="K84">
            <v>50</v>
          </cell>
        </row>
        <row r="85">
          <cell r="K85">
            <v>673</v>
          </cell>
        </row>
        <row r="86">
          <cell r="D86">
            <v>671400.75</v>
          </cell>
          <cell r="K86">
            <v>671</v>
          </cell>
        </row>
        <row r="87">
          <cell r="D87">
            <v>1747.34</v>
          </cell>
          <cell r="K87">
            <v>2</v>
          </cell>
        </row>
        <row r="88">
          <cell r="K88">
            <v>579</v>
          </cell>
        </row>
        <row r="89">
          <cell r="D89">
            <v>568720.49</v>
          </cell>
          <cell r="K89">
            <v>569</v>
          </cell>
        </row>
        <row r="90">
          <cell r="D90">
            <v>9990.14</v>
          </cell>
          <cell r="K90">
            <v>10</v>
          </cell>
        </row>
        <row r="92">
          <cell r="D92">
            <v>52427181</v>
          </cell>
          <cell r="K92">
            <v>52427</v>
          </cell>
        </row>
        <row r="93">
          <cell r="D93">
            <v>2602375.75</v>
          </cell>
          <cell r="K93">
            <v>2602</v>
          </cell>
        </row>
        <row r="95">
          <cell r="D95">
            <v>3671859</v>
          </cell>
          <cell r="K95">
            <v>3672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Aprīlis "/>
      <sheetName val="Maijs"/>
      <sheetName val="Jūnijs"/>
      <sheetName val="Jūlijs"/>
      <sheetName val="iensad"/>
      <sheetName val="sadale"/>
      <sheetName val="nodokļi"/>
      <sheetName val="Sheet3"/>
      <sheetName val="Sheet1"/>
    </sheetNames>
    <sheetDataSet>
      <sheetData sheetId="1">
        <row r="29">
          <cell r="F29">
            <v>0</v>
          </cell>
        </row>
      </sheetData>
      <sheetData sheetId="7">
        <row r="12">
          <cell r="J12">
            <v>48078</v>
          </cell>
        </row>
        <row r="14">
          <cell r="J14">
            <v>163316</v>
          </cell>
        </row>
        <row r="15">
          <cell r="J15">
            <v>55903</v>
          </cell>
        </row>
        <row r="16">
          <cell r="J16">
            <v>7206</v>
          </cell>
        </row>
        <row r="17">
          <cell r="J17">
            <v>3425</v>
          </cell>
        </row>
        <row r="19">
          <cell r="J19">
            <v>443</v>
          </cell>
        </row>
        <row r="20">
          <cell r="J20">
            <v>5454</v>
          </cell>
        </row>
        <row r="21">
          <cell r="J21">
            <v>7792</v>
          </cell>
        </row>
        <row r="22">
          <cell r="J22">
            <v>420</v>
          </cell>
        </row>
        <row r="23">
          <cell r="J23">
            <v>2317</v>
          </cell>
        </row>
        <row r="24">
          <cell r="J24">
            <v>181</v>
          </cell>
        </row>
        <row r="25">
          <cell r="J25">
            <v>4331</v>
          </cell>
        </row>
        <row r="26">
          <cell r="J26">
            <v>8627</v>
          </cell>
        </row>
        <row r="27">
          <cell r="J27">
            <v>601</v>
          </cell>
        </row>
        <row r="28">
          <cell r="J28">
            <v>8025</v>
          </cell>
        </row>
        <row r="29">
          <cell r="J29">
            <v>226</v>
          </cell>
        </row>
        <row r="31">
          <cell r="J31">
            <v>26176</v>
          </cell>
        </row>
        <row r="32">
          <cell r="J32">
            <v>26176</v>
          </cell>
        </row>
        <row r="33">
          <cell r="J33">
            <v>1863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9">
          <cell r="H9">
            <v>636429</v>
          </cell>
        </row>
        <row r="10">
          <cell r="H10">
            <v>335758</v>
          </cell>
        </row>
        <row r="11">
          <cell r="H11">
            <v>277928</v>
          </cell>
        </row>
        <row r="12">
          <cell r="H12">
            <v>48078</v>
          </cell>
        </row>
        <row r="13">
          <cell r="H13">
            <v>48078</v>
          </cell>
        </row>
        <row r="14">
          <cell r="H14">
            <v>226425</v>
          </cell>
        </row>
        <row r="15">
          <cell r="H15">
            <v>163316</v>
          </cell>
        </row>
        <row r="16">
          <cell r="H16">
            <v>55903</v>
          </cell>
        </row>
        <row r="17">
          <cell r="H17">
            <v>7206</v>
          </cell>
        </row>
        <row r="18">
          <cell r="H18">
            <v>3425</v>
          </cell>
        </row>
        <row r="19">
          <cell r="H19">
            <v>29791</v>
          </cell>
        </row>
        <row r="20">
          <cell r="H20">
            <v>26176</v>
          </cell>
        </row>
        <row r="21">
          <cell r="H21">
            <v>1863</v>
          </cell>
        </row>
        <row r="22">
          <cell r="H22">
            <v>601</v>
          </cell>
        </row>
        <row r="23">
          <cell r="H23">
            <v>335157</v>
          </cell>
        </row>
        <row r="24">
          <cell r="H24">
            <v>334169</v>
          </cell>
        </row>
        <row r="25">
          <cell r="H25">
            <v>334169</v>
          </cell>
        </row>
        <row r="26">
          <cell r="H26">
            <v>227454</v>
          </cell>
        </row>
        <row r="27">
          <cell r="H27">
            <v>21880</v>
          </cell>
        </row>
        <row r="28">
          <cell r="H28">
            <v>35036</v>
          </cell>
        </row>
        <row r="29">
          <cell r="H29">
            <v>280</v>
          </cell>
        </row>
        <row r="30">
          <cell r="H30">
            <v>49519</v>
          </cell>
        </row>
        <row r="31">
          <cell r="H31">
            <v>32897</v>
          </cell>
        </row>
        <row r="32">
          <cell r="H32">
            <v>301272</v>
          </cell>
        </row>
        <row r="33">
          <cell r="H33">
            <v>691058</v>
          </cell>
        </row>
        <row r="34">
          <cell r="H34">
            <v>657081</v>
          </cell>
        </row>
        <row r="35">
          <cell r="H35">
            <v>11949</v>
          </cell>
        </row>
        <row r="36">
          <cell r="H36">
            <v>22028</v>
          </cell>
        </row>
        <row r="37">
          <cell r="H37">
            <v>-54629</v>
          </cell>
        </row>
        <row r="38">
          <cell r="H38">
            <v>401</v>
          </cell>
        </row>
        <row r="39">
          <cell r="H39">
            <v>691459</v>
          </cell>
        </row>
        <row r="40">
          <cell r="H40">
            <v>-55030</v>
          </cell>
        </row>
        <row r="41">
          <cell r="H41">
            <v>361199</v>
          </cell>
        </row>
        <row r="42">
          <cell r="H42">
            <v>32897</v>
          </cell>
        </row>
        <row r="43">
          <cell r="H43">
            <v>328302</v>
          </cell>
        </row>
        <row r="44">
          <cell r="H44">
            <v>339043</v>
          </cell>
        </row>
        <row r="45">
          <cell r="H45">
            <v>31901</v>
          </cell>
        </row>
        <row r="46">
          <cell r="H46">
            <v>307142</v>
          </cell>
        </row>
        <row r="47">
          <cell r="H47">
            <v>6338</v>
          </cell>
        </row>
        <row r="48">
          <cell r="H48">
            <v>6338</v>
          </cell>
        </row>
        <row r="49">
          <cell r="H49">
            <v>15818</v>
          </cell>
        </row>
        <row r="50">
          <cell r="H50">
            <v>996</v>
          </cell>
        </row>
        <row r="51">
          <cell r="H51">
            <v>14822</v>
          </cell>
        </row>
        <row r="52">
          <cell r="H52">
            <v>-25441</v>
          </cell>
        </row>
        <row r="53">
          <cell r="H53">
            <v>-2047</v>
          </cell>
        </row>
        <row r="54">
          <cell r="H54">
            <v>34688</v>
          </cell>
        </row>
        <row r="55">
          <cell r="H55">
            <v>36735</v>
          </cell>
        </row>
        <row r="56">
          <cell r="H56">
            <v>-2047</v>
          </cell>
        </row>
        <row r="57">
          <cell r="H57">
            <v>-60129</v>
          </cell>
        </row>
        <row r="58">
          <cell r="H58">
            <v>363357</v>
          </cell>
        </row>
        <row r="59">
          <cell r="H59">
            <v>601</v>
          </cell>
        </row>
        <row r="60">
          <cell r="H60">
            <v>362756</v>
          </cell>
        </row>
        <row r="61">
          <cell r="H61">
            <v>350540</v>
          </cell>
        </row>
        <row r="62">
          <cell r="H62">
            <v>601</v>
          </cell>
        </row>
        <row r="63">
          <cell r="H63">
            <v>349939</v>
          </cell>
        </row>
        <row r="64">
          <cell r="H64">
            <v>5611</v>
          </cell>
        </row>
        <row r="65">
          <cell r="H65">
            <v>5611</v>
          </cell>
        </row>
        <row r="66">
          <cell r="H66">
            <v>7206</v>
          </cell>
        </row>
        <row r="67">
          <cell r="H67">
            <v>7206</v>
          </cell>
        </row>
        <row r="68">
          <cell r="H68">
            <v>-29188</v>
          </cell>
        </row>
        <row r="69">
          <cell r="H69">
            <v>2448</v>
          </cell>
        </row>
        <row r="70">
          <cell r="H70">
            <v>2448</v>
          </cell>
        </row>
        <row r="71">
          <cell r="H71">
            <v>2448</v>
          </cell>
        </row>
        <row r="72">
          <cell r="H72">
            <v>-31636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Aprīlis"/>
      <sheetName val="Maijs"/>
      <sheetName val="Jūnijs"/>
      <sheetName val="Jūlijs"/>
      <sheetName val="sadaletab"/>
      <sheetName val="sadale"/>
      <sheetName val="dot spec"/>
      <sheetName val="Sheet3"/>
      <sheetName val="Sheet2"/>
    </sheetNames>
    <sheetDataSet>
      <sheetData sheetId="6">
        <row r="13">
          <cell r="K13">
            <v>343662</v>
          </cell>
        </row>
        <row r="14">
          <cell r="K14">
            <v>0</v>
          </cell>
        </row>
        <row r="15">
          <cell r="K15">
            <v>26176</v>
          </cell>
        </row>
        <row r="16">
          <cell r="K16">
            <v>1863</v>
          </cell>
        </row>
        <row r="20">
          <cell r="K20">
            <v>77684</v>
          </cell>
        </row>
        <row r="21">
          <cell r="K21">
            <v>20494</v>
          </cell>
        </row>
        <row r="22">
          <cell r="K22">
            <v>65218</v>
          </cell>
        </row>
        <row r="23">
          <cell r="K23">
            <v>22105</v>
          </cell>
        </row>
        <row r="24">
          <cell r="K24">
            <v>8263</v>
          </cell>
        </row>
        <row r="25">
          <cell r="K25">
            <v>13553</v>
          </cell>
        </row>
        <row r="26">
          <cell r="K26">
            <v>289</v>
          </cell>
        </row>
        <row r="28">
          <cell r="K28">
            <v>8789</v>
          </cell>
        </row>
        <row r="29">
          <cell r="K29">
            <v>52427</v>
          </cell>
        </row>
        <row r="30">
          <cell r="K30">
            <v>3672</v>
          </cell>
        </row>
        <row r="31">
          <cell r="K31">
            <v>49712</v>
          </cell>
        </row>
        <row r="32">
          <cell r="K32">
            <v>31901</v>
          </cell>
        </row>
        <row r="33">
          <cell r="K33">
            <v>17811</v>
          </cell>
        </row>
        <row r="34">
          <cell r="K34">
            <v>36838</v>
          </cell>
        </row>
        <row r="35">
          <cell r="K35">
            <v>638</v>
          </cell>
        </row>
        <row r="36">
          <cell r="K36">
            <v>26872</v>
          </cell>
        </row>
        <row r="37">
          <cell r="K37">
            <v>3924</v>
          </cell>
        </row>
        <row r="38">
          <cell r="K38">
            <v>5404</v>
          </cell>
        </row>
        <row r="39">
          <cell r="K39">
            <v>2104</v>
          </cell>
        </row>
        <row r="40">
          <cell r="K40">
            <v>22156</v>
          </cell>
        </row>
        <row r="41">
          <cell r="K41">
            <v>6338</v>
          </cell>
        </row>
        <row r="42">
          <cell r="K42">
            <v>15818</v>
          </cell>
        </row>
        <row r="43">
          <cell r="K43">
            <v>996</v>
          </cell>
        </row>
        <row r="44">
          <cell r="K44">
            <v>2602</v>
          </cell>
        </row>
        <row r="45">
          <cell r="K45">
            <v>34688</v>
          </cell>
        </row>
        <row r="46">
          <cell r="K46">
            <v>50930</v>
          </cell>
        </row>
        <row r="47">
          <cell r="K47">
            <v>39354</v>
          </cell>
        </row>
        <row r="48">
          <cell r="K48">
            <v>16242</v>
          </cell>
        </row>
        <row r="49">
          <cell r="K49">
            <v>2619</v>
          </cell>
        </row>
        <row r="51">
          <cell r="K51">
            <v>60129</v>
          </cell>
        </row>
        <row r="52">
          <cell r="K52">
            <v>1616</v>
          </cell>
        </row>
        <row r="53">
          <cell r="K53">
            <v>234</v>
          </cell>
        </row>
        <row r="54">
          <cell r="K54">
            <v>58279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heet3"/>
    </sheetNames>
    <sheetDataSet>
      <sheetData sheetId="5">
        <row r="22">
          <cell r="D22">
            <v>1139774</v>
          </cell>
          <cell r="J22">
            <v>1140</v>
          </cell>
        </row>
        <row r="24">
          <cell r="D24">
            <v>1230802</v>
          </cell>
          <cell r="J24">
            <v>1231</v>
          </cell>
        </row>
        <row r="25">
          <cell r="D25">
            <v>12670</v>
          </cell>
          <cell r="J25">
            <v>13</v>
          </cell>
        </row>
        <row r="29">
          <cell r="D29">
            <v>1145638</v>
          </cell>
          <cell r="J29">
            <v>1145</v>
          </cell>
        </row>
        <row r="30">
          <cell r="D30">
            <v>382920</v>
          </cell>
          <cell r="J30">
            <v>383</v>
          </cell>
        </row>
        <row r="32">
          <cell r="D32">
            <v>306815</v>
          </cell>
          <cell r="J32">
            <v>307</v>
          </cell>
        </row>
        <row r="35">
          <cell r="D35">
            <v>499489</v>
          </cell>
          <cell r="J35">
            <v>499</v>
          </cell>
        </row>
        <row r="37">
          <cell r="D37">
            <v>18599</v>
          </cell>
          <cell r="J37">
            <v>19</v>
          </cell>
        </row>
        <row r="41">
          <cell r="D41">
            <v>1116270</v>
          </cell>
          <cell r="J41">
            <v>1116</v>
          </cell>
        </row>
        <row r="43">
          <cell r="D43">
            <v>847131</v>
          </cell>
          <cell r="J43">
            <v>847</v>
          </cell>
        </row>
        <row r="44">
          <cell r="D44">
            <v>300000</v>
          </cell>
          <cell r="J44">
            <v>300</v>
          </cell>
        </row>
        <row r="45">
          <cell r="D45">
            <v>218000</v>
          </cell>
          <cell r="J45">
            <v>218</v>
          </cell>
        </row>
        <row r="48">
          <cell r="D48">
            <v>421950</v>
          </cell>
          <cell r="J48">
            <v>422</v>
          </cell>
        </row>
        <row r="50">
          <cell r="D50">
            <v>232703</v>
          </cell>
          <cell r="J50">
            <v>233</v>
          </cell>
        </row>
        <row r="51">
          <cell r="D51">
            <v>413</v>
          </cell>
          <cell r="J51">
            <v>0</v>
          </cell>
        </row>
        <row r="52">
          <cell r="D52">
            <v>2466072</v>
          </cell>
          <cell r="J52">
            <v>2466</v>
          </cell>
        </row>
        <row r="53">
          <cell r="D53">
            <v>17933</v>
          </cell>
          <cell r="J53">
            <v>18</v>
          </cell>
        </row>
        <row r="54">
          <cell r="D54">
            <v>-2259305</v>
          </cell>
          <cell r="J54">
            <v>-2259</v>
          </cell>
        </row>
        <row r="55">
          <cell r="D55">
            <v>2466193</v>
          </cell>
          <cell r="J55">
            <v>2466</v>
          </cell>
        </row>
        <row r="59">
          <cell r="D59">
            <v>237173</v>
          </cell>
          <cell r="J59">
            <v>237</v>
          </cell>
        </row>
        <row r="60">
          <cell r="D60">
            <v>185765</v>
          </cell>
          <cell r="J60">
            <v>186</v>
          </cell>
        </row>
        <row r="62">
          <cell r="D62">
            <v>225078</v>
          </cell>
          <cell r="J62">
            <v>225</v>
          </cell>
        </row>
        <row r="63">
          <cell r="D63">
            <v>14325</v>
          </cell>
          <cell r="J63">
            <v>14</v>
          </cell>
        </row>
        <row r="67">
          <cell r="D67">
            <v>4624659</v>
          </cell>
          <cell r="J67">
            <v>4625</v>
          </cell>
        </row>
        <row r="68">
          <cell r="D68">
            <v>20786891</v>
          </cell>
          <cell r="J68">
            <v>20787</v>
          </cell>
        </row>
        <row r="69">
          <cell r="D69">
            <v>12737</v>
          </cell>
          <cell r="J69">
            <v>13</v>
          </cell>
        </row>
        <row r="70">
          <cell r="D70">
            <v>280452</v>
          </cell>
          <cell r="J70">
            <v>280</v>
          </cell>
        </row>
        <row r="72">
          <cell r="D72">
            <v>23206317</v>
          </cell>
          <cell r="J72">
            <v>23206</v>
          </cell>
        </row>
        <row r="73">
          <cell r="D73">
            <v>6757655</v>
          </cell>
          <cell r="J73">
            <v>6758</v>
          </cell>
        </row>
        <row r="74">
          <cell r="D74">
            <v>-4259233</v>
          </cell>
          <cell r="J74">
            <v>-4259</v>
          </cell>
        </row>
        <row r="75">
          <cell r="D75">
            <v>3528801</v>
          </cell>
          <cell r="J75">
            <v>3529</v>
          </cell>
        </row>
        <row r="78">
          <cell r="D78">
            <v>370469</v>
          </cell>
          <cell r="J78">
            <v>370</v>
          </cell>
        </row>
        <row r="79">
          <cell r="D79">
            <v>4022</v>
          </cell>
          <cell r="J79">
            <v>4</v>
          </cell>
        </row>
        <row r="81">
          <cell r="D81">
            <v>207862</v>
          </cell>
          <cell r="J81">
            <v>208</v>
          </cell>
        </row>
        <row r="82">
          <cell r="D82">
            <v>16228</v>
          </cell>
          <cell r="J82">
            <v>16</v>
          </cell>
        </row>
        <row r="84">
          <cell r="D84">
            <v>1073341</v>
          </cell>
          <cell r="J84">
            <v>1073</v>
          </cell>
        </row>
        <row r="86">
          <cell r="D86">
            <v>1732116</v>
          </cell>
          <cell r="J86">
            <v>1732</v>
          </cell>
        </row>
        <row r="87">
          <cell r="D87">
            <v>750000</v>
          </cell>
          <cell r="J87">
            <v>750</v>
          </cell>
        </row>
        <row r="91">
          <cell r="D91">
            <v>35035988</v>
          </cell>
          <cell r="J91">
            <v>35036</v>
          </cell>
        </row>
        <row r="92">
          <cell r="D92">
            <v>28361021</v>
          </cell>
          <cell r="J92">
            <v>28361</v>
          </cell>
        </row>
        <row r="93">
          <cell r="D93">
            <v>1417689</v>
          </cell>
          <cell r="J93">
            <v>1418</v>
          </cell>
        </row>
        <row r="95">
          <cell r="D95">
            <v>63252678</v>
          </cell>
          <cell r="J95">
            <v>63253</v>
          </cell>
        </row>
        <row r="96">
          <cell r="D96">
            <v>1779002</v>
          </cell>
          <cell r="J96">
            <v>1779</v>
          </cell>
        </row>
        <row r="97">
          <cell r="D97">
            <v>-216982</v>
          </cell>
          <cell r="J97">
            <v>-217</v>
          </cell>
        </row>
        <row r="98">
          <cell r="D98">
            <v>766189</v>
          </cell>
          <cell r="J98">
            <v>766</v>
          </cell>
        </row>
        <row r="101">
          <cell r="D101">
            <v>227454298</v>
          </cell>
          <cell r="J101">
            <v>227454</v>
          </cell>
        </row>
        <row r="102">
          <cell r="D102">
            <v>2998389</v>
          </cell>
          <cell r="J102">
            <v>2998</v>
          </cell>
        </row>
        <row r="103">
          <cell r="D103">
            <v>1080618</v>
          </cell>
          <cell r="J103">
            <v>1081</v>
          </cell>
        </row>
        <row r="105">
          <cell r="D105">
            <v>257949138</v>
          </cell>
          <cell r="J105">
            <v>257949</v>
          </cell>
        </row>
        <row r="106">
          <cell r="D106">
            <v>687051</v>
          </cell>
          <cell r="J106">
            <v>687</v>
          </cell>
        </row>
        <row r="107">
          <cell r="D107">
            <v>-27102884</v>
          </cell>
          <cell r="J107">
            <v>-27103</v>
          </cell>
        </row>
        <row r="108">
          <cell r="D108">
            <v>29494604</v>
          </cell>
          <cell r="J108">
            <v>29495</v>
          </cell>
        </row>
        <row r="111">
          <cell r="D111">
            <v>170864606</v>
          </cell>
          <cell r="J111">
            <v>170865</v>
          </cell>
        </row>
        <row r="112">
          <cell r="D112">
            <v>1611130</v>
          </cell>
          <cell r="J112">
            <v>1611</v>
          </cell>
        </row>
        <row r="113">
          <cell r="D113">
            <v>8101991</v>
          </cell>
          <cell r="J113">
            <v>8102</v>
          </cell>
        </row>
        <row r="115">
          <cell r="D115">
            <v>205405086</v>
          </cell>
          <cell r="J115">
            <v>205405</v>
          </cell>
        </row>
        <row r="116">
          <cell r="D116">
            <v>-24827359</v>
          </cell>
          <cell r="J116">
            <v>-24827</v>
          </cell>
        </row>
        <row r="117">
          <cell r="D117">
            <v>24833011</v>
          </cell>
          <cell r="J117">
            <v>24833</v>
          </cell>
        </row>
        <row r="120">
          <cell r="D120">
            <v>15460422</v>
          </cell>
          <cell r="J120">
            <v>15460</v>
          </cell>
        </row>
        <row r="121">
          <cell r="D121">
            <v>219458</v>
          </cell>
          <cell r="J121">
            <v>219</v>
          </cell>
        </row>
        <row r="122">
          <cell r="D122">
            <v>3355396</v>
          </cell>
          <cell r="J122">
            <v>3355</v>
          </cell>
        </row>
        <row r="124">
          <cell r="D124">
            <v>17376821</v>
          </cell>
          <cell r="J124">
            <v>17377</v>
          </cell>
        </row>
        <row r="125">
          <cell r="D125">
            <v>1658455</v>
          </cell>
          <cell r="J125">
            <v>1657</v>
          </cell>
        </row>
        <row r="128">
          <cell r="D128">
            <v>500190</v>
          </cell>
          <cell r="J128">
            <v>500</v>
          </cell>
        </row>
        <row r="130">
          <cell r="J130">
            <v>0</v>
          </cell>
        </row>
        <row r="132">
          <cell r="D132">
            <v>390657</v>
          </cell>
          <cell r="J132">
            <v>391</v>
          </cell>
        </row>
        <row r="134">
          <cell r="D134">
            <v>120364</v>
          </cell>
          <cell r="J134">
            <v>109</v>
          </cell>
        </row>
        <row r="135">
          <cell r="J135">
            <v>0</v>
          </cell>
        </row>
        <row r="138">
          <cell r="D138">
            <v>40629080</v>
          </cell>
          <cell r="J138">
            <v>40629</v>
          </cell>
        </row>
        <row r="140">
          <cell r="D140">
            <v>273263</v>
          </cell>
          <cell r="J140">
            <v>273</v>
          </cell>
        </row>
        <row r="142">
          <cell r="D142">
            <v>44929951</v>
          </cell>
          <cell r="J142">
            <v>44930</v>
          </cell>
        </row>
        <row r="143">
          <cell r="D143">
            <v>-4027608</v>
          </cell>
          <cell r="J143">
            <v>-4028</v>
          </cell>
        </row>
        <row r="144">
          <cell r="D144">
            <v>4027815</v>
          </cell>
          <cell r="J144">
            <v>4028</v>
          </cell>
        </row>
        <row r="147">
          <cell r="D147">
            <v>1167801</v>
          </cell>
          <cell r="J147">
            <v>1168</v>
          </cell>
        </row>
        <row r="148">
          <cell r="D148">
            <v>4133328</v>
          </cell>
          <cell r="J148">
            <v>4133</v>
          </cell>
        </row>
        <row r="150">
          <cell r="D150">
            <v>4640814</v>
          </cell>
          <cell r="J150">
            <v>4641</v>
          </cell>
        </row>
        <row r="151">
          <cell r="D151">
            <v>687051</v>
          </cell>
          <cell r="J151">
            <v>687</v>
          </cell>
        </row>
        <row r="152">
          <cell r="D152">
            <v>-26736</v>
          </cell>
          <cell r="J152">
            <v>-27</v>
          </cell>
        </row>
        <row r="153">
          <cell r="D153">
            <v>633778</v>
          </cell>
          <cell r="J153">
            <v>634</v>
          </cell>
        </row>
        <row r="157">
          <cell r="D157">
            <v>3907739</v>
          </cell>
          <cell r="J157">
            <v>3908</v>
          </cell>
        </row>
        <row r="158">
          <cell r="D158">
            <v>196539</v>
          </cell>
          <cell r="J158">
            <v>197</v>
          </cell>
        </row>
        <row r="159">
          <cell r="D159">
            <v>42834</v>
          </cell>
          <cell r="J159">
            <v>43</v>
          </cell>
        </row>
        <row r="161">
          <cell r="D161">
            <v>1860304</v>
          </cell>
          <cell r="J161">
            <v>1860</v>
          </cell>
        </row>
        <row r="162">
          <cell r="D162">
            <v>1345240</v>
          </cell>
          <cell r="J162">
            <v>1345</v>
          </cell>
        </row>
        <row r="164">
          <cell r="D164">
            <v>443709</v>
          </cell>
          <cell r="J164">
            <v>444</v>
          </cell>
        </row>
        <row r="166">
          <cell r="D166">
            <v>55286</v>
          </cell>
          <cell r="J166">
            <v>55</v>
          </cell>
        </row>
        <row r="167">
          <cell r="D167">
            <v>245444</v>
          </cell>
          <cell r="J167">
            <v>245</v>
          </cell>
        </row>
        <row r="171">
          <cell r="D171">
            <v>628733</v>
          </cell>
          <cell r="J171">
            <v>629</v>
          </cell>
        </row>
        <row r="172">
          <cell r="D172">
            <v>267035</v>
          </cell>
          <cell r="J172">
            <v>267</v>
          </cell>
        </row>
        <row r="173">
          <cell r="J173">
            <v>0</v>
          </cell>
        </row>
        <row r="175">
          <cell r="D175">
            <v>1057000</v>
          </cell>
          <cell r="J175">
            <v>1057</v>
          </cell>
        </row>
        <row r="178">
          <cell r="D178">
            <v>53408</v>
          </cell>
          <cell r="J178">
            <v>53</v>
          </cell>
        </row>
        <row r="180">
          <cell r="D180">
            <v>89968</v>
          </cell>
          <cell r="J180">
            <v>90</v>
          </cell>
        </row>
        <row r="181">
          <cell r="D181">
            <v>9545</v>
          </cell>
          <cell r="J181">
            <v>10</v>
          </cell>
        </row>
        <row r="182">
          <cell r="D182">
            <v>-46105</v>
          </cell>
          <cell r="J182">
            <v>-47</v>
          </cell>
        </row>
        <row r="183">
          <cell r="D183">
            <v>28965</v>
          </cell>
          <cell r="J183">
            <v>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Sheet3"/>
      <sheetName val="Sheet2"/>
    </sheetNames>
    <sheetDataSet>
      <sheetData sheetId="5">
        <row r="11">
          <cell r="D11">
            <v>332362430</v>
          </cell>
          <cell r="K11">
            <v>332362</v>
          </cell>
        </row>
        <row r="12">
          <cell r="D12">
            <v>1526668</v>
          </cell>
          <cell r="K12">
            <v>1527</v>
          </cell>
        </row>
        <row r="13">
          <cell r="D13">
            <v>280452</v>
          </cell>
          <cell r="K13">
            <v>280</v>
          </cell>
        </row>
        <row r="17">
          <cell r="D17">
            <v>600188</v>
          </cell>
          <cell r="K17">
            <v>600</v>
          </cell>
        </row>
        <row r="18">
          <cell r="D18">
            <v>175802</v>
          </cell>
          <cell r="K18">
            <v>176</v>
          </cell>
        </row>
        <row r="19">
          <cell r="D19">
            <v>11675602</v>
          </cell>
          <cell r="K19">
            <v>11676</v>
          </cell>
        </row>
        <row r="20">
          <cell r="D20">
            <v>1950953</v>
          </cell>
          <cell r="K20">
            <v>1951</v>
          </cell>
        </row>
        <row r="22">
          <cell r="D22">
            <v>1565351</v>
          </cell>
          <cell r="K22">
            <v>1565</v>
          </cell>
        </row>
        <row r="23">
          <cell r="D23">
            <v>707762</v>
          </cell>
          <cell r="K23">
            <v>708</v>
          </cell>
        </row>
        <row r="25">
          <cell r="D25">
            <v>1079954</v>
          </cell>
          <cell r="K25">
            <v>1080</v>
          </cell>
        </row>
        <row r="26">
          <cell r="D26">
            <v>8595032</v>
          </cell>
          <cell r="K26">
            <v>8595</v>
          </cell>
        </row>
        <row r="27">
          <cell r="K27">
            <v>0</v>
          </cell>
        </row>
        <row r="28">
          <cell r="D28">
            <v>73021750</v>
          </cell>
          <cell r="K28">
            <v>73022</v>
          </cell>
        </row>
        <row r="30">
          <cell r="D30">
            <v>228920945</v>
          </cell>
          <cell r="K30">
            <v>228921</v>
          </cell>
        </row>
        <row r="31">
          <cell r="D31">
            <v>21077899</v>
          </cell>
          <cell r="K31">
            <v>21078</v>
          </cell>
        </row>
        <row r="32">
          <cell r="D32">
            <v>349020</v>
          </cell>
          <cell r="K32">
            <v>349</v>
          </cell>
        </row>
        <row r="33">
          <cell r="D33">
            <v>207487</v>
          </cell>
          <cell r="K33">
            <v>207</v>
          </cell>
        </row>
        <row r="34">
          <cell r="D34">
            <v>11225</v>
          </cell>
          <cell r="K34">
            <v>11</v>
          </cell>
        </row>
        <row r="35">
          <cell r="D35">
            <v>600600</v>
          </cell>
          <cell r="K35">
            <v>601</v>
          </cell>
        </row>
        <row r="37">
          <cell r="D37">
            <v>5611714</v>
          </cell>
          <cell r="K37">
            <v>5611</v>
          </cell>
        </row>
        <row r="38">
          <cell r="D38">
            <v>7205975</v>
          </cell>
          <cell r="K38">
            <v>7206</v>
          </cell>
        </row>
        <row r="40">
          <cell r="D40">
            <v>2466072</v>
          </cell>
          <cell r="K40">
            <v>2466</v>
          </cell>
        </row>
        <row r="41">
          <cell r="D41">
            <v>17933</v>
          </cell>
          <cell r="K41">
            <v>18</v>
          </cell>
        </row>
        <row r="44">
          <cell r="D44">
            <v>36734752</v>
          </cell>
          <cell r="K44">
            <v>36735</v>
          </cell>
        </row>
        <row r="45">
          <cell r="D45">
            <v>-5098904</v>
          </cell>
          <cell r="K45">
            <v>-5099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Sheet3"/>
      <sheetName val="Sheet2"/>
      <sheetName val="Sheet1"/>
    </sheetNames>
    <sheetDataSet>
      <sheetData sheetId="5">
        <row r="10">
          <cell r="C10">
            <v>1731229</v>
          </cell>
          <cell r="H10">
            <v>1731</v>
          </cell>
        </row>
        <row r="11">
          <cell r="C11">
            <v>13315333</v>
          </cell>
        </row>
        <row r="15">
          <cell r="C15">
            <v>207752</v>
          </cell>
          <cell r="H15">
            <v>208</v>
          </cell>
        </row>
        <row r="16">
          <cell r="C16">
            <v>44543</v>
          </cell>
          <cell r="H16">
            <v>45</v>
          </cell>
        </row>
        <row r="18">
          <cell r="C18">
            <v>4570968</v>
          </cell>
        </row>
        <row r="19">
          <cell r="C19">
            <v>237891</v>
          </cell>
          <cell r="H19">
            <v>238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9503</v>
          </cell>
          <cell r="H25">
            <v>10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48652</v>
          </cell>
          <cell r="H28">
            <v>49</v>
          </cell>
        </row>
        <row r="29">
          <cell r="C29">
            <v>119561</v>
          </cell>
          <cell r="H29">
            <v>120</v>
          </cell>
        </row>
        <row r="31">
          <cell r="C31">
            <v>2365103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8">
          <cell r="D8">
            <v>2892287</v>
          </cell>
          <cell r="K8">
            <v>2891</v>
          </cell>
        </row>
        <row r="9">
          <cell r="D9">
            <v>1863275</v>
          </cell>
          <cell r="K9">
            <v>1863</v>
          </cell>
        </row>
        <row r="10">
          <cell r="D10">
            <v>1441682</v>
          </cell>
          <cell r="K10">
            <v>1441</v>
          </cell>
        </row>
        <row r="11">
          <cell r="D11">
            <v>421593</v>
          </cell>
          <cell r="K11">
            <v>422</v>
          </cell>
        </row>
        <row r="12">
          <cell r="D12">
            <v>1029012</v>
          </cell>
          <cell r="K12">
            <v>1028</v>
          </cell>
        </row>
        <row r="13">
          <cell r="D13">
            <v>574390</v>
          </cell>
          <cell r="K13">
            <v>574</v>
          </cell>
        </row>
        <row r="14">
          <cell r="D14">
            <v>454622</v>
          </cell>
          <cell r="K14">
            <v>454</v>
          </cell>
        </row>
        <row r="15">
          <cell r="D15">
            <v>83491</v>
          </cell>
          <cell r="K15">
            <v>84</v>
          </cell>
        </row>
        <row r="16">
          <cell r="D16">
            <v>77797</v>
          </cell>
          <cell r="K16">
            <v>78</v>
          </cell>
        </row>
        <row r="17">
          <cell r="D17">
            <v>77797</v>
          </cell>
          <cell r="K17">
            <v>78</v>
          </cell>
        </row>
        <row r="18">
          <cell r="D18">
            <v>5694</v>
          </cell>
          <cell r="K18">
            <v>6</v>
          </cell>
        </row>
        <row r="19">
          <cell r="D19">
            <v>5694</v>
          </cell>
          <cell r="K19">
            <v>6</v>
          </cell>
        </row>
        <row r="20">
          <cell r="D20">
            <v>78754</v>
          </cell>
          <cell r="K20">
            <v>79</v>
          </cell>
        </row>
        <row r="21">
          <cell r="D21">
            <v>59858</v>
          </cell>
          <cell r="K21">
            <v>60</v>
          </cell>
        </row>
        <row r="22">
          <cell r="D22">
            <v>59858</v>
          </cell>
          <cell r="K22">
            <v>60</v>
          </cell>
        </row>
        <row r="23">
          <cell r="K23">
            <v>0</v>
          </cell>
        </row>
        <row r="24">
          <cell r="D24">
            <v>18896</v>
          </cell>
          <cell r="K24">
            <v>19</v>
          </cell>
        </row>
        <row r="25">
          <cell r="D25">
            <v>18896</v>
          </cell>
          <cell r="K25">
            <v>19</v>
          </cell>
        </row>
        <row r="26">
          <cell r="D26">
            <v>179266</v>
          </cell>
          <cell r="K26">
            <v>179</v>
          </cell>
        </row>
        <row r="27">
          <cell r="D27">
            <v>178844</v>
          </cell>
          <cell r="K27">
            <v>179</v>
          </cell>
        </row>
        <row r="28">
          <cell r="D28">
            <v>178844</v>
          </cell>
          <cell r="K28">
            <v>179</v>
          </cell>
        </row>
        <row r="29">
          <cell r="K29">
            <v>0</v>
          </cell>
        </row>
        <row r="30">
          <cell r="D30">
            <v>422</v>
          </cell>
          <cell r="K30">
            <v>0</v>
          </cell>
        </row>
        <row r="31">
          <cell r="D31">
            <v>422</v>
          </cell>
          <cell r="K31">
            <v>0</v>
          </cell>
        </row>
        <row r="32">
          <cell r="K32">
            <v>0</v>
          </cell>
        </row>
        <row r="33">
          <cell r="D33">
            <v>202610</v>
          </cell>
          <cell r="K33">
            <v>203</v>
          </cell>
        </row>
        <row r="34">
          <cell r="D34">
            <v>181051</v>
          </cell>
          <cell r="K34">
            <v>181</v>
          </cell>
        </row>
        <row r="35">
          <cell r="D35">
            <v>181051</v>
          </cell>
          <cell r="K35">
            <v>181</v>
          </cell>
        </row>
        <row r="36">
          <cell r="K36">
            <v>0</v>
          </cell>
        </row>
        <row r="37">
          <cell r="D37">
            <v>21559</v>
          </cell>
          <cell r="K37">
            <v>22</v>
          </cell>
        </row>
        <row r="38">
          <cell r="D38">
            <v>21559</v>
          </cell>
          <cell r="K38">
            <v>22</v>
          </cell>
        </row>
        <row r="39">
          <cell r="K39">
            <v>0</v>
          </cell>
        </row>
        <row r="40">
          <cell r="D40">
            <v>546485</v>
          </cell>
          <cell r="K40">
            <v>546</v>
          </cell>
        </row>
        <row r="41">
          <cell r="D41">
            <v>141156</v>
          </cell>
          <cell r="K41">
            <v>141</v>
          </cell>
        </row>
        <row r="42">
          <cell r="D42">
            <v>141156</v>
          </cell>
          <cell r="K42">
            <v>141</v>
          </cell>
        </row>
        <row r="43">
          <cell r="D43">
            <v>405329</v>
          </cell>
          <cell r="K43">
            <v>405</v>
          </cell>
        </row>
        <row r="44">
          <cell r="D44">
            <v>405329</v>
          </cell>
          <cell r="K44">
            <v>405</v>
          </cell>
        </row>
        <row r="45">
          <cell r="D45">
            <v>284357</v>
          </cell>
          <cell r="K45">
            <v>284</v>
          </cell>
        </row>
        <row r="46">
          <cell r="D46">
            <v>176213</v>
          </cell>
          <cell r="K46">
            <v>176</v>
          </cell>
        </row>
        <row r="47">
          <cell r="D47">
            <v>176213</v>
          </cell>
          <cell r="K47">
            <v>176</v>
          </cell>
        </row>
        <row r="48">
          <cell r="K48">
            <v>0</v>
          </cell>
        </row>
        <row r="49">
          <cell r="D49">
            <v>108144</v>
          </cell>
          <cell r="K49">
            <v>108</v>
          </cell>
        </row>
        <row r="50">
          <cell r="D50">
            <v>19138</v>
          </cell>
          <cell r="K50">
            <v>19</v>
          </cell>
        </row>
        <row r="51">
          <cell r="D51">
            <v>89006</v>
          </cell>
          <cell r="K51">
            <v>89</v>
          </cell>
        </row>
        <row r="52">
          <cell r="D52">
            <v>676967</v>
          </cell>
          <cell r="K52">
            <v>677</v>
          </cell>
        </row>
        <row r="53">
          <cell r="D53">
            <v>421593</v>
          </cell>
          <cell r="K53">
            <v>422</v>
          </cell>
        </row>
        <row r="54">
          <cell r="D54">
            <v>421593</v>
          </cell>
          <cell r="K54">
            <v>422</v>
          </cell>
        </row>
        <row r="55">
          <cell r="D55">
            <v>255374</v>
          </cell>
          <cell r="K55">
            <v>255</v>
          </cell>
        </row>
        <row r="56">
          <cell r="D56">
            <v>255374</v>
          </cell>
          <cell r="K56">
            <v>255</v>
          </cell>
        </row>
        <row r="57">
          <cell r="D57">
            <v>49211</v>
          </cell>
          <cell r="K57">
            <v>49</v>
          </cell>
        </row>
        <row r="58">
          <cell r="D58">
            <v>0</v>
          </cell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D61">
            <v>49211</v>
          </cell>
          <cell r="K61">
            <v>49</v>
          </cell>
        </row>
        <row r="62">
          <cell r="D62">
            <v>32337</v>
          </cell>
          <cell r="K62">
            <v>32</v>
          </cell>
        </row>
        <row r="63">
          <cell r="D63">
            <v>16874</v>
          </cell>
          <cell r="K63">
            <v>17</v>
          </cell>
        </row>
        <row r="64">
          <cell r="D64">
            <v>123065</v>
          </cell>
          <cell r="K64">
            <v>123</v>
          </cell>
        </row>
        <row r="65">
          <cell r="D65">
            <v>14126</v>
          </cell>
          <cell r="K65">
            <v>14</v>
          </cell>
        </row>
        <row r="66">
          <cell r="D66">
            <v>14126</v>
          </cell>
          <cell r="K66">
            <v>14</v>
          </cell>
        </row>
        <row r="67">
          <cell r="K67">
            <v>0</v>
          </cell>
        </row>
        <row r="68">
          <cell r="D68">
            <v>108939</v>
          </cell>
          <cell r="K68">
            <v>109</v>
          </cell>
        </row>
        <row r="69">
          <cell r="D69">
            <v>15571</v>
          </cell>
          <cell r="K69">
            <v>16</v>
          </cell>
        </row>
        <row r="70">
          <cell r="D70">
            <v>93368</v>
          </cell>
          <cell r="K70">
            <v>93</v>
          </cell>
        </row>
        <row r="71">
          <cell r="D71">
            <v>199543</v>
          </cell>
          <cell r="K71">
            <v>199</v>
          </cell>
        </row>
        <row r="72">
          <cell r="D72">
            <v>199543</v>
          </cell>
          <cell r="K72">
            <v>199</v>
          </cell>
        </row>
        <row r="73">
          <cell r="D73">
            <v>199543</v>
          </cell>
          <cell r="K73">
            <v>199</v>
          </cell>
        </row>
        <row r="74">
          <cell r="K74">
            <v>0</v>
          </cell>
        </row>
        <row r="75">
          <cell r="D75">
            <v>0</v>
          </cell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D78">
            <v>301480</v>
          </cell>
          <cell r="K78">
            <v>301</v>
          </cell>
        </row>
        <row r="79">
          <cell r="D79">
            <v>246036</v>
          </cell>
          <cell r="K79">
            <v>246</v>
          </cell>
        </row>
        <row r="80">
          <cell r="D80">
            <v>246036</v>
          </cell>
          <cell r="K80">
            <v>246</v>
          </cell>
        </row>
        <row r="81">
          <cell r="D81">
            <v>55444</v>
          </cell>
          <cell r="K81">
            <v>55</v>
          </cell>
        </row>
        <row r="82">
          <cell r="D82">
            <v>55444</v>
          </cell>
          <cell r="K82">
            <v>55</v>
          </cell>
        </row>
        <row r="83">
          <cell r="D83">
            <v>167058</v>
          </cell>
          <cell r="K83">
            <v>167</v>
          </cell>
        </row>
        <row r="84">
          <cell r="D84">
            <v>167058</v>
          </cell>
          <cell r="K84">
            <v>167</v>
          </cell>
        </row>
        <row r="85">
          <cell r="D85">
            <v>167058</v>
          </cell>
          <cell r="K85">
            <v>167</v>
          </cell>
        </row>
        <row r="86">
          <cell r="D86">
            <v>751620</v>
          </cell>
          <cell r="K86">
            <v>751</v>
          </cell>
        </row>
        <row r="87">
          <cell r="D87">
            <v>280453</v>
          </cell>
          <cell r="K87">
            <v>280</v>
          </cell>
        </row>
        <row r="88">
          <cell r="D88">
            <v>280453</v>
          </cell>
          <cell r="K88">
            <v>280</v>
          </cell>
        </row>
        <row r="89">
          <cell r="D89">
            <v>471167</v>
          </cell>
          <cell r="K89">
            <v>471</v>
          </cell>
        </row>
        <row r="90">
          <cell r="D90">
            <v>471167</v>
          </cell>
          <cell r="K90">
            <v>471</v>
          </cell>
        </row>
        <row r="91">
          <cell r="D91">
            <v>751620</v>
          </cell>
          <cell r="K91">
            <v>751</v>
          </cell>
        </row>
        <row r="92">
          <cell r="D92">
            <v>280453</v>
          </cell>
          <cell r="K92">
            <v>280</v>
          </cell>
        </row>
        <row r="93">
          <cell r="D93">
            <v>280453</v>
          </cell>
          <cell r="K93">
            <v>280</v>
          </cell>
        </row>
        <row r="94">
          <cell r="D94">
            <v>471167</v>
          </cell>
          <cell r="K94">
            <v>471</v>
          </cell>
        </row>
        <row r="95">
          <cell r="D95">
            <v>471167</v>
          </cell>
          <cell r="K95">
            <v>471</v>
          </cell>
        </row>
        <row r="96">
          <cell r="D96">
            <v>4588063</v>
          </cell>
          <cell r="K96">
            <v>4588</v>
          </cell>
        </row>
        <row r="97">
          <cell r="D97">
            <v>2649396</v>
          </cell>
          <cell r="K97">
            <v>2649</v>
          </cell>
        </row>
        <row r="98">
          <cell r="D98">
            <v>1938667</v>
          </cell>
          <cell r="K98">
            <v>1939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5">
          <cell r="D5">
            <v>878230</v>
          </cell>
        </row>
        <row r="6">
          <cell r="D6">
            <v>56099</v>
          </cell>
        </row>
        <row r="7">
          <cell r="D7">
            <v>8595</v>
          </cell>
        </row>
        <row r="8">
          <cell r="D8">
            <v>813536</v>
          </cell>
        </row>
        <row r="9">
          <cell r="D9">
            <v>918041</v>
          </cell>
        </row>
        <row r="10">
          <cell r="D10">
            <v>56099</v>
          </cell>
        </row>
        <row r="11">
          <cell r="D11">
            <v>8595</v>
          </cell>
        </row>
        <row r="12">
          <cell r="D12">
            <v>853347</v>
          </cell>
        </row>
        <row r="13">
          <cell r="D13">
            <v>-39811</v>
          </cell>
        </row>
        <row r="14">
          <cell r="D14">
            <v>1937</v>
          </cell>
        </row>
        <row r="15">
          <cell r="D15">
            <v>16660</v>
          </cell>
        </row>
        <row r="16">
          <cell r="D16">
            <v>9199</v>
          </cell>
        </row>
        <row r="17">
          <cell r="D17">
            <v>7461</v>
          </cell>
        </row>
        <row r="18">
          <cell r="D18">
            <v>14579</v>
          </cell>
        </row>
        <row r="19">
          <cell r="D19">
            <v>9055</v>
          </cell>
        </row>
        <row r="20">
          <cell r="D20">
            <v>5524</v>
          </cell>
        </row>
        <row r="21">
          <cell r="D21">
            <v>-41748</v>
          </cell>
        </row>
        <row r="22">
          <cell r="D22">
            <v>41748</v>
          </cell>
        </row>
        <row r="23">
          <cell r="D23">
            <v>49374</v>
          </cell>
        </row>
        <row r="26">
          <cell r="D26">
            <v>144</v>
          </cell>
        </row>
        <row r="27">
          <cell r="D27">
            <v>-144</v>
          </cell>
        </row>
        <row r="29">
          <cell r="D29">
            <v>47155</v>
          </cell>
        </row>
        <row r="30">
          <cell r="D30">
            <v>-29249</v>
          </cell>
        </row>
        <row r="31">
          <cell r="D31">
            <v>-10947</v>
          </cell>
        </row>
        <row r="32">
          <cell r="D32">
            <v>87351</v>
          </cell>
        </row>
        <row r="33">
          <cell r="D33">
            <v>-24081</v>
          </cell>
        </row>
        <row r="34">
          <cell r="D34">
            <v>-4409</v>
          </cell>
        </row>
        <row r="35">
          <cell r="D35">
            <v>-13096</v>
          </cell>
        </row>
        <row r="36">
          <cell r="D36">
            <v>-6576</v>
          </cell>
        </row>
        <row r="37">
          <cell r="D37">
            <v>25125</v>
          </cell>
        </row>
        <row r="38">
          <cell r="D38">
            <v>-7626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>
      <c r="A1" s="765" t="s">
        <v>16</v>
      </c>
      <c r="B1" s="765"/>
      <c r="C1" s="765"/>
      <c r="D1" s="765"/>
      <c r="E1" s="765"/>
    </row>
    <row r="2" spans="1:5" ht="18.75" customHeight="1">
      <c r="A2" s="765"/>
      <c r="B2" s="765"/>
      <c r="C2" s="765"/>
      <c r="D2" s="765"/>
      <c r="E2" s="765"/>
    </row>
    <row r="3" spans="1:5" ht="12.75">
      <c r="A3" s="1"/>
      <c r="E3" s="3" t="s">
        <v>17</v>
      </c>
    </row>
    <row r="4" spans="1:5" ht="33.75">
      <c r="A4" s="4" t="s">
        <v>18</v>
      </c>
      <c r="B4" s="5" t="s">
        <v>19</v>
      </c>
      <c r="C4" s="5" t="s">
        <v>20</v>
      </c>
      <c r="D4" s="5" t="s">
        <v>21</v>
      </c>
      <c r="E4" s="5" t="s">
        <v>22</v>
      </c>
    </row>
    <row r="5" spans="1:5" ht="12.75">
      <c r="A5" s="6" t="s">
        <v>23</v>
      </c>
      <c r="B5" s="7">
        <v>758916</v>
      </c>
      <c r="C5" s="8">
        <v>258953</v>
      </c>
      <c r="D5" s="7">
        <f>B5+C5</f>
        <v>1017869</v>
      </c>
      <c r="E5" s="7">
        <f>D5-'[9]Junijs'!D5</f>
        <v>139639</v>
      </c>
    </row>
    <row r="6" spans="1:5" ht="22.5">
      <c r="A6" s="9" t="s">
        <v>24</v>
      </c>
      <c r="B6" s="10" t="s">
        <v>25</v>
      </c>
      <c r="C6" s="10" t="s">
        <v>25</v>
      </c>
      <c r="D6" s="11">
        <v>65095</v>
      </c>
      <c r="E6" s="11">
        <f>D6-'[9]Junijs'!D6</f>
        <v>8996</v>
      </c>
    </row>
    <row r="7" spans="1:5" ht="22.5">
      <c r="A7" s="9" t="s">
        <v>26</v>
      </c>
      <c r="B7" s="10" t="s">
        <v>25</v>
      </c>
      <c r="C7" s="10" t="s">
        <v>25</v>
      </c>
      <c r="D7" s="11">
        <v>10331</v>
      </c>
      <c r="E7" s="11">
        <f>D7-'[9]Junijs'!D7</f>
        <v>1736</v>
      </c>
    </row>
    <row r="8" spans="1:5" ht="12.75">
      <c r="A8" s="12" t="s">
        <v>27</v>
      </c>
      <c r="B8" s="13" t="s">
        <v>25</v>
      </c>
      <c r="C8" s="13" t="s">
        <v>25</v>
      </c>
      <c r="D8" s="7">
        <f>D5-D6-D7</f>
        <v>942443</v>
      </c>
      <c r="E8" s="7">
        <f>D8-'[9]Junijs'!D8</f>
        <v>128907</v>
      </c>
    </row>
    <row r="9" spans="1:5" ht="12.75">
      <c r="A9" s="6" t="s">
        <v>28</v>
      </c>
      <c r="B9" s="7">
        <v>807745</v>
      </c>
      <c r="C9" s="8">
        <v>253951</v>
      </c>
      <c r="D9" s="7">
        <f>B9+C9</f>
        <v>1061696</v>
      </c>
      <c r="E9" s="7">
        <f>D9-'[9]Junijs'!D9</f>
        <v>143655</v>
      </c>
    </row>
    <row r="10" spans="1:5" ht="22.5">
      <c r="A10" s="9" t="s">
        <v>29</v>
      </c>
      <c r="B10" s="10" t="s">
        <v>25</v>
      </c>
      <c r="C10" s="10" t="s">
        <v>25</v>
      </c>
      <c r="D10" s="11">
        <v>65095</v>
      </c>
      <c r="E10" s="11">
        <f>D10-'[9]Junijs'!D10</f>
        <v>8996</v>
      </c>
    </row>
    <row r="11" spans="1:5" ht="22.5">
      <c r="A11" s="9" t="s">
        <v>30</v>
      </c>
      <c r="B11" s="10" t="s">
        <v>25</v>
      </c>
      <c r="C11" s="10" t="s">
        <v>25</v>
      </c>
      <c r="D11" s="11">
        <v>10331</v>
      </c>
      <c r="E11" s="11">
        <f>D11-'[9]Junijs'!D11</f>
        <v>1736</v>
      </c>
    </row>
    <row r="12" spans="1:5" ht="12.75">
      <c r="A12" s="12" t="s">
        <v>31</v>
      </c>
      <c r="B12" s="13" t="s">
        <v>25</v>
      </c>
      <c r="C12" s="13" t="s">
        <v>25</v>
      </c>
      <c r="D12" s="7">
        <f>D9-D10-D11</f>
        <v>986270</v>
      </c>
      <c r="E12" s="7">
        <f>D12-'[9]Junijs'!D12</f>
        <v>132923</v>
      </c>
    </row>
    <row r="13" spans="1:5" ht="25.5">
      <c r="A13" s="12" t="s">
        <v>32</v>
      </c>
      <c r="B13" s="7">
        <f>B5-B9</f>
        <v>-48829</v>
      </c>
      <c r="C13" s="8">
        <f>C5-C9</f>
        <v>5002</v>
      </c>
      <c r="D13" s="7">
        <f>D8-D12</f>
        <v>-43827</v>
      </c>
      <c r="E13" s="7">
        <f>D13-'[9]Junijs'!D13</f>
        <v>-4016</v>
      </c>
    </row>
    <row r="14" spans="1:5" ht="12.75">
      <c r="A14" s="14" t="s">
        <v>33</v>
      </c>
      <c r="B14" s="8">
        <f>B15-B18</f>
        <v>1035</v>
      </c>
      <c r="C14" s="8">
        <f>C15-C18</f>
        <v>2603</v>
      </c>
      <c r="D14" s="8">
        <f>D17-D20</f>
        <v>2431</v>
      </c>
      <c r="E14" s="8">
        <f>D14-'[9]Junijs'!D14</f>
        <v>494</v>
      </c>
    </row>
    <row r="15" spans="1:5" ht="12.75">
      <c r="A15" s="15" t="s">
        <v>34</v>
      </c>
      <c r="B15" s="16">
        <v>15642</v>
      </c>
      <c r="C15" s="17">
        <v>3726</v>
      </c>
      <c r="D15" s="16">
        <f>B15+C15</f>
        <v>19368</v>
      </c>
      <c r="E15" s="16">
        <f>D15-'[9]Junijs'!D15</f>
        <v>2708</v>
      </c>
    </row>
    <row r="16" spans="1:5" ht="22.5">
      <c r="A16" s="9" t="s">
        <v>35</v>
      </c>
      <c r="B16" s="10" t="s">
        <v>25</v>
      </c>
      <c r="C16" s="10" t="s">
        <v>25</v>
      </c>
      <c r="D16" s="11">
        <v>10610</v>
      </c>
      <c r="E16" s="11">
        <f>D16-'[9]Junijs'!D16</f>
        <v>1411</v>
      </c>
    </row>
    <row r="17" spans="1:5" ht="12.75">
      <c r="A17" s="14" t="s">
        <v>36</v>
      </c>
      <c r="B17" s="13" t="s">
        <v>25</v>
      </c>
      <c r="C17" s="13" t="s">
        <v>25</v>
      </c>
      <c r="D17" s="7">
        <f>D15-D16</f>
        <v>8758</v>
      </c>
      <c r="E17" s="7">
        <f>D17-'[9]Junijs'!D17</f>
        <v>1297</v>
      </c>
    </row>
    <row r="18" spans="1:5" ht="12.75">
      <c r="A18" s="15" t="s">
        <v>37</v>
      </c>
      <c r="B18" s="16">
        <v>14607</v>
      </c>
      <c r="C18" s="17">
        <v>1123</v>
      </c>
      <c r="D18" s="16">
        <f>B18+C18</f>
        <v>15730</v>
      </c>
      <c r="E18" s="16">
        <f>D18-'[9]Junijs'!D18</f>
        <v>1151</v>
      </c>
    </row>
    <row r="19" spans="1:5" ht="22.5">
      <c r="A19" s="9" t="s">
        <v>38</v>
      </c>
      <c r="B19" s="18" t="s">
        <v>25</v>
      </c>
      <c r="C19" s="18" t="s">
        <v>25</v>
      </c>
      <c r="D19" s="11">
        <v>9403</v>
      </c>
      <c r="E19" s="11">
        <f>D19-'[9]Junijs'!D19</f>
        <v>348</v>
      </c>
    </row>
    <row r="20" spans="1:5" ht="12.75">
      <c r="A20" s="14" t="s">
        <v>39</v>
      </c>
      <c r="B20" s="13" t="s">
        <v>25</v>
      </c>
      <c r="C20" s="13" t="s">
        <v>25</v>
      </c>
      <c r="D20" s="7">
        <f>D18-D19</f>
        <v>6327</v>
      </c>
      <c r="E20" s="7">
        <f>D20-'[9]Junijs'!D20</f>
        <v>803</v>
      </c>
    </row>
    <row r="21" spans="1:5" ht="25.5">
      <c r="A21" s="12" t="s">
        <v>40</v>
      </c>
      <c r="B21" s="8">
        <f>B13-B14</f>
        <v>-49864</v>
      </c>
      <c r="C21" s="8">
        <f>C13-C14</f>
        <v>2399</v>
      </c>
      <c r="D21" s="7">
        <f>D13-D14</f>
        <v>-46258</v>
      </c>
      <c r="E21" s="7">
        <f>D21-'[9]Junijs'!D21</f>
        <v>-4510</v>
      </c>
    </row>
    <row r="22" spans="1:5" ht="12.75">
      <c r="A22" s="6" t="s">
        <v>41</v>
      </c>
      <c r="B22" s="7">
        <f>B23+B38</f>
        <v>49864</v>
      </c>
      <c r="C22" s="8">
        <f>C23+C38</f>
        <v>-2399</v>
      </c>
      <c r="D22" s="7">
        <f>D23+D38</f>
        <v>46258</v>
      </c>
      <c r="E22" s="7">
        <f>D22-'[9]Junijs'!D22</f>
        <v>4510</v>
      </c>
    </row>
    <row r="23" spans="1:5" ht="12.75">
      <c r="A23" s="6" t="s">
        <v>42</v>
      </c>
      <c r="B23" s="7">
        <f>B24+B29+B33+B37</f>
        <v>58080</v>
      </c>
      <c r="C23" s="8">
        <f>C24+C29+C33+C37</f>
        <v>-2399</v>
      </c>
      <c r="D23" s="8">
        <f>D24+D29+D33+D37</f>
        <v>54474</v>
      </c>
      <c r="E23" s="8">
        <f>D23-'[9]Junijs'!D23</f>
        <v>5100</v>
      </c>
    </row>
    <row r="24" spans="1:5" ht="12.75">
      <c r="A24" s="19" t="s">
        <v>43</v>
      </c>
      <c r="B24" s="20">
        <f>B25+B26</f>
        <v>0</v>
      </c>
      <c r="C24" s="20">
        <f>C25+C26</f>
        <v>3001</v>
      </c>
      <c r="D24" s="20">
        <f>D25+D28</f>
        <v>1794</v>
      </c>
      <c r="E24" s="20">
        <v>331</v>
      </c>
    </row>
    <row r="25" spans="1:5" ht="22.5">
      <c r="A25" s="9" t="s">
        <v>44</v>
      </c>
      <c r="B25" s="11"/>
      <c r="C25" s="21">
        <v>1794</v>
      </c>
      <c r="D25" s="11">
        <f>B25+C25</f>
        <v>1794</v>
      </c>
      <c r="E25" s="11">
        <v>331</v>
      </c>
    </row>
    <row r="26" spans="1:5" ht="22.5">
      <c r="A26" s="9" t="s">
        <v>45</v>
      </c>
      <c r="B26" s="11"/>
      <c r="C26" s="21">
        <v>1207</v>
      </c>
      <c r="D26" s="11">
        <f>B26+C26</f>
        <v>1207</v>
      </c>
      <c r="E26" s="11">
        <f>D26-'[9]Junijs'!D26</f>
        <v>1063</v>
      </c>
    </row>
    <row r="27" spans="1:5" ht="22.5">
      <c r="A27" s="22" t="s">
        <v>46</v>
      </c>
      <c r="B27" s="18" t="s">
        <v>25</v>
      </c>
      <c r="C27" s="18" t="s">
        <v>25</v>
      </c>
      <c r="D27" s="23">
        <v>-1207</v>
      </c>
      <c r="E27" s="23">
        <f>D27-'[9]Junijs'!D27</f>
        <v>-1063</v>
      </c>
    </row>
    <row r="28" spans="1:5" ht="22.5">
      <c r="A28" s="9" t="s">
        <v>47</v>
      </c>
      <c r="B28" s="18" t="s">
        <v>25</v>
      </c>
      <c r="C28" s="18" t="s">
        <v>25</v>
      </c>
      <c r="D28" s="23"/>
      <c r="E28" s="23"/>
    </row>
    <row r="29" spans="1:5" ht="12.75">
      <c r="A29" s="24" t="s">
        <v>48</v>
      </c>
      <c r="B29" s="23">
        <f>SUM(B30:B32)</f>
        <v>58494</v>
      </c>
      <c r="C29" s="20">
        <f>SUM(C30:C32)</f>
        <v>0</v>
      </c>
      <c r="D29" s="23">
        <f aca="true" t="shared" si="0" ref="D29:D37">B29+C29</f>
        <v>58494</v>
      </c>
      <c r="E29" s="23">
        <f>D29-'[9]Junijs'!D29</f>
        <v>11339</v>
      </c>
    </row>
    <row r="30" spans="1:5" ht="12.75">
      <c r="A30" s="9" t="s">
        <v>49</v>
      </c>
      <c r="B30" s="11">
        <v>-24507</v>
      </c>
      <c r="C30" s="21"/>
      <c r="D30" s="11">
        <f t="shared" si="0"/>
        <v>-24507</v>
      </c>
      <c r="E30" s="11">
        <f>D30-'[9]Junijs'!D30</f>
        <v>4742</v>
      </c>
    </row>
    <row r="31" spans="1:5" ht="22.5">
      <c r="A31" s="9" t="s">
        <v>50</v>
      </c>
      <c r="B31" s="11">
        <v>2780</v>
      </c>
      <c r="C31" s="21"/>
      <c r="D31" s="11">
        <f t="shared" si="0"/>
        <v>2780</v>
      </c>
      <c r="E31" s="11">
        <f>D31-'[9]Junijs'!D31</f>
        <v>13727</v>
      </c>
    </row>
    <row r="32" spans="1:5" ht="12.75">
      <c r="A32" s="9" t="s">
        <v>51</v>
      </c>
      <c r="B32" s="11">
        <v>80221</v>
      </c>
      <c r="C32" s="21"/>
      <c r="D32" s="11">
        <f t="shared" si="0"/>
        <v>80221</v>
      </c>
      <c r="E32" s="11">
        <f>D32-'[9]Junijs'!D32</f>
        <v>-7130</v>
      </c>
    </row>
    <row r="33" spans="1:5" ht="12.75">
      <c r="A33" s="25" t="s">
        <v>52</v>
      </c>
      <c r="B33" s="23">
        <f>SUM(B34:B36)</f>
        <v>-19500</v>
      </c>
      <c r="C33" s="21">
        <f>SUM(C34:C36)</f>
        <v>-14113</v>
      </c>
      <c r="D33" s="23">
        <f t="shared" si="0"/>
        <v>-33613</v>
      </c>
      <c r="E33" s="23">
        <f>D33-'[9]Junijs'!D33</f>
        <v>-9532</v>
      </c>
    </row>
    <row r="34" spans="1:5" ht="12.75">
      <c r="A34" s="10" t="s">
        <v>53</v>
      </c>
      <c r="B34" s="11">
        <v>0</v>
      </c>
      <c r="C34" s="21">
        <v>-4409</v>
      </c>
      <c r="D34" s="11">
        <f t="shared" si="0"/>
        <v>-4409</v>
      </c>
      <c r="E34" s="11">
        <f>D34-'[9]Junijs'!D34</f>
        <v>0</v>
      </c>
    </row>
    <row r="35" spans="1:5" ht="12.75">
      <c r="A35" s="10" t="s">
        <v>49</v>
      </c>
      <c r="B35" s="11">
        <v>-20101</v>
      </c>
      <c r="C35" s="21"/>
      <c r="D35" s="11">
        <f t="shared" si="0"/>
        <v>-20101</v>
      </c>
      <c r="E35" s="11">
        <f>D35-'[9]Junijs'!D35</f>
        <v>-7005</v>
      </c>
    </row>
    <row r="36" spans="1:5" ht="22.5">
      <c r="A36" s="9" t="s">
        <v>50</v>
      </c>
      <c r="B36" s="11">
        <v>601</v>
      </c>
      <c r="C36" s="21">
        <v>-9704</v>
      </c>
      <c r="D36" s="11">
        <f t="shared" si="0"/>
        <v>-9103</v>
      </c>
      <c r="E36" s="11">
        <f>D36-'[9]Junijs'!D36</f>
        <v>-2527</v>
      </c>
    </row>
    <row r="37" spans="1:5" ht="12.75">
      <c r="A37" s="25" t="s">
        <v>54</v>
      </c>
      <c r="B37" s="23">
        <f>-6142+25228</f>
        <v>19086</v>
      </c>
      <c r="C37" s="20">
        <v>8713</v>
      </c>
      <c r="D37" s="11">
        <f t="shared" si="0"/>
        <v>27799</v>
      </c>
      <c r="E37" s="11">
        <f>D37-'[9]Junijs'!D37</f>
        <v>2674</v>
      </c>
    </row>
    <row r="38" spans="1:5" ht="12.75">
      <c r="A38" s="26" t="s">
        <v>55</v>
      </c>
      <c r="B38" s="7">
        <v>-8216</v>
      </c>
      <c r="C38" s="8"/>
      <c r="D38" s="7">
        <f>B38+C38</f>
        <v>-8216</v>
      </c>
      <c r="E38" s="7">
        <f>D38-'[9]Junijs'!D38</f>
        <v>-590</v>
      </c>
    </row>
    <row r="39" spans="1:5" ht="12.75">
      <c r="A39" s="27" t="s">
        <v>56</v>
      </c>
      <c r="B39" s="28"/>
      <c r="C39" s="29"/>
      <c r="D39" s="30"/>
      <c r="E39" s="31"/>
    </row>
    <row r="40" spans="1:5" ht="12.75">
      <c r="A40" s="27"/>
      <c r="B40" s="28"/>
      <c r="C40" s="29"/>
      <c r="D40" s="30"/>
      <c r="E40" s="31"/>
    </row>
    <row r="41" spans="1:5" ht="12.75">
      <c r="A41" s="32"/>
      <c r="B41" s="33"/>
      <c r="C41" s="29"/>
      <c r="D41" s="34"/>
      <c r="E41" s="35"/>
    </row>
    <row r="42" spans="1:5" ht="12.75">
      <c r="A42" s="766"/>
      <c r="B42" s="766"/>
      <c r="C42" s="766"/>
      <c r="D42" s="766"/>
      <c r="E42" s="31"/>
    </row>
    <row r="43" spans="1:5" ht="12.75">
      <c r="A43" s="37" t="s">
        <v>57</v>
      </c>
      <c r="B43" s="36"/>
      <c r="C43" s="36"/>
      <c r="D43" s="36"/>
      <c r="E43" s="38"/>
    </row>
    <row r="44" spans="1:5" ht="12.75">
      <c r="A44" s="36"/>
      <c r="B44" s="36"/>
      <c r="C44" s="36"/>
      <c r="D44" s="36"/>
      <c r="E44" s="31"/>
    </row>
    <row r="45" spans="1:5" ht="12.75">
      <c r="A45" s="39"/>
      <c r="B45" s="39"/>
      <c r="C45" s="40"/>
      <c r="D45" s="41"/>
      <c r="E45" s="42"/>
    </row>
    <row r="46" spans="1:5" ht="12.75">
      <c r="A46" s="39" t="s">
        <v>58</v>
      </c>
      <c r="B46" s="28"/>
      <c r="C46" s="29"/>
      <c r="D46" s="30"/>
      <c r="E46" s="31"/>
    </row>
    <row r="47" spans="1:5" ht="12.75">
      <c r="A47" s="39" t="s">
        <v>59</v>
      </c>
      <c r="B47" s="28"/>
      <c r="C47" s="29"/>
      <c r="D47" s="30"/>
      <c r="E47" s="31"/>
    </row>
  </sheetData>
  <mergeCells count="2">
    <mergeCell ref="A1:E2"/>
    <mergeCell ref="A42:D42"/>
  </mergeCells>
  <printOptions/>
  <pageMargins left="0.75" right="0.75" top="1" bottom="1" header="0.5" footer="0.5"/>
  <pageSetup horizontalDpi="300" verticalDpi="300" orientation="portrait" paperSize="9" scale="92" r:id="rId1"/>
  <headerFooter alignWithMargins="0">
    <oddFooter>&amp;R3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B7" sqref="B7"/>
    </sheetView>
  </sheetViews>
  <sheetFormatPr defaultColWidth="9.140625" defaultRowHeight="12.75"/>
  <cols>
    <col min="1" max="1" width="40.421875" style="48" hidden="1" customWidth="1"/>
    <col min="2" max="2" width="8.7109375" style="48" hidden="1" customWidth="1"/>
    <col min="3" max="3" width="12.57421875" style="48" hidden="1" customWidth="1"/>
    <col min="4" max="4" width="13.140625" style="48" hidden="1" customWidth="1"/>
    <col min="5" max="5" width="9.140625" style="48" hidden="1" customWidth="1"/>
    <col min="6" max="6" width="13.140625" style="221" hidden="1" customWidth="1"/>
    <col min="7" max="7" width="42.421875" style="48" customWidth="1"/>
    <col min="8" max="8" width="8.421875" style="48" customWidth="1"/>
    <col min="9" max="9" width="12.421875" style="48" customWidth="1"/>
    <col min="10" max="10" width="9.57421875" style="48" customWidth="1"/>
    <col min="11" max="11" width="8.421875" style="48" customWidth="1"/>
    <col min="12" max="12" width="12.421875" style="48" customWidth="1"/>
    <col min="13" max="16384" width="9.140625" style="48" customWidth="1"/>
  </cols>
  <sheetData>
    <row r="2" spans="1:12" ht="12.75">
      <c r="A2" s="48" t="s">
        <v>462</v>
      </c>
      <c r="F2" s="450" t="s">
        <v>463</v>
      </c>
      <c r="G2" s="48" t="s">
        <v>464</v>
      </c>
      <c r="L2" s="451" t="s">
        <v>463</v>
      </c>
    </row>
    <row r="4" spans="1:12" ht="15.75">
      <c r="A4" s="214" t="s">
        <v>465</v>
      </c>
      <c r="G4" s="514" t="s">
        <v>466</v>
      </c>
      <c r="H4" s="514"/>
      <c r="I4" s="514"/>
      <c r="J4" s="514"/>
      <c r="K4" s="514"/>
      <c r="L4" s="514"/>
    </row>
    <row r="5" spans="1:12" ht="15.75">
      <c r="A5" s="214" t="s">
        <v>467</v>
      </c>
      <c r="G5" s="514" t="s">
        <v>386</v>
      </c>
      <c r="H5" s="514"/>
      <c r="I5" s="514"/>
      <c r="J5" s="514"/>
      <c r="K5" s="514"/>
      <c r="L5" s="514"/>
    </row>
    <row r="7" spans="6:12" ht="12.75">
      <c r="F7" s="452"/>
      <c r="L7" s="49"/>
    </row>
    <row r="8" spans="6:12" ht="12.75">
      <c r="F8" s="450" t="s">
        <v>66</v>
      </c>
      <c r="L8" s="451" t="s">
        <v>67</v>
      </c>
    </row>
    <row r="9" spans="1:12" ht="60" customHeight="1">
      <c r="A9" s="289" t="s">
        <v>18</v>
      </c>
      <c r="B9" s="50" t="s">
        <v>441</v>
      </c>
      <c r="C9" s="50" t="s">
        <v>68</v>
      </c>
      <c r="D9" s="50" t="s">
        <v>70</v>
      </c>
      <c r="E9" s="50" t="s">
        <v>442</v>
      </c>
      <c r="F9" s="288" t="s">
        <v>468</v>
      </c>
      <c r="G9" s="289" t="s">
        <v>18</v>
      </c>
      <c r="H9" s="50" t="s">
        <v>441</v>
      </c>
      <c r="I9" s="50" t="s">
        <v>68</v>
      </c>
      <c r="J9" s="50" t="s">
        <v>70</v>
      </c>
      <c r="K9" s="50" t="s">
        <v>442</v>
      </c>
      <c r="L9" s="50" t="s">
        <v>468</v>
      </c>
    </row>
    <row r="10" spans="1:12" ht="12" customHeight="1">
      <c r="A10" s="289">
        <v>1</v>
      </c>
      <c r="B10" s="289">
        <v>2</v>
      </c>
      <c r="C10" s="50">
        <v>3</v>
      </c>
      <c r="D10" s="50">
        <v>4</v>
      </c>
      <c r="E10" s="50">
        <v>5</v>
      </c>
      <c r="F10" s="311">
        <v>6</v>
      </c>
      <c r="G10" s="289">
        <v>1</v>
      </c>
      <c r="H10" s="289">
        <v>2</v>
      </c>
      <c r="I10" s="50">
        <v>3</v>
      </c>
      <c r="J10" s="50">
        <v>4</v>
      </c>
      <c r="K10" s="50">
        <v>5</v>
      </c>
      <c r="L10" s="53">
        <v>6</v>
      </c>
    </row>
    <row r="11" spans="1:12" ht="18" customHeight="1">
      <c r="A11" s="123" t="s">
        <v>313</v>
      </c>
      <c r="B11" s="58"/>
      <c r="C11" s="453">
        <f>SUM(C12:C25)</f>
        <v>750186398</v>
      </c>
      <c r="D11" s="453">
        <f>SUM(D12:D25)</f>
        <v>422523779</v>
      </c>
      <c r="E11" s="454">
        <f>IF(ISERROR(D11/C11)," ",(D11/C11))</f>
        <v>0.5632250599670297</v>
      </c>
      <c r="F11" s="455">
        <f>SUM(F12:F24)</f>
        <v>8110774</v>
      </c>
      <c r="G11" s="123" t="s">
        <v>313</v>
      </c>
      <c r="H11" s="58"/>
      <c r="I11" s="456">
        <f>SUM(I12:I25)</f>
        <v>750186</v>
      </c>
      <c r="J11" s="456">
        <f>SUM(J12:J25)</f>
        <v>422524</v>
      </c>
      <c r="K11" s="295">
        <f>IF(ISERROR(J11/I11)," ",(J11/I11))</f>
        <v>0.5632256533712973</v>
      </c>
      <c r="L11" s="456">
        <f>SUM(L12:L25)</f>
        <v>8111</v>
      </c>
    </row>
    <row r="12" spans="1:12" ht="18" customHeight="1">
      <c r="A12" s="299" t="s">
        <v>443</v>
      </c>
      <c r="B12" s="445">
        <v>1</v>
      </c>
      <c r="C12" s="457">
        <v>200829</v>
      </c>
      <c r="D12" s="457">
        <v>115620</v>
      </c>
      <c r="E12" s="458">
        <f aca="true" t="shared" si="0" ref="E12:E25">IF(ISERROR(D12/C12)," ",(D12/C12))</f>
        <v>0.575713666850903</v>
      </c>
      <c r="F12" s="459">
        <v>355819</v>
      </c>
      <c r="G12" s="299" t="s">
        <v>443</v>
      </c>
      <c r="H12" s="445">
        <v>1</v>
      </c>
      <c r="I12" s="460">
        <f>ROUND(C12/1000,0)</f>
        <v>201</v>
      </c>
      <c r="J12" s="460">
        <f>ROUND(D12/1000,0)</f>
        <v>116</v>
      </c>
      <c r="K12" s="303">
        <f aca="true" t="shared" si="1" ref="K12:K25">IF(ISERROR(J12/I12)," ",(J12/I12))</f>
        <v>0.5771144278606966</v>
      </c>
      <c r="L12" s="460">
        <f>ROUND(F12/1000,0)</f>
        <v>356</v>
      </c>
    </row>
    <row r="13" spans="1:12" ht="18.75" customHeight="1">
      <c r="A13" s="54" t="s">
        <v>444</v>
      </c>
      <c r="B13" s="445">
        <v>2</v>
      </c>
      <c r="C13" s="457"/>
      <c r="D13" s="457"/>
      <c r="E13" s="458" t="str">
        <f t="shared" si="0"/>
        <v> </v>
      </c>
      <c r="F13" s="459">
        <v>64307</v>
      </c>
      <c r="G13" s="54" t="s">
        <v>444</v>
      </c>
      <c r="H13" s="445">
        <v>2</v>
      </c>
      <c r="I13" s="460">
        <f aca="true" t="shared" si="2" ref="I13:J25">ROUND(C13/1000,0)</f>
        <v>0</v>
      </c>
      <c r="J13" s="460">
        <f t="shared" si="2"/>
        <v>0</v>
      </c>
      <c r="K13" s="303" t="str">
        <f t="shared" si="1"/>
        <v> </v>
      </c>
      <c r="L13" s="460">
        <f>ROUND(F13/1000,0)</f>
        <v>64</v>
      </c>
    </row>
    <row r="14" spans="1:12" ht="17.25" customHeight="1">
      <c r="A14" s="54" t="s">
        <v>445</v>
      </c>
      <c r="B14" s="445">
        <v>3</v>
      </c>
      <c r="C14" s="457"/>
      <c r="D14" s="457">
        <v>298442283</v>
      </c>
      <c r="E14" s="458" t="str">
        <f t="shared" si="0"/>
        <v> </v>
      </c>
      <c r="F14" s="459">
        <f>180079+20658+175634</f>
        <v>376371</v>
      </c>
      <c r="G14" s="54" t="s">
        <v>445</v>
      </c>
      <c r="H14" s="445">
        <v>3</v>
      </c>
      <c r="I14" s="460">
        <f t="shared" si="2"/>
        <v>0</v>
      </c>
      <c r="J14" s="460">
        <f t="shared" si="2"/>
        <v>298442</v>
      </c>
      <c r="K14" s="303" t="str">
        <f t="shared" si="1"/>
        <v> </v>
      </c>
      <c r="L14" s="460">
        <f>ROUND(F14/1000,0)</f>
        <v>376</v>
      </c>
    </row>
    <row r="15" spans="1:12" ht="16.5" customHeight="1">
      <c r="A15" s="54" t="s">
        <v>469</v>
      </c>
      <c r="B15" s="445">
        <v>4</v>
      </c>
      <c r="C15" s="457">
        <f>1198009+6739620</f>
        <v>7937629</v>
      </c>
      <c r="D15" s="457">
        <f>399571+2470660</f>
        <v>2870231</v>
      </c>
      <c r="E15" s="458">
        <f t="shared" si="0"/>
        <v>0.36159802883203535</v>
      </c>
      <c r="F15" s="459">
        <f>83661+826678</f>
        <v>910339</v>
      </c>
      <c r="G15" s="54" t="s">
        <v>470</v>
      </c>
      <c r="H15" s="445">
        <v>4</v>
      </c>
      <c r="I15" s="460">
        <f t="shared" si="2"/>
        <v>7938</v>
      </c>
      <c r="J15" s="460">
        <f>ROUND(D15/1000,0)</f>
        <v>2870</v>
      </c>
      <c r="K15" s="303">
        <f t="shared" si="1"/>
        <v>0.36155202821869487</v>
      </c>
      <c r="L15" s="460">
        <f>ROUND(F15/1000,0)</f>
        <v>910</v>
      </c>
    </row>
    <row r="16" spans="1:12" ht="18.75" customHeight="1">
      <c r="A16" s="54" t="s">
        <v>447</v>
      </c>
      <c r="B16" s="445">
        <v>5</v>
      </c>
      <c r="C16" s="457">
        <v>135680628</v>
      </c>
      <c r="D16" s="457">
        <v>75407197</v>
      </c>
      <c r="E16" s="458">
        <f t="shared" si="0"/>
        <v>0.555769811147985</v>
      </c>
      <c r="F16" s="459">
        <v>410778</v>
      </c>
      <c r="G16" s="54" t="s">
        <v>447</v>
      </c>
      <c r="H16" s="445">
        <v>5</v>
      </c>
      <c r="I16" s="460">
        <f t="shared" si="2"/>
        <v>135681</v>
      </c>
      <c r="J16" s="460">
        <f>ROUND(D16/1000,0)</f>
        <v>75407</v>
      </c>
      <c r="K16" s="303">
        <f t="shared" si="1"/>
        <v>0.5557668354449039</v>
      </c>
      <c r="L16" s="460">
        <f aca="true" t="shared" si="3" ref="L16:L22">ROUND(F16/1000,0)</f>
        <v>411</v>
      </c>
    </row>
    <row r="17" spans="1:12" ht="18" customHeight="1">
      <c r="A17" s="54" t="s">
        <v>448</v>
      </c>
      <c r="B17" s="445">
        <v>6</v>
      </c>
      <c r="C17" s="457">
        <v>516531015</v>
      </c>
      <c r="D17" s="457"/>
      <c r="E17" s="458">
        <f t="shared" si="0"/>
        <v>0</v>
      </c>
      <c r="F17" s="459">
        <v>14592</v>
      </c>
      <c r="G17" s="54" t="s">
        <v>448</v>
      </c>
      <c r="H17" s="445">
        <v>6</v>
      </c>
      <c r="I17" s="460">
        <f t="shared" si="2"/>
        <v>516531</v>
      </c>
      <c r="J17" s="460">
        <f t="shared" si="2"/>
        <v>0</v>
      </c>
      <c r="K17" s="303">
        <f t="shared" si="1"/>
        <v>0</v>
      </c>
      <c r="L17" s="460">
        <f>ROUND(F17/1000,0)</f>
        <v>15</v>
      </c>
    </row>
    <row r="18" spans="1:12" ht="24" customHeight="1">
      <c r="A18" s="200" t="s">
        <v>449</v>
      </c>
      <c r="B18" s="445">
        <v>7</v>
      </c>
      <c r="C18" s="457">
        <f>8791245-190265</f>
        <v>8600980</v>
      </c>
      <c r="D18" s="457">
        <f>3873771+304257</f>
        <v>4178028</v>
      </c>
      <c r="E18" s="458">
        <f t="shared" si="0"/>
        <v>0.48576185504442515</v>
      </c>
      <c r="F18" s="459">
        <f>1663024+72445</f>
        <v>1735469</v>
      </c>
      <c r="G18" s="200" t="s">
        <v>449</v>
      </c>
      <c r="H18" s="445">
        <v>7</v>
      </c>
      <c r="I18" s="460">
        <f t="shared" si="2"/>
        <v>8601</v>
      </c>
      <c r="J18" s="460">
        <f>ROUND(D18/1000,0)</f>
        <v>4178</v>
      </c>
      <c r="K18" s="303">
        <f t="shared" si="1"/>
        <v>0.48575747006162073</v>
      </c>
      <c r="L18" s="460">
        <f>ROUND(F18/1000,0)+1</f>
        <v>1736</v>
      </c>
    </row>
    <row r="19" spans="1:12" ht="15.75" customHeight="1">
      <c r="A19" s="54" t="s">
        <v>450</v>
      </c>
      <c r="B19" s="445">
        <v>8</v>
      </c>
      <c r="C19" s="457">
        <f>1550000+190265+2400000</f>
        <v>4140265</v>
      </c>
      <c r="D19" s="457">
        <f>1212112+1220000</f>
        <v>2432112</v>
      </c>
      <c r="E19" s="458">
        <f t="shared" si="0"/>
        <v>0.5874290655308295</v>
      </c>
      <c r="F19" s="459">
        <v>428301</v>
      </c>
      <c r="G19" s="54" t="s">
        <v>450</v>
      </c>
      <c r="H19" s="445">
        <v>8</v>
      </c>
      <c r="I19" s="460">
        <f t="shared" si="2"/>
        <v>4140</v>
      </c>
      <c r="J19" s="460">
        <f t="shared" si="2"/>
        <v>2432</v>
      </c>
      <c r="K19" s="303">
        <f t="shared" si="1"/>
        <v>0.58743961352657</v>
      </c>
      <c r="L19" s="460">
        <f t="shared" si="3"/>
        <v>428</v>
      </c>
    </row>
    <row r="20" spans="1:12" ht="20.25" customHeight="1">
      <c r="A20" s="54" t="s">
        <v>451</v>
      </c>
      <c r="B20" s="445">
        <v>9</v>
      </c>
      <c r="C20" s="457"/>
      <c r="D20" s="457"/>
      <c r="E20" s="458" t="str">
        <f t="shared" si="0"/>
        <v> </v>
      </c>
      <c r="F20" s="459"/>
      <c r="G20" s="54" t="s">
        <v>451</v>
      </c>
      <c r="H20" s="445">
        <v>9</v>
      </c>
      <c r="I20" s="460">
        <f t="shared" si="2"/>
        <v>0</v>
      </c>
      <c r="J20" s="460">
        <f t="shared" si="2"/>
        <v>0</v>
      </c>
      <c r="K20" s="303" t="str">
        <f t="shared" si="1"/>
        <v> </v>
      </c>
      <c r="L20" s="460">
        <f t="shared" si="3"/>
        <v>0</v>
      </c>
    </row>
    <row r="21" spans="1:12" ht="24.75" customHeight="1">
      <c r="A21" s="200" t="s">
        <v>452</v>
      </c>
      <c r="B21" s="445">
        <v>10</v>
      </c>
      <c r="C21" s="457">
        <v>500000</v>
      </c>
      <c r="D21" s="457">
        <f>288847</f>
        <v>288847</v>
      </c>
      <c r="E21" s="458">
        <f t="shared" si="0"/>
        <v>0.577694</v>
      </c>
      <c r="F21" s="459">
        <f>20688+76598</f>
        <v>97286</v>
      </c>
      <c r="G21" s="200" t="s">
        <v>452</v>
      </c>
      <c r="H21" s="445">
        <v>10</v>
      </c>
      <c r="I21" s="460">
        <f>ROUND(C21/1000,0)-1</f>
        <v>499</v>
      </c>
      <c r="J21" s="460">
        <f t="shared" si="2"/>
        <v>289</v>
      </c>
      <c r="K21" s="303">
        <f t="shared" si="1"/>
        <v>0.5791583166332666</v>
      </c>
      <c r="L21" s="460">
        <f t="shared" si="3"/>
        <v>97</v>
      </c>
    </row>
    <row r="22" spans="1:12" ht="27.75" customHeight="1">
      <c r="A22" s="200" t="s">
        <v>453</v>
      </c>
      <c r="B22" s="445">
        <v>11</v>
      </c>
      <c r="C22" s="457"/>
      <c r="D22" s="457"/>
      <c r="E22" s="458" t="str">
        <f t="shared" si="0"/>
        <v> </v>
      </c>
      <c r="F22" s="459"/>
      <c r="G22" s="200" t="s">
        <v>453</v>
      </c>
      <c r="H22" s="445">
        <v>11</v>
      </c>
      <c r="I22" s="460">
        <f t="shared" si="2"/>
        <v>0</v>
      </c>
      <c r="J22" s="460">
        <f t="shared" si="2"/>
        <v>0</v>
      </c>
      <c r="K22" s="303" t="str">
        <f t="shared" si="1"/>
        <v> </v>
      </c>
      <c r="L22" s="460">
        <f t="shared" si="3"/>
        <v>0</v>
      </c>
    </row>
    <row r="23" spans="1:12" ht="18" customHeight="1">
      <c r="A23" s="54" t="s">
        <v>454</v>
      </c>
      <c r="B23" s="445">
        <v>12</v>
      </c>
      <c r="C23" s="457">
        <v>73121252</v>
      </c>
      <c r="D23" s="457">
        <f>34857937+250523+1903151</f>
        <v>37011611</v>
      </c>
      <c r="E23" s="458">
        <f t="shared" si="0"/>
        <v>0.5061676323594678</v>
      </c>
      <c r="F23" s="459">
        <f>2105226+31000</f>
        <v>2136226</v>
      </c>
      <c r="G23" s="54" t="s">
        <v>454</v>
      </c>
      <c r="H23" s="445">
        <v>12</v>
      </c>
      <c r="I23" s="460">
        <f t="shared" si="2"/>
        <v>73121</v>
      </c>
      <c r="J23" s="460">
        <f>ROUND(D23/1000,0)</f>
        <v>37012</v>
      </c>
      <c r="K23" s="303">
        <f t="shared" si="1"/>
        <v>0.5061746967355479</v>
      </c>
      <c r="L23" s="460">
        <f>ROUND(F23/1000,0)</f>
        <v>2136</v>
      </c>
    </row>
    <row r="24" spans="1:12" ht="18.75" customHeight="1">
      <c r="A24" s="54" t="s">
        <v>455</v>
      </c>
      <c r="B24" s="445">
        <v>13</v>
      </c>
      <c r="C24" s="457">
        <f>2100500+1373300</f>
        <v>3473800</v>
      </c>
      <c r="D24" s="457">
        <f>1410197+345745+21908</f>
        <v>1777850</v>
      </c>
      <c r="E24" s="458">
        <f t="shared" si="0"/>
        <v>0.511788243422189</v>
      </c>
      <c r="F24" s="459">
        <f>389425+294366+766675+69983+60837</f>
        <v>1581286</v>
      </c>
      <c r="G24" s="54" t="s">
        <v>455</v>
      </c>
      <c r="H24" s="445">
        <v>13</v>
      </c>
      <c r="I24" s="460">
        <f t="shared" si="2"/>
        <v>3474</v>
      </c>
      <c r="J24" s="460">
        <f t="shared" si="2"/>
        <v>1778</v>
      </c>
      <c r="K24" s="303">
        <f t="shared" si="1"/>
        <v>0.5118019573978123</v>
      </c>
      <c r="L24" s="460">
        <f>ROUND(F24/1000,0)+1</f>
        <v>1582</v>
      </c>
    </row>
    <row r="25" spans="1:12" ht="24" customHeight="1">
      <c r="A25" s="200" t="s">
        <v>471</v>
      </c>
      <c r="B25" s="445">
        <v>14</v>
      </c>
      <c r="C25" s="457"/>
      <c r="D25" s="457"/>
      <c r="E25" s="458" t="str">
        <f t="shared" si="0"/>
        <v> </v>
      </c>
      <c r="F25" s="459"/>
      <c r="G25" s="200" t="s">
        <v>471</v>
      </c>
      <c r="H25" s="445">
        <v>14</v>
      </c>
      <c r="I25" s="460">
        <f t="shared" si="2"/>
        <v>0</v>
      </c>
      <c r="J25" s="460">
        <f t="shared" si="2"/>
        <v>0</v>
      </c>
      <c r="K25" s="303" t="str">
        <f t="shared" si="1"/>
        <v> </v>
      </c>
      <c r="L25" s="460">
        <f>ROUND(F25/1000,0)</f>
        <v>0</v>
      </c>
    </row>
    <row r="26" spans="2:11" ht="12.75">
      <c r="B26" s="49"/>
      <c r="C26" s="93"/>
      <c r="D26" s="93"/>
      <c r="E26" s="461"/>
      <c r="H26" s="49"/>
      <c r="I26" s="93"/>
      <c r="J26" s="93"/>
      <c r="K26" s="461"/>
    </row>
    <row r="27" spans="1:11" ht="12.75">
      <c r="A27" s="48" t="s">
        <v>472</v>
      </c>
      <c r="B27" s="49"/>
      <c r="C27" s="93"/>
      <c r="D27" s="93"/>
      <c r="E27" s="461"/>
      <c r="G27" s="48" t="s">
        <v>472</v>
      </c>
      <c r="H27" s="49"/>
      <c r="I27" s="93"/>
      <c r="J27" s="93"/>
      <c r="K27" s="461"/>
    </row>
    <row r="28" spans="2:11" ht="12.75">
      <c r="B28" s="49"/>
      <c r="C28" s="93"/>
      <c r="D28" s="93"/>
      <c r="E28" s="461"/>
      <c r="H28" s="49"/>
      <c r="I28" s="93"/>
      <c r="J28" s="93"/>
      <c r="K28" s="461"/>
    </row>
    <row r="29" spans="2:11" ht="12.75">
      <c r="B29" s="49"/>
      <c r="C29" s="93"/>
      <c r="D29" s="93"/>
      <c r="E29" s="461"/>
      <c r="H29" s="49"/>
      <c r="I29" s="93"/>
      <c r="J29" s="93"/>
      <c r="K29" s="461"/>
    </row>
    <row r="30" spans="2:11" ht="12.75">
      <c r="B30" s="49"/>
      <c r="C30" s="93"/>
      <c r="D30" s="93"/>
      <c r="E30" s="461"/>
      <c r="H30" s="49"/>
      <c r="I30" s="93"/>
      <c r="J30" s="93"/>
      <c r="K30" s="461"/>
    </row>
    <row r="31" spans="2:11" ht="12.75">
      <c r="B31" s="49"/>
      <c r="C31" s="93"/>
      <c r="D31" s="93"/>
      <c r="E31" s="461"/>
      <c r="H31" s="49"/>
      <c r="I31" s="93"/>
      <c r="J31" s="93"/>
      <c r="K31" s="461"/>
    </row>
    <row r="32" spans="2:11" ht="12.75">
      <c r="B32" s="49"/>
      <c r="C32" s="93"/>
      <c r="D32" s="93"/>
      <c r="E32" s="461"/>
      <c r="J32" s="93"/>
      <c r="K32" s="461"/>
    </row>
    <row r="33" spans="2:11" ht="12.75">
      <c r="B33" s="49"/>
      <c r="C33" s="93"/>
      <c r="D33" s="93"/>
      <c r="E33" s="461"/>
      <c r="H33" s="49"/>
      <c r="I33" s="93"/>
      <c r="J33" s="93"/>
      <c r="K33" s="461"/>
    </row>
    <row r="34" spans="1:11" ht="15.75" customHeight="1">
      <c r="A34" s="48" t="s">
        <v>473</v>
      </c>
      <c r="B34" s="49"/>
      <c r="C34" s="93" t="s">
        <v>460</v>
      </c>
      <c r="D34" s="93"/>
      <c r="E34" s="461"/>
      <c r="H34" s="49"/>
      <c r="I34" s="93"/>
      <c r="J34" s="93"/>
      <c r="K34" s="461"/>
    </row>
    <row r="35" spans="2:11" ht="12.75">
      <c r="B35" s="49"/>
      <c r="C35" s="93"/>
      <c r="D35" s="93"/>
      <c r="E35" s="461"/>
      <c r="H35" s="49"/>
      <c r="I35" s="93"/>
      <c r="J35" s="93"/>
      <c r="K35" s="461"/>
    </row>
    <row r="36" spans="3:11" ht="15.75" customHeight="1">
      <c r="C36" s="93"/>
      <c r="D36" s="93"/>
      <c r="E36" s="461"/>
      <c r="I36" s="93"/>
      <c r="J36" s="93"/>
      <c r="K36" s="461"/>
    </row>
    <row r="37" spans="3:11" ht="12.75">
      <c r="C37" s="93"/>
      <c r="D37" s="93"/>
      <c r="E37" s="461"/>
      <c r="G37" s="48" t="s">
        <v>474</v>
      </c>
      <c r="H37" s="49"/>
      <c r="I37" s="93" t="s">
        <v>475</v>
      </c>
      <c r="J37" s="93"/>
      <c r="K37" s="461"/>
    </row>
    <row r="38" spans="3:11" ht="12.75">
      <c r="C38" s="93"/>
      <c r="D38" s="93"/>
      <c r="E38" s="461"/>
      <c r="I38" s="93"/>
      <c r="J38" s="93"/>
      <c r="K38" s="461"/>
    </row>
    <row r="39" spans="3:11" ht="12.75">
      <c r="C39" s="93"/>
      <c r="D39" s="93"/>
      <c r="E39" s="461"/>
      <c r="I39" s="93"/>
      <c r="J39" s="93"/>
      <c r="K39" s="461"/>
    </row>
    <row r="40" spans="3:11" ht="12.75">
      <c r="C40" s="93"/>
      <c r="D40" s="93"/>
      <c r="E40" s="461"/>
      <c r="I40" s="93"/>
      <c r="J40" s="93"/>
      <c r="K40" s="461"/>
    </row>
    <row r="41" spans="3:11" ht="12.75">
      <c r="C41" s="93"/>
      <c r="D41" s="93"/>
      <c r="E41" s="461"/>
      <c r="I41" s="93"/>
      <c r="J41" s="93"/>
      <c r="K41" s="461"/>
    </row>
    <row r="42" spans="3:11" ht="12.75">
      <c r="C42" s="93"/>
      <c r="D42" s="93"/>
      <c r="E42" s="461"/>
      <c r="I42" s="93"/>
      <c r="J42" s="93"/>
      <c r="K42" s="461"/>
    </row>
    <row r="43" spans="3:11" ht="12.75">
      <c r="C43" s="93"/>
      <c r="D43" s="93"/>
      <c r="E43" s="461"/>
      <c r="I43" s="93"/>
      <c r="J43" s="93"/>
      <c r="K43" s="461"/>
    </row>
    <row r="44" spans="3:11" ht="12.75">
      <c r="C44" s="93"/>
      <c r="D44" s="93"/>
      <c r="E44" s="461"/>
      <c r="I44" s="93"/>
      <c r="J44" s="93"/>
      <c r="K44" s="461"/>
    </row>
    <row r="45" spans="1:11" ht="12.75">
      <c r="A45" s="43" t="s">
        <v>114</v>
      </c>
      <c r="C45" s="93"/>
      <c r="D45" s="93"/>
      <c r="E45" s="461"/>
      <c r="G45" s="43" t="s">
        <v>114</v>
      </c>
      <c r="I45" s="93"/>
      <c r="J45" s="93"/>
      <c r="K45" s="461"/>
    </row>
    <row r="46" spans="1:11" ht="12.75">
      <c r="A46" s="43" t="s">
        <v>59</v>
      </c>
      <c r="C46" s="93"/>
      <c r="D46" s="93"/>
      <c r="E46" s="461"/>
      <c r="G46" s="43" t="s">
        <v>59</v>
      </c>
      <c r="I46" s="93"/>
      <c r="J46" s="93"/>
      <c r="K46" s="461"/>
    </row>
    <row r="47" spans="3:11" ht="12.75">
      <c r="C47" s="93"/>
      <c r="D47" s="93"/>
      <c r="E47" s="461"/>
      <c r="I47" s="93"/>
      <c r="J47" s="93"/>
      <c r="K47" s="461"/>
    </row>
    <row r="48" spans="3:11" ht="12.75">
      <c r="C48" s="93"/>
      <c r="D48" s="93"/>
      <c r="E48" s="461"/>
      <c r="I48" s="93"/>
      <c r="J48" s="93"/>
      <c r="K48" s="461"/>
    </row>
    <row r="49" spans="3:11" ht="12.75">
      <c r="C49" s="93"/>
      <c r="D49" s="93"/>
      <c r="E49" s="461"/>
      <c r="I49" s="93"/>
      <c r="J49" s="93"/>
      <c r="K49" s="461"/>
    </row>
    <row r="50" spans="3:11" ht="12.75">
      <c r="C50" s="93"/>
      <c r="D50" s="93"/>
      <c r="E50" s="461"/>
      <c r="I50" s="93"/>
      <c r="J50" s="93"/>
      <c r="K50" s="461"/>
    </row>
    <row r="51" spans="3:11" ht="12.75">
      <c r="C51" s="93"/>
      <c r="D51" s="93"/>
      <c r="E51" s="461"/>
      <c r="I51" s="93"/>
      <c r="J51" s="93"/>
      <c r="K51" s="461"/>
    </row>
    <row r="52" spans="3:11" ht="12.75">
      <c r="C52" s="93"/>
      <c r="D52" s="93"/>
      <c r="E52" s="461"/>
      <c r="I52" s="93"/>
      <c r="J52" s="93"/>
      <c r="K52" s="461"/>
    </row>
    <row r="53" spans="3:11" ht="12.75">
      <c r="C53" s="93"/>
      <c r="D53" s="93"/>
      <c r="E53" s="461"/>
      <c r="I53" s="93"/>
      <c r="J53" s="93"/>
      <c r="K53" s="461"/>
    </row>
    <row r="54" spans="3:11" ht="12.75">
      <c r="C54" s="93"/>
      <c r="E54" s="461"/>
      <c r="I54" s="93"/>
      <c r="K54" s="461"/>
    </row>
    <row r="55" spans="3:11" ht="12.75">
      <c r="C55" s="93"/>
      <c r="E55" s="461"/>
      <c r="I55" s="93"/>
      <c r="K55" s="461"/>
    </row>
    <row r="56" spans="3:11" ht="12.75">
      <c r="C56" s="93"/>
      <c r="E56" s="461"/>
      <c r="I56" s="93"/>
      <c r="K56" s="461"/>
    </row>
    <row r="57" spans="3:11" ht="12.75">
      <c r="C57" s="93"/>
      <c r="E57" s="461"/>
      <c r="I57" s="93"/>
      <c r="K57" s="461"/>
    </row>
    <row r="58" spans="3:11" ht="12.75">
      <c r="C58" s="93"/>
      <c r="E58" s="461"/>
      <c r="I58" s="93"/>
      <c r="K58" s="461"/>
    </row>
    <row r="59" spans="3:11" ht="12.75">
      <c r="C59" s="93"/>
      <c r="E59" s="461"/>
      <c r="I59" s="93"/>
      <c r="K59" s="461"/>
    </row>
    <row r="60" spans="3:11" ht="12.75">
      <c r="C60" s="93"/>
      <c r="E60" s="461"/>
      <c r="I60" s="93"/>
      <c r="K60" s="461"/>
    </row>
    <row r="61" spans="3:11" ht="12.75">
      <c r="C61" s="93"/>
      <c r="E61" s="461"/>
      <c r="I61" s="93"/>
      <c r="K61" s="461"/>
    </row>
    <row r="62" spans="3:11" ht="12.75">
      <c r="C62" s="93"/>
      <c r="E62" s="461"/>
      <c r="I62" s="93"/>
      <c r="K62" s="461"/>
    </row>
    <row r="63" spans="3:11" ht="12.75">
      <c r="C63" s="93"/>
      <c r="E63" s="461"/>
      <c r="I63" s="93"/>
      <c r="K63" s="461"/>
    </row>
    <row r="64" spans="3:11" ht="12.75">
      <c r="C64" s="93"/>
      <c r="E64" s="461"/>
      <c r="I64" s="93"/>
      <c r="K64" s="461"/>
    </row>
    <row r="65" spans="3:11" ht="12.75">
      <c r="C65" s="93"/>
      <c r="E65" s="461"/>
      <c r="I65" s="93"/>
      <c r="K65" s="461"/>
    </row>
    <row r="66" spans="3:11" ht="12.75">
      <c r="C66" s="93"/>
      <c r="E66" s="461"/>
      <c r="I66" s="93"/>
      <c r="K66" s="461"/>
    </row>
    <row r="67" spans="3:11" ht="12.75">
      <c r="C67" s="93"/>
      <c r="E67" s="461"/>
      <c r="I67" s="93"/>
      <c r="K67" s="461"/>
    </row>
    <row r="68" spans="3:11" ht="12.75">
      <c r="C68" s="93"/>
      <c r="E68" s="461"/>
      <c r="I68" s="93"/>
      <c r="K68" s="461"/>
    </row>
    <row r="69" spans="3:11" ht="12.75">
      <c r="C69" s="93"/>
      <c r="E69" s="461"/>
      <c r="I69" s="93"/>
      <c r="K69" s="461"/>
    </row>
    <row r="70" spans="3:11" ht="12.75">
      <c r="C70" s="93"/>
      <c r="E70" s="461"/>
      <c r="I70" s="93"/>
      <c r="K70" s="461"/>
    </row>
    <row r="71" spans="3:11" ht="12.75">
      <c r="C71" s="93"/>
      <c r="E71" s="461"/>
      <c r="I71" s="93"/>
      <c r="K71" s="461"/>
    </row>
    <row r="72" spans="3:11" ht="12.75">
      <c r="C72" s="93"/>
      <c r="E72" s="461"/>
      <c r="I72" s="93"/>
      <c r="K72" s="461"/>
    </row>
    <row r="73" spans="3:11" ht="12.75">
      <c r="C73" s="93"/>
      <c r="E73" s="461"/>
      <c r="I73" s="93"/>
      <c r="K73" s="461"/>
    </row>
    <row r="74" spans="3:11" ht="12.75">
      <c r="C74" s="93"/>
      <c r="E74" s="461"/>
      <c r="I74" s="93"/>
      <c r="K74" s="461"/>
    </row>
    <row r="75" spans="3:11" ht="12.75">
      <c r="C75" s="93"/>
      <c r="E75" s="461"/>
      <c r="I75" s="93"/>
      <c r="K75" s="461"/>
    </row>
    <row r="76" spans="3:11" ht="12.75">
      <c r="C76" s="93"/>
      <c r="E76" s="461"/>
      <c r="I76" s="93"/>
      <c r="K76" s="461"/>
    </row>
    <row r="77" spans="3:11" ht="12.75">
      <c r="C77" s="93"/>
      <c r="E77" s="461"/>
      <c r="I77" s="93"/>
      <c r="K77" s="461"/>
    </row>
    <row r="78" spans="3:11" ht="12.75">
      <c r="C78" s="93"/>
      <c r="E78" s="461"/>
      <c r="I78" s="93"/>
      <c r="K78" s="461"/>
    </row>
    <row r="79" spans="3:11" ht="12.75">
      <c r="C79" s="93"/>
      <c r="E79" s="461"/>
      <c r="I79" s="93"/>
      <c r="K79" s="461"/>
    </row>
    <row r="80" spans="3:11" ht="12.75">
      <c r="C80" s="93"/>
      <c r="E80" s="461"/>
      <c r="I80" s="93"/>
      <c r="K80" s="461"/>
    </row>
    <row r="81" spans="2:10" ht="12.75">
      <c r="B81" s="93"/>
      <c r="D81" s="461"/>
      <c r="H81" s="93"/>
      <c r="J81" s="461"/>
    </row>
    <row r="82" spans="2:10" ht="12.75">
      <c r="B82" s="93"/>
      <c r="D82" s="461"/>
      <c r="H82" s="93"/>
      <c r="J82" s="461"/>
    </row>
    <row r="83" spans="2:10" ht="12.75">
      <c r="B83" s="93"/>
      <c r="D83" s="461"/>
      <c r="H83" s="93"/>
      <c r="J83" s="461"/>
    </row>
    <row r="84" spans="2:10" ht="12.75">
      <c r="B84" s="93"/>
      <c r="D84" s="461"/>
      <c r="H84" s="93"/>
      <c r="J84" s="461"/>
    </row>
    <row r="85" spans="2:10" ht="12.75">
      <c r="B85" s="93"/>
      <c r="D85" s="461"/>
      <c r="H85" s="93"/>
      <c r="J85" s="461"/>
    </row>
    <row r="86" spans="2:10" ht="12.75">
      <c r="B86" s="93"/>
      <c r="D86" s="461"/>
      <c r="H86" s="93"/>
      <c r="J86" s="461"/>
    </row>
    <row r="87" spans="2:10" ht="12.75">
      <c r="B87" s="93"/>
      <c r="D87" s="461"/>
      <c r="H87" s="93"/>
      <c r="J87" s="461"/>
    </row>
    <row r="88" spans="2:10" ht="12.75">
      <c r="B88" s="93"/>
      <c r="D88" s="461"/>
      <c r="H88" s="93"/>
      <c r="J88" s="461"/>
    </row>
    <row r="89" spans="2:10" ht="12.75">
      <c r="B89" s="93"/>
      <c r="D89" s="461"/>
      <c r="H89" s="93"/>
      <c r="J89" s="461"/>
    </row>
    <row r="90" spans="2:10" ht="12.75">
      <c r="B90" s="93"/>
      <c r="D90" s="461"/>
      <c r="H90" s="93"/>
      <c r="J90" s="461"/>
    </row>
    <row r="91" spans="2:10" ht="12.75">
      <c r="B91" s="93"/>
      <c r="D91" s="461"/>
      <c r="H91" s="93"/>
      <c r="J91" s="461"/>
    </row>
    <row r="92" spans="2:10" ht="12.75">
      <c r="B92" s="93"/>
      <c r="D92" s="461"/>
      <c r="H92" s="93"/>
      <c r="J92" s="461"/>
    </row>
    <row r="93" spans="2:10" ht="12.75">
      <c r="B93" s="93"/>
      <c r="D93" s="461"/>
      <c r="H93" s="93"/>
      <c r="J93" s="461"/>
    </row>
    <row r="94" spans="2:10" ht="12.75">
      <c r="B94" s="93"/>
      <c r="D94" s="461"/>
      <c r="H94" s="93"/>
      <c r="J94" s="461"/>
    </row>
    <row r="95" spans="2:10" ht="12.75">
      <c r="B95" s="93"/>
      <c r="D95" s="461"/>
      <c r="H95" s="93"/>
      <c r="J95" s="461"/>
    </row>
    <row r="96" spans="2:10" ht="12.75">
      <c r="B96" s="93"/>
      <c r="D96" s="461"/>
      <c r="H96" s="93"/>
      <c r="J96" s="461"/>
    </row>
    <row r="97" spans="2:10" ht="12.75">
      <c r="B97" s="93"/>
      <c r="D97" s="461"/>
      <c r="H97" s="93"/>
      <c r="J97" s="461"/>
    </row>
    <row r="98" spans="2:10" ht="12.75">
      <c r="B98" s="93"/>
      <c r="D98" s="461"/>
      <c r="H98" s="93"/>
      <c r="J98" s="461"/>
    </row>
    <row r="99" spans="2:10" ht="12.75">
      <c r="B99" s="93"/>
      <c r="D99" s="461"/>
      <c r="H99" s="93"/>
      <c r="J99" s="461"/>
    </row>
    <row r="100" spans="2:10" ht="12.75">
      <c r="B100" s="93"/>
      <c r="D100" s="461"/>
      <c r="H100" s="93"/>
      <c r="J100" s="461"/>
    </row>
    <row r="101" spans="2:8" ht="12.75">
      <c r="B101" s="93"/>
      <c r="H101" s="93"/>
    </row>
    <row r="102" spans="2:8" ht="12.75">
      <c r="B102" s="93"/>
      <c r="H102" s="93"/>
    </row>
    <row r="103" spans="2:8" ht="12.75">
      <c r="B103" s="93"/>
      <c r="H103" s="93"/>
    </row>
    <row r="104" spans="2:8" ht="12.75">
      <c r="B104" s="93"/>
      <c r="H104" s="93"/>
    </row>
    <row r="105" spans="2:8" ht="12.75">
      <c r="B105" s="93"/>
      <c r="H105" s="93"/>
    </row>
    <row r="106" spans="2:8" ht="12.75">
      <c r="B106" s="93"/>
      <c r="H106" s="93"/>
    </row>
    <row r="107" spans="2:8" ht="12.75">
      <c r="B107" s="93"/>
      <c r="H107" s="93"/>
    </row>
    <row r="108" spans="2:8" ht="12.75">
      <c r="B108" s="93"/>
      <c r="H108" s="93"/>
    </row>
    <row r="109" spans="2:8" ht="12.75">
      <c r="B109" s="93"/>
      <c r="H109" s="93"/>
    </row>
  </sheetData>
  <mergeCells count="2">
    <mergeCell ref="G4:L4"/>
    <mergeCell ref="G5:L5"/>
  </mergeCells>
  <printOptions/>
  <pageMargins left="0.75" right="0.75" top="1" bottom="1" header="0.5" footer="0.5"/>
  <pageSetup horizontalDpi="300" verticalDpi="300" orientation="portrait" paperSize="9" scale="94" r:id="rId1"/>
  <headerFooter alignWithMargins="0">
    <oddFooter>&amp;R20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45"/>
  <sheetViews>
    <sheetView workbookViewId="0" topLeftCell="H4">
      <selection activeCell="N4" sqref="N4"/>
    </sheetView>
  </sheetViews>
  <sheetFormatPr defaultColWidth="9.140625" defaultRowHeight="12.75"/>
  <cols>
    <col min="1" max="1" width="36.00390625" style="43" hidden="1" customWidth="1"/>
    <col min="2" max="3" width="11.421875" style="43" hidden="1" customWidth="1"/>
    <col min="4" max="4" width="10.57421875" style="43" hidden="1" customWidth="1"/>
    <col min="5" max="5" width="6.421875" style="43" hidden="1" customWidth="1"/>
    <col min="6" max="7" width="9.140625" style="43" hidden="1" customWidth="1"/>
    <col min="8" max="8" width="32.421875" style="43" customWidth="1"/>
    <col min="9" max="9" width="10.8515625" style="43" customWidth="1"/>
    <col min="10" max="10" width="10.57421875" style="43" customWidth="1"/>
    <col min="11" max="11" width="8.140625" style="43" customWidth="1"/>
    <col min="12" max="12" width="7.421875" style="43" customWidth="1"/>
    <col min="13" max="13" width="9.00390625" style="43" customWidth="1"/>
    <col min="14" max="14" width="9.7109375" style="43" customWidth="1"/>
    <col min="15" max="104" width="11.421875" style="0" customWidth="1"/>
    <col min="105" max="16384" width="11.421875" style="43" customWidth="1"/>
  </cols>
  <sheetData>
    <row r="1" spans="1:14" ht="17.25" customHeight="1">
      <c r="A1" s="32" t="s">
        <v>60</v>
      </c>
      <c r="B1" s="32"/>
      <c r="C1" s="462"/>
      <c r="D1" s="32"/>
      <c r="E1" s="32"/>
      <c r="F1" s="462"/>
      <c r="G1" s="43" t="s">
        <v>476</v>
      </c>
      <c r="H1" s="32" t="s">
        <v>60</v>
      </c>
      <c r="I1" s="32"/>
      <c r="J1" s="462"/>
      <c r="K1" s="32"/>
      <c r="L1" s="32"/>
      <c r="M1" s="462"/>
      <c r="N1" s="43" t="s">
        <v>477</v>
      </c>
    </row>
    <row r="2" spans="1:14" ht="12.75">
      <c r="A2" s="32"/>
      <c r="B2" s="32"/>
      <c r="C2" s="462"/>
      <c r="D2" s="32"/>
      <c r="E2" s="32"/>
      <c r="F2" s="462"/>
      <c r="G2" s="2"/>
      <c r="H2" s="32"/>
      <c r="I2" s="32"/>
      <c r="J2" s="462"/>
      <c r="K2" s="32"/>
      <c r="L2" s="32"/>
      <c r="M2" s="462"/>
      <c r="N2" s="2"/>
    </row>
    <row r="3" spans="1:14" ht="18.75" customHeight="1">
      <c r="A3" s="45" t="s">
        <v>478</v>
      </c>
      <c r="B3" s="462"/>
      <c r="C3" s="462"/>
      <c r="D3" s="462"/>
      <c r="E3" s="462"/>
      <c r="F3" s="462"/>
      <c r="G3" s="2"/>
      <c r="H3" s="45" t="s">
        <v>478</v>
      </c>
      <c r="I3" s="462"/>
      <c r="J3" s="462"/>
      <c r="K3" s="462"/>
      <c r="L3" s="462"/>
      <c r="M3" s="462"/>
      <c r="N3" s="2"/>
    </row>
    <row r="4" spans="1:14" ht="19.5" customHeight="1">
      <c r="A4" s="45" t="s">
        <v>386</v>
      </c>
      <c r="B4" s="462"/>
      <c r="C4" s="462"/>
      <c r="D4" s="462"/>
      <c r="E4" s="462"/>
      <c r="F4" s="462"/>
      <c r="G4" s="2"/>
      <c r="H4" s="45" t="s">
        <v>386</v>
      </c>
      <c r="I4" s="462"/>
      <c r="J4" s="462"/>
      <c r="K4" s="462"/>
      <c r="L4" s="462"/>
      <c r="M4" s="462"/>
      <c r="N4" s="2"/>
    </row>
    <row r="5" spans="1:14" ht="11.25" customHeight="1">
      <c r="A5" s="2"/>
      <c r="B5" s="2"/>
      <c r="C5" s="2"/>
      <c r="D5" s="287"/>
      <c r="E5" s="36"/>
      <c r="F5" s="2"/>
      <c r="G5" s="3" t="s">
        <v>66</v>
      </c>
      <c r="H5" s="2"/>
      <c r="I5" s="2"/>
      <c r="J5" s="2"/>
      <c r="K5" s="287"/>
      <c r="L5" s="36"/>
      <c r="M5" s="2"/>
      <c r="N5" s="3" t="s">
        <v>479</v>
      </c>
    </row>
    <row r="6" spans="1:14" ht="79.5" customHeight="1">
      <c r="A6" s="5" t="s">
        <v>18</v>
      </c>
      <c r="B6" s="5" t="s">
        <v>68</v>
      </c>
      <c r="C6" s="5" t="s">
        <v>69</v>
      </c>
      <c r="D6" s="5" t="s">
        <v>70</v>
      </c>
      <c r="E6" s="5" t="s">
        <v>71</v>
      </c>
      <c r="F6" s="5" t="s">
        <v>72</v>
      </c>
      <c r="G6" s="5" t="s">
        <v>22</v>
      </c>
      <c r="H6" s="5" t="s">
        <v>18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5" t="s">
        <v>22</v>
      </c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463">
        <v>7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110">
        <v>7</v>
      </c>
    </row>
    <row r="8" spans="1:104" ht="38.25">
      <c r="A8" s="464" t="s">
        <v>480</v>
      </c>
      <c r="B8" s="465">
        <f>B9+B12</f>
        <v>39782537</v>
      </c>
      <c r="C8" s="465">
        <f>C9+C12</f>
        <v>19518928</v>
      </c>
      <c r="D8" s="465">
        <f>D9+D12</f>
        <v>3431951</v>
      </c>
      <c r="E8" s="466">
        <f aca="true" t="shared" si="0" ref="E8:F23">IF(ISERROR(D8/B8)," ",(D8/B8))</f>
        <v>0.086267776235588</v>
      </c>
      <c r="F8" s="466">
        <f t="shared" si="0"/>
        <v>4.419698470919509E-09</v>
      </c>
      <c r="G8" s="465">
        <f>D8-'[8]Junijs'!D8</f>
        <v>539664</v>
      </c>
      <c r="H8" s="464" t="s">
        <v>480</v>
      </c>
      <c r="I8" s="453">
        <f>I9+I12</f>
        <v>39782</v>
      </c>
      <c r="J8" s="453">
        <f>J9+J12</f>
        <v>19519</v>
      </c>
      <c r="K8" s="453">
        <f>K9+K12</f>
        <v>3432</v>
      </c>
      <c r="L8" s="467">
        <f aca="true" t="shared" si="1" ref="L8:L32">IF(ISERROR(ROUND(K8,0)/ROUND(I8,0))," ",(ROUND(K8,)/ROUND(I8,)))</f>
        <v>0.0862701724397969</v>
      </c>
      <c r="M8" s="468">
        <f>IF(ISERROR(ROUND(K8,0)/ROUND(J8,0))," ",(ROUND(K8,)/ROUND(J8,)))</f>
        <v>0.1758286797479379</v>
      </c>
      <c r="N8" s="465">
        <f>K8-'[8]Junijs'!K8</f>
        <v>541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</row>
    <row r="9" spans="1:104" s="471" customFormat="1" ht="15" customHeight="1">
      <c r="A9" s="469" t="s">
        <v>393</v>
      </c>
      <c r="B9" s="465">
        <f>SUM(B10:B11)</f>
        <v>31643057</v>
      </c>
      <c r="C9" s="465">
        <f>SUM(C10:C11)</f>
        <v>17993350</v>
      </c>
      <c r="D9" s="465">
        <f>SUM(D10:D11)</f>
        <v>2218760</v>
      </c>
      <c r="E9" s="466">
        <f t="shared" si="0"/>
        <v>0.0701183833154932</v>
      </c>
      <c r="F9" s="466">
        <f aca="true" t="shared" si="2" ref="F9:F72">IF(ISERROR(D9/C9)," ",(D9/C9))</f>
        <v>0.123310000639125</v>
      </c>
      <c r="G9" s="465">
        <f>D9-'[8]Junijs'!D9</f>
        <v>355485</v>
      </c>
      <c r="H9" s="469" t="s">
        <v>393</v>
      </c>
      <c r="I9" s="465">
        <f>SUM(I10:I11)</f>
        <v>31643</v>
      </c>
      <c r="J9" s="465">
        <f>SUM(J10:J11)</f>
        <v>17993</v>
      </c>
      <c r="K9" s="465">
        <f>SUM(K10:K11)</f>
        <v>2219</v>
      </c>
      <c r="L9" s="467">
        <f t="shared" si="1"/>
        <v>0.07012609423885219</v>
      </c>
      <c r="M9" s="470">
        <f>IF(ISERROR(ROUND(K9,0)/ROUND(J9,0))," ",(ROUND(K9,)/ROUND(J9,)))</f>
        <v>0.12332573778691713</v>
      </c>
      <c r="N9" s="465">
        <f>K9-'[8]Junijs'!K9</f>
        <v>356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</row>
    <row r="10" spans="1:104" s="74" customFormat="1" ht="13.5" customHeight="1">
      <c r="A10" s="238" t="s">
        <v>77</v>
      </c>
      <c r="B10" s="7">
        <f>SUM(B17,B22,B28,B35,B42,B47,B59,B66,B73,B80,B85)</f>
        <v>24233753</v>
      </c>
      <c r="C10" s="7">
        <f>SUM(C17,C22,C28,C35,C42,C47,C59,C66,C73,C80,C85)</f>
        <v>13603316</v>
      </c>
      <c r="D10" s="7">
        <f>SUM(D17,D22,D28,D35,D42,D47,D59,D66,D73,D80,D85)</f>
        <v>1797167</v>
      </c>
      <c r="E10" s="472">
        <f t="shared" si="0"/>
        <v>0.07415966482781268</v>
      </c>
      <c r="F10" s="472">
        <f t="shared" si="2"/>
        <v>0.13211242023636002</v>
      </c>
      <c r="G10" s="465">
        <f>D10-'[8]Junijs'!D10</f>
        <v>355485</v>
      </c>
      <c r="H10" s="238" t="s">
        <v>77</v>
      </c>
      <c r="I10" s="68">
        <f>SUM(I17,I22,I28,I35,I42,I47,I59,I66,I73,I80,I85)</f>
        <v>24234</v>
      </c>
      <c r="J10" s="68">
        <f>SUM(J17,J22,J28,J35,J42,J47,J59,J66,J73,J80,J85)</f>
        <v>13603</v>
      </c>
      <c r="K10" s="68">
        <f>SUM(K17,K22,K28,K35,K42,K47,K59,K66,K73,K80,K85)</f>
        <v>1797</v>
      </c>
      <c r="L10" s="473">
        <f t="shared" si="1"/>
        <v>0.0741520178261946</v>
      </c>
      <c r="M10" s="59">
        <f>IF(ISERROR(ROUND(K10,0)/ROUND(J10,0))," ",(ROUND(K10,)/ROUND(J10,)))</f>
        <v>0.13210321252664853</v>
      </c>
      <c r="N10" s="56">
        <f>K10-'[8]Junijs'!K10</f>
        <v>356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</row>
    <row r="11" spans="1:104" s="74" customFormat="1" ht="14.25" customHeight="1">
      <c r="A11" s="238" t="s">
        <v>78</v>
      </c>
      <c r="B11" s="7">
        <f>SUM(B23,B29,B36,B48,B54,B60,B67,B74,)</f>
        <v>7409304</v>
      </c>
      <c r="C11" s="7">
        <f>SUM(C23,C29,C36,C48,C54,C60,C67,C74,)</f>
        <v>4390034</v>
      </c>
      <c r="D11" s="7">
        <f>SUM(D23,D29,D36,D48,D54,D60,D67,D74,)</f>
        <v>421593</v>
      </c>
      <c r="E11" s="472">
        <f t="shared" si="0"/>
        <v>0.056900486199513475</v>
      </c>
      <c r="F11" s="472">
        <f t="shared" si="2"/>
        <v>0.09603410816408256</v>
      </c>
      <c r="G11" s="465">
        <f>D11-'[8]Junijs'!D11</f>
        <v>0</v>
      </c>
      <c r="H11" s="238" t="s">
        <v>78</v>
      </c>
      <c r="I11" s="68">
        <f>SUM(I23,I29,I36,I48,I54,I60,I67,I74,)</f>
        <v>7409</v>
      </c>
      <c r="J11" s="68">
        <f>SUM(J23,J29,J36,J48,J54,J60,J67,J74,)</f>
        <v>4390</v>
      </c>
      <c r="K11" s="68">
        <f>SUM(K23,K29,K36,K48,K54,K60,K67,K74,)</f>
        <v>422</v>
      </c>
      <c r="L11" s="473">
        <f t="shared" si="1"/>
        <v>0.05695775408287218</v>
      </c>
      <c r="M11" s="59">
        <f>IF(ISERROR(ROUND(K11,0)/ROUND(J11,0))," ",(ROUND(K11,)/ROUND(J11,)))</f>
        <v>0.09612756264236902</v>
      </c>
      <c r="N11" s="56">
        <f>K11-'[8]Junijs'!K11</f>
        <v>0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</row>
    <row r="12" spans="1:104" s="54" customFormat="1" ht="14.25" customHeight="1">
      <c r="A12" s="469" t="s">
        <v>481</v>
      </c>
      <c r="B12" s="465">
        <f>SUM(B13:B14)</f>
        <v>8139480</v>
      </c>
      <c r="C12" s="465">
        <f>SUM(C13:C14)</f>
        <v>1525578</v>
      </c>
      <c r="D12" s="465">
        <f>SUM(D13:D14)</f>
        <v>1213191</v>
      </c>
      <c r="E12" s="466">
        <f t="shared" si="0"/>
        <v>0.14905018502410475</v>
      </c>
      <c r="F12" s="466">
        <f t="shared" si="2"/>
        <v>0.7952336753676311</v>
      </c>
      <c r="G12" s="465">
        <f>D12-'[8]Junijs'!D12</f>
        <v>184179</v>
      </c>
      <c r="H12" s="469" t="s">
        <v>481</v>
      </c>
      <c r="I12" s="453">
        <f>SUM(I13:I14)</f>
        <v>8139</v>
      </c>
      <c r="J12" s="453">
        <f>SUM(J13:J14)</f>
        <v>1526</v>
      </c>
      <c r="K12" s="453">
        <f>SUM(K13:K14)</f>
        <v>1213</v>
      </c>
      <c r="L12" s="467">
        <f t="shared" si="1"/>
        <v>0.1490355080476717</v>
      </c>
      <c r="M12" s="468">
        <f aca="true" t="shared" si="3" ref="M12:M22">IF(ISERROR(ROUND(K12,0)/ROUND(J12,0))," ",(ROUND(K12,)/ROUND(J12,)))</f>
        <v>0.7948885976408913</v>
      </c>
      <c r="N12" s="423">
        <f>K12-'[8]Junijs'!K12</f>
        <v>185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</row>
    <row r="13" spans="1:104" s="74" customFormat="1" ht="13.5" customHeight="1">
      <c r="A13" s="238" t="s">
        <v>77</v>
      </c>
      <c r="B13" s="7">
        <f>B19+B25+B31+B38+B44+B50+B62+B69+B76+B82</f>
        <v>5519205</v>
      </c>
      <c r="C13" s="7">
        <f>C19+C25+C31+C38+C44+C50+C62+C69+C76+C82</f>
        <v>776618</v>
      </c>
      <c r="D13" s="7">
        <f>D19+D25+D31+D38+D44+D50+D62+D69+D76+D82</f>
        <v>619994</v>
      </c>
      <c r="E13" s="472">
        <f t="shared" si="0"/>
        <v>0.11233393215146022</v>
      </c>
      <c r="F13" s="472">
        <f t="shared" si="2"/>
        <v>0.7983255603140798</v>
      </c>
      <c r="G13" s="465">
        <f>D13-'[8]Junijs'!D13</f>
        <v>45604</v>
      </c>
      <c r="H13" s="238" t="s">
        <v>77</v>
      </c>
      <c r="I13" s="68">
        <f>I19+I25+I31+I38+I44+I50+I62+I69+I76+I82</f>
        <v>5519</v>
      </c>
      <c r="J13" s="68">
        <f>J19+J25+J31+J38+J44+J50+J62+J69+J76+J82</f>
        <v>777</v>
      </c>
      <c r="K13" s="68">
        <f>K19+K25+K31+K38+K44+K50+K62+K69+K76+K82</f>
        <v>620</v>
      </c>
      <c r="L13" s="473">
        <f t="shared" si="1"/>
        <v>0.11233919188258742</v>
      </c>
      <c r="M13" s="473">
        <f t="shared" si="3"/>
        <v>0.797940797940798</v>
      </c>
      <c r="N13" s="56">
        <f>K13-'[8]Junijs'!K13</f>
        <v>46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</row>
    <row r="14" spans="1:104" s="74" customFormat="1" ht="14.25" customHeight="1">
      <c r="A14" s="238" t="s">
        <v>78</v>
      </c>
      <c r="B14" s="7">
        <f>B32+B39+B51+B56+B63+B70+B77</f>
        <v>2620275</v>
      </c>
      <c r="C14" s="7">
        <f>C32+C39+C51+C56+C63+C70+C77</f>
        <v>748960</v>
      </c>
      <c r="D14" s="7">
        <f>D32+D39+D51+D56+D63+D70+D77</f>
        <v>593197</v>
      </c>
      <c r="E14" s="472">
        <f t="shared" si="0"/>
        <v>0.22638730667582602</v>
      </c>
      <c r="F14" s="472">
        <f t="shared" si="2"/>
        <v>0.7920276116214484</v>
      </c>
      <c r="G14" s="465">
        <f>D14-'[8]Junijs'!D14</f>
        <v>138575</v>
      </c>
      <c r="H14" s="238" t="s">
        <v>78</v>
      </c>
      <c r="I14" s="56">
        <f>I32+I39+I51+I56+I63+I70+I77</f>
        <v>2620</v>
      </c>
      <c r="J14" s="56">
        <f>J32+J39+J51+J56+J63+J70+J77</f>
        <v>749</v>
      </c>
      <c r="K14" s="56">
        <f>K32+K39+K51+K56+K63+K70+K77</f>
        <v>593</v>
      </c>
      <c r="L14" s="473">
        <f t="shared" si="1"/>
        <v>0.22633587786259543</v>
      </c>
      <c r="M14" s="473">
        <f t="shared" si="3"/>
        <v>0.7917222963951935</v>
      </c>
      <c r="N14" s="56">
        <f>K14-'[8]Junijs'!K14</f>
        <v>139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</row>
    <row r="15" spans="1:104" s="60" customFormat="1" ht="13.5" customHeight="1">
      <c r="A15" s="73" t="s">
        <v>82</v>
      </c>
      <c r="B15" s="68">
        <f>B16+B18</f>
        <v>158127</v>
      </c>
      <c r="C15" s="68">
        <f>C16+C18</f>
        <v>134802</v>
      </c>
      <c r="D15" s="68">
        <f>D16+D18</f>
        <v>107728</v>
      </c>
      <c r="E15" s="474">
        <f t="shared" si="0"/>
        <v>0.6812751775471615</v>
      </c>
      <c r="F15" s="474">
        <f t="shared" si="2"/>
        <v>0.7991572825329001</v>
      </c>
      <c r="G15" s="465">
        <f>D15-'[8]Junijs'!D15</f>
        <v>24237</v>
      </c>
      <c r="H15" s="73" t="s">
        <v>82</v>
      </c>
      <c r="I15" s="68">
        <f>I16+I18</f>
        <v>158</v>
      </c>
      <c r="J15" s="68">
        <f>J16+J18</f>
        <v>135</v>
      </c>
      <c r="K15" s="68">
        <f>K16+K18</f>
        <v>108</v>
      </c>
      <c r="L15" s="473">
        <f t="shared" si="1"/>
        <v>0.6835443037974683</v>
      </c>
      <c r="M15" s="473">
        <f t="shared" si="3"/>
        <v>0.8</v>
      </c>
      <c r="N15" s="68">
        <f>K15-'[8]Junijs'!K15</f>
        <v>24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74" customFormat="1" ht="12.75">
      <c r="A16" s="475" t="s">
        <v>482</v>
      </c>
      <c r="B16" s="476">
        <f>B17</f>
        <v>146740</v>
      </c>
      <c r="C16" s="476">
        <f>C17</f>
        <v>128159</v>
      </c>
      <c r="D16" s="476">
        <f>D17</f>
        <v>101087</v>
      </c>
      <c r="E16" s="472">
        <f t="shared" si="0"/>
        <v>0.6888851029030939</v>
      </c>
      <c r="F16" s="472">
        <f t="shared" si="2"/>
        <v>0.7887623967103364</v>
      </c>
      <c r="G16" s="465">
        <f>D16-'[8]Junijs'!D16</f>
        <v>23290</v>
      </c>
      <c r="H16" s="475" t="s">
        <v>482</v>
      </c>
      <c r="I16" s="476">
        <f>I17</f>
        <v>147</v>
      </c>
      <c r="J16" s="476">
        <f>J17</f>
        <v>128</v>
      </c>
      <c r="K16" s="476">
        <f>K17</f>
        <v>101</v>
      </c>
      <c r="L16" s="477">
        <f t="shared" si="1"/>
        <v>0.6870748299319728</v>
      </c>
      <c r="M16" s="477">
        <f t="shared" si="3"/>
        <v>0.7890625</v>
      </c>
      <c r="N16" s="476">
        <f>K16-'[8]Junijs'!K16</f>
        <v>23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</row>
    <row r="17" spans="1:104" s="54" customFormat="1" ht="12.75">
      <c r="A17" s="62" t="s">
        <v>77</v>
      </c>
      <c r="B17" s="71">
        <v>146740</v>
      </c>
      <c r="C17" s="71">
        <v>128159</v>
      </c>
      <c r="D17" s="71">
        <v>101087</v>
      </c>
      <c r="E17" s="472">
        <f t="shared" si="0"/>
        <v>0.6888851029030939</v>
      </c>
      <c r="F17" s="472">
        <f t="shared" si="2"/>
        <v>0.7887623967103364</v>
      </c>
      <c r="G17" s="465">
        <f>D17-'[8]Junijs'!D17</f>
        <v>23290</v>
      </c>
      <c r="H17" s="62" t="s">
        <v>77</v>
      </c>
      <c r="I17" s="71">
        <f>ROUND(B17/1000,0)</f>
        <v>147</v>
      </c>
      <c r="J17" s="71">
        <f>ROUND(C17/1000,0)</f>
        <v>128</v>
      </c>
      <c r="K17" s="71">
        <f>ROUND(D17/1000,0)</f>
        <v>101</v>
      </c>
      <c r="L17" s="478">
        <f t="shared" si="1"/>
        <v>0.6870748299319728</v>
      </c>
      <c r="M17" s="478">
        <f t="shared" si="3"/>
        <v>0.7890625</v>
      </c>
      <c r="N17" s="71">
        <f>K17-'[8]Junijs'!K17</f>
        <v>23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74" customFormat="1" ht="12.75">
      <c r="A18" s="475" t="s">
        <v>483</v>
      </c>
      <c r="B18" s="476">
        <f>B19</f>
        <v>11387</v>
      </c>
      <c r="C18" s="476">
        <f>C19</f>
        <v>6643</v>
      </c>
      <c r="D18" s="476">
        <f>D19</f>
        <v>6641</v>
      </c>
      <c r="E18" s="472">
        <f t="shared" si="0"/>
        <v>0.5832089224554317</v>
      </c>
      <c r="F18" s="472">
        <f t="shared" si="2"/>
        <v>0.9996989312057806</v>
      </c>
      <c r="G18" s="465">
        <f>D18-'[8]Junijs'!D18</f>
        <v>947</v>
      </c>
      <c r="H18" s="475" t="s">
        <v>483</v>
      </c>
      <c r="I18" s="476">
        <f>I19</f>
        <v>11</v>
      </c>
      <c r="J18" s="476">
        <f>J19</f>
        <v>7</v>
      </c>
      <c r="K18" s="476">
        <f>K19</f>
        <v>7</v>
      </c>
      <c r="L18" s="477">
        <f t="shared" si="1"/>
        <v>0.6363636363636364</v>
      </c>
      <c r="M18" s="477">
        <f t="shared" si="3"/>
        <v>1</v>
      </c>
      <c r="N18" s="476">
        <f>K18-'[8]Junijs'!K18</f>
        <v>1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</row>
    <row r="19" spans="1:104" s="54" customFormat="1" ht="12.75">
      <c r="A19" s="62" t="s">
        <v>77</v>
      </c>
      <c r="B19" s="71">
        <v>11387</v>
      </c>
      <c r="C19" s="71">
        <v>6643</v>
      </c>
      <c r="D19" s="71">
        <v>6641</v>
      </c>
      <c r="E19" s="472">
        <f t="shared" si="0"/>
        <v>0.5832089224554317</v>
      </c>
      <c r="F19" s="472">
        <f t="shared" si="2"/>
        <v>0.9996989312057806</v>
      </c>
      <c r="G19" s="465">
        <f>D19-'[8]Junijs'!D19</f>
        <v>947</v>
      </c>
      <c r="H19" s="62" t="s">
        <v>77</v>
      </c>
      <c r="I19" s="71">
        <f>ROUND(B19/1000,0)</f>
        <v>11</v>
      </c>
      <c r="J19" s="71">
        <f>ROUND(C19/1000,0)</f>
        <v>7</v>
      </c>
      <c r="K19" s="71">
        <f>ROUND(D19/1000,0)</f>
        <v>7</v>
      </c>
      <c r="L19" s="478">
        <f t="shared" si="1"/>
        <v>0.6363636363636364</v>
      </c>
      <c r="M19" s="478">
        <f t="shared" si="3"/>
        <v>1</v>
      </c>
      <c r="N19" s="71">
        <f>K19-'[8]Junijs'!K19</f>
        <v>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60" customFormat="1" ht="12.75">
      <c r="A20" s="73" t="s">
        <v>85</v>
      </c>
      <c r="B20" s="68">
        <f>B21+B24</f>
        <v>3204168</v>
      </c>
      <c r="C20" s="68">
        <f>C21+C24</f>
        <v>2587065</v>
      </c>
      <c r="D20" s="68">
        <f>D21+D24</f>
        <v>242170</v>
      </c>
      <c r="E20" s="474">
        <f t="shared" si="0"/>
        <v>0.07557968246359117</v>
      </c>
      <c r="F20" s="474">
        <f t="shared" si="2"/>
        <v>0.09360800752976829</v>
      </c>
      <c r="G20" s="465">
        <f>D20-'[8]Junijs'!D20</f>
        <v>163416</v>
      </c>
      <c r="H20" s="73" t="s">
        <v>85</v>
      </c>
      <c r="I20" s="68">
        <f>I21+I24</f>
        <v>3204</v>
      </c>
      <c r="J20" s="68">
        <f>J21+J24</f>
        <v>2587</v>
      </c>
      <c r="K20" s="68">
        <f>K21+K24</f>
        <v>242</v>
      </c>
      <c r="L20" s="473">
        <f t="shared" si="1"/>
        <v>0.07553058676654183</v>
      </c>
      <c r="M20" s="473">
        <f t="shared" si="3"/>
        <v>0.0935446463084654</v>
      </c>
      <c r="N20" s="68">
        <f>K20-'[8]Junijs'!K20</f>
        <v>163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74" customFormat="1" ht="12.75">
      <c r="A21" s="475" t="s">
        <v>482</v>
      </c>
      <c r="B21" s="476">
        <f>SUM(B22:B23)</f>
        <v>3144168</v>
      </c>
      <c r="C21" s="476">
        <f>SUM(C22:C23)</f>
        <v>2557065</v>
      </c>
      <c r="D21" s="476">
        <f>SUM(D22:D23)</f>
        <v>217103</v>
      </c>
      <c r="E21" s="472">
        <f t="shared" si="0"/>
        <v>0.06904942738428735</v>
      </c>
      <c r="F21" s="472">
        <f t="shared" si="2"/>
        <v>0.08490319956669072</v>
      </c>
      <c r="G21" s="465">
        <f>D21-'[8]Junijs'!D21</f>
        <v>157245</v>
      </c>
      <c r="H21" s="475" t="s">
        <v>482</v>
      </c>
      <c r="I21" s="476">
        <f>SUM(I22:I23)</f>
        <v>3144</v>
      </c>
      <c r="J21" s="476">
        <f>SUM(J22:J23)</f>
        <v>2557</v>
      </c>
      <c r="K21" s="476">
        <f>SUM(K22:K23)</f>
        <v>217</v>
      </c>
      <c r="L21" s="477">
        <f t="shared" si="1"/>
        <v>0.06902035623409669</v>
      </c>
      <c r="M21" s="477">
        <f t="shared" si="3"/>
        <v>0.08486507626124365</v>
      </c>
      <c r="N21" s="476">
        <f>K21-'[8]Junijs'!K21</f>
        <v>157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</row>
    <row r="22" spans="1:104" s="54" customFormat="1" ht="12.75">
      <c r="A22" s="62" t="s">
        <v>77</v>
      </c>
      <c r="B22" s="71">
        <v>1532168</v>
      </c>
      <c r="C22" s="71">
        <v>945065</v>
      </c>
      <c r="D22" s="71">
        <v>217103</v>
      </c>
      <c r="E22" s="472">
        <f t="shared" si="0"/>
        <v>0.14169660246134888</v>
      </c>
      <c r="F22" s="472">
        <f t="shared" si="2"/>
        <v>0.2297228232978684</v>
      </c>
      <c r="G22" s="465">
        <f>D22-'[8]Junijs'!D22</f>
        <v>157245</v>
      </c>
      <c r="H22" s="62" t="s">
        <v>77</v>
      </c>
      <c r="I22" s="71">
        <f aca="true" t="shared" si="4" ref="I22:K23">ROUND(B22/1000,0)</f>
        <v>1532</v>
      </c>
      <c r="J22" s="71">
        <f t="shared" si="4"/>
        <v>945</v>
      </c>
      <c r="K22" s="71">
        <f t="shared" si="4"/>
        <v>217</v>
      </c>
      <c r="L22" s="478">
        <f t="shared" si="1"/>
        <v>0.141644908616188</v>
      </c>
      <c r="M22" s="478">
        <f t="shared" si="3"/>
        <v>0.22962962962962963</v>
      </c>
      <c r="N22" s="71">
        <f>K22-'[8]Junijs'!K22</f>
        <v>157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54" customFormat="1" ht="12.75">
      <c r="A23" s="62" t="s">
        <v>78</v>
      </c>
      <c r="B23" s="71">
        <v>1612000</v>
      </c>
      <c r="C23" s="71">
        <v>1612000</v>
      </c>
      <c r="D23" s="71"/>
      <c r="E23" s="472">
        <f t="shared" si="0"/>
        <v>0</v>
      </c>
      <c r="F23" s="472">
        <f t="shared" si="2"/>
        <v>0</v>
      </c>
      <c r="G23" s="465">
        <f>D23-'[8]Junijs'!D23</f>
        <v>0</v>
      </c>
      <c r="H23" s="62" t="s">
        <v>78</v>
      </c>
      <c r="I23" s="71">
        <f t="shared" si="4"/>
        <v>1612</v>
      </c>
      <c r="J23" s="71">
        <f t="shared" si="4"/>
        <v>1612</v>
      </c>
      <c r="K23" s="71">
        <f t="shared" si="4"/>
        <v>0</v>
      </c>
      <c r="L23" s="478">
        <f t="shared" si="1"/>
        <v>0</v>
      </c>
      <c r="M23" s="478"/>
      <c r="N23" s="71">
        <f>K23-'[8]Junijs'!K23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74" customFormat="1" ht="12.75">
      <c r="A24" s="475" t="s">
        <v>483</v>
      </c>
      <c r="B24" s="476">
        <f>B25</f>
        <v>60000</v>
      </c>
      <c r="C24" s="476">
        <f>C25</f>
        <v>30000</v>
      </c>
      <c r="D24" s="476">
        <f>D25</f>
        <v>25067</v>
      </c>
      <c r="E24" s="472">
        <f aca="true" t="shared" si="5" ref="E24:E87">IF(ISERROR(D24/B24)," ",(D24/B24))</f>
        <v>0.41778333333333334</v>
      </c>
      <c r="F24" s="472">
        <f t="shared" si="2"/>
        <v>0.8355666666666667</v>
      </c>
      <c r="G24" s="465">
        <f>D24-'[8]Junijs'!D24</f>
        <v>6171</v>
      </c>
      <c r="H24" s="475" t="s">
        <v>483</v>
      </c>
      <c r="I24" s="476">
        <f>I25</f>
        <v>60</v>
      </c>
      <c r="J24" s="476">
        <f>J25</f>
        <v>30</v>
      </c>
      <c r="K24" s="476">
        <f>K25</f>
        <v>25</v>
      </c>
      <c r="L24" s="477">
        <f t="shared" si="1"/>
        <v>0.4166666666666667</v>
      </c>
      <c r="M24" s="477">
        <f>IF(ISERROR(ROUND(K24,0)/ROUND(J24,0))," ",(ROUND(K24,)/ROUND(J24,)))</f>
        <v>0.8333333333333334</v>
      </c>
      <c r="N24" s="476">
        <f>K24-'[8]Junijs'!K24</f>
        <v>6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</row>
    <row r="25" spans="1:104" s="54" customFormat="1" ht="12.75">
      <c r="A25" s="62" t="s">
        <v>77</v>
      </c>
      <c r="B25" s="71">
        <v>60000</v>
      </c>
      <c r="C25" s="71">
        <v>30000</v>
      </c>
      <c r="D25" s="71">
        <v>25067</v>
      </c>
      <c r="E25" s="472">
        <f t="shared" si="5"/>
        <v>0.41778333333333334</v>
      </c>
      <c r="F25" s="472">
        <f t="shared" si="2"/>
        <v>0.8355666666666667</v>
      </c>
      <c r="G25" s="465">
        <f>D25-'[8]Junijs'!D25</f>
        <v>6171</v>
      </c>
      <c r="H25" s="62" t="s">
        <v>77</v>
      </c>
      <c r="I25" s="71">
        <f>ROUND(B25/1000,0)</f>
        <v>60</v>
      </c>
      <c r="J25" s="71">
        <f>ROUND(C25/1000,0)</f>
        <v>30</v>
      </c>
      <c r="K25" s="71">
        <f>ROUND(D25/1000,0)</f>
        <v>25</v>
      </c>
      <c r="L25" s="478">
        <f t="shared" si="1"/>
        <v>0.4166666666666667</v>
      </c>
      <c r="M25" s="478">
        <f>IF(ISERROR(ROUND(K25,0)/ROUND(J25,0))," ",(ROUND(K25,)/ROUND(J25,)))</f>
        <v>0.8333333333333334</v>
      </c>
      <c r="N25" s="71">
        <f>K25-'[8]Junijs'!K25</f>
        <v>6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0" customFormat="1" ht="12.75">
      <c r="A26" s="73" t="s">
        <v>86</v>
      </c>
      <c r="B26" s="68">
        <f>B27+B30</f>
        <v>2477675</v>
      </c>
      <c r="C26" s="68">
        <f>C27+C30</f>
        <v>1437795</v>
      </c>
      <c r="D26" s="68">
        <f>D27+D30</f>
        <v>203202</v>
      </c>
      <c r="E26" s="474">
        <f t="shared" si="5"/>
        <v>0.0820131776766525</v>
      </c>
      <c r="F26" s="474">
        <f t="shared" si="2"/>
        <v>0.14132890989327407</v>
      </c>
      <c r="G26" s="465">
        <f>D26-'[8]Junijs'!D26</f>
        <v>23936</v>
      </c>
      <c r="H26" s="73" t="s">
        <v>86</v>
      </c>
      <c r="I26" s="68">
        <f>I27+I30</f>
        <v>2478</v>
      </c>
      <c r="J26" s="68">
        <f>J27+J30</f>
        <v>1438</v>
      </c>
      <c r="K26" s="68">
        <f>K27+K30</f>
        <v>203</v>
      </c>
      <c r="L26" s="473">
        <f t="shared" si="1"/>
        <v>0.08192090395480225</v>
      </c>
      <c r="M26" s="473">
        <f>IF(ISERROR(ROUND(K26,0)/ROUND(J26,0))," ",(ROUND(K26,)/ROUND(J26,)))</f>
        <v>0.1411682892906815</v>
      </c>
      <c r="N26" s="68">
        <f>K26-'[8]Junijs'!K26</f>
        <v>24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74" customFormat="1" ht="12.75">
      <c r="A27" s="475" t="s">
        <v>482</v>
      </c>
      <c r="B27" s="476">
        <f>SUM(B28:B29)</f>
        <v>2258675</v>
      </c>
      <c r="C27" s="476">
        <f>SUM(C28:C29)</f>
        <v>1415045</v>
      </c>
      <c r="D27" s="476">
        <f>SUM(D28:D29)</f>
        <v>202780</v>
      </c>
      <c r="E27" s="472">
        <f t="shared" si="5"/>
        <v>0.08977829922410263</v>
      </c>
      <c r="F27" s="472">
        <f t="shared" si="2"/>
        <v>0.14330286315982885</v>
      </c>
      <c r="G27" s="465">
        <f>D27-'[8]Junijs'!D27</f>
        <v>23936</v>
      </c>
      <c r="H27" s="475" t="s">
        <v>482</v>
      </c>
      <c r="I27" s="476">
        <f>SUM(I28:I29)</f>
        <v>2259</v>
      </c>
      <c r="J27" s="476">
        <f>SUM(J28:J29)</f>
        <v>1415</v>
      </c>
      <c r="K27" s="476">
        <f>SUM(K28:K29)</f>
        <v>203</v>
      </c>
      <c r="L27" s="477">
        <f t="shared" si="1"/>
        <v>0.08986277113767153</v>
      </c>
      <c r="M27" s="81">
        <f>IF(ISERROR(ROUND(K27,0)/ROUND(J27,0))," ",(ROUND(K27,)/ROUND(J27,)))</f>
        <v>0.14346289752650176</v>
      </c>
      <c r="N27" s="476">
        <f>K27-'[8]Junijs'!K27</f>
        <v>24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</row>
    <row r="28" spans="1:104" s="54" customFormat="1" ht="12.75">
      <c r="A28" s="62" t="s">
        <v>77</v>
      </c>
      <c r="B28" s="71">
        <v>1201775</v>
      </c>
      <c r="C28" s="71">
        <v>759305</v>
      </c>
      <c r="D28" s="71">
        <v>202780</v>
      </c>
      <c r="E28" s="472">
        <f t="shared" si="5"/>
        <v>0.16873374799775331</v>
      </c>
      <c r="F28" s="472">
        <f t="shared" si="2"/>
        <v>0.26706000882385866</v>
      </c>
      <c r="G28" s="465">
        <f>D28-'[8]Junijs'!D28</f>
        <v>23936</v>
      </c>
      <c r="H28" s="62" t="s">
        <v>77</v>
      </c>
      <c r="I28" s="71">
        <f aca="true" t="shared" si="6" ref="I28:K29">ROUND(B28/1000,0)</f>
        <v>1202</v>
      </c>
      <c r="J28" s="71">
        <f>ROUND(C28/1000,0)</f>
        <v>759</v>
      </c>
      <c r="K28" s="71">
        <f t="shared" si="6"/>
        <v>203</v>
      </c>
      <c r="L28" s="478">
        <f t="shared" si="1"/>
        <v>0.16888519134775373</v>
      </c>
      <c r="M28" s="64">
        <f>IF(ISERROR(ROUND(K28,0)/ROUND(J28,0))," ",(ROUND(K28,)/ROUND(J28,)))</f>
        <v>0.26745718050065875</v>
      </c>
      <c r="N28" s="71">
        <f>K28-'[8]Junijs'!K28</f>
        <v>24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54" customFormat="1" ht="12.75">
      <c r="A29" s="62" t="s">
        <v>78</v>
      </c>
      <c r="B29" s="71">
        <v>1056900</v>
      </c>
      <c r="C29" s="71">
        <v>655740</v>
      </c>
      <c r="D29" s="71"/>
      <c r="E29" s="472">
        <f t="shared" si="5"/>
        <v>0</v>
      </c>
      <c r="F29" s="472">
        <f t="shared" si="2"/>
        <v>0</v>
      </c>
      <c r="G29" s="465">
        <f>D29-'[8]Junijs'!D29</f>
        <v>0</v>
      </c>
      <c r="H29" s="62" t="s">
        <v>78</v>
      </c>
      <c r="I29" s="71">
        <f t="shared" si="6"/>
        <v>1057</v>
      </c>
      <c r="J29" s="71">
        <f t="shared" si="6"/>
        <v>656</v>
      </c>
      <c r="K29" s="71">
        <f t="shared" si="6"/>
        <v>0</v>
      </c>
      <c r="L29" s="478">
        <f t="shared" si="1"/>
        <v>0</v>
      </c>
      <c r="M29" s="64"/>
      <c r="N29" s="71">
        <f>K29-'[8]Junijs'!K29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74" customFormat="1" ht="12.75">
      <c r="A30" s="475" t="s">
        <v>483</v>
      </c>
      <c r="B30" s="476">
        <f>SUM(B31:B32)</f>
        <v>219000</v>
      </c>
      <c r="C30" s="476">
        <f>SUM(C31:C32)</f>
        <v>22750</v>
      </c>
      <c r="D30" s="476">
        <f>SUM(D31:D32)</f>
        <v>422</v>
      </c>
      <c r="E30" s="472">
        <f t="shared" si="5"/>
        <v>0.0019269406392694063</v>
      </c>
      <c r="F30" s="472">
        <f t="shared" si="2"/>
        <v>0.01854945054945055</v>
      </c>
      <c r="G30" s="465">
        <f>D30-'[8]Junijs'!D30</f>
        <v>0</v>
      </c>
      <c r="H30" s="475" t="s">
        <v>483</v>
      </c>
      <c r="I30" s="476">
        <f>SUM(I31:I32)</f>
        <v>219</v>
      </c>
      <c r="J30" s="476">
        <f>SUM(J31:J32)</f>
        <v>23</v>
      </c>
      <c r="K30" s="476">
        <f>SUM(K31:K32)</f>
        <v>0</v>
      </c>
      <c r="L30" s="477">
        <f t="shared" si="1"/>
        <v>0</v>
      </c>
      <c r="M30" s="64"/>
      <c r="N30" s="476">
        <f>K30-'[8]Junijs'!K30</f>
        <v>0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</row>
    <row r="31" spans="1:104" s="54" customFormat="1" ht="12.75">
      <c r="A31" s="62" t="s">
        <v>77</v>
      </c>
      <c r="B31" s="71">
        <v>39000</v>
      </c>
      <c r="C31" s="71">
        <v>22750</v>
      </c>
      <c r="D31" s="71">
        <v>422</v>
      </c>
      <c r="E31" s="472">
        <f t="shared" si="5"/>
        <v>0.01082051282051282</v>
      </c>
      <c r="F31" s="472">
        <f t="shared" si="2"/>
        <v>0.01854945054945055</v>
      </c>
      <c r="G31" s="465">
        <f>D31-'[8]Junijs'!D31</f>
        <v>0</v>
      </c>
      <c r="H31" s="62" t="s">
        <v>77</v>
      </c>
      <c r="I31" s="71">
        <f aca="true" t="shared" si="7" ref="I31:K32">ROUND(B31/1000,0)</f>
        <v>39</v>
      </c>
      <c r="J31" s="71">
        <f>ROUND(C31/1000,0)</f>
        <v>23</v>
      </c>
      <c r="K31" s="71">
        <f t="shared" si="7"/>
        <v>0</v>
      </c>
      <c r="L31" s="478">
        <f t="shared" si="1"/>
        <v>0</v>
      </c>
      <c r="M31" s="64"/>
      <c r="N31" s="71">
        <f>K31-'[8]Junijs'!K31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54" customFormat="1" ht="12.75">
      <c r="A32" s="62" t="s">
        <v>78</v>
      </c>
      <c r="B32" s="71">
        <v>180000</v>
      </c>
      <c r="C32" s="71"/>
      <c r="D32" s="71"/>
      <c r="E32" s="472">
        <f t="shared" si="5"/>
        <v>0</v>
      </c>
      <c r="F32" s="472" t="str">
        <f t="shared" si="2"/>
        <v> </v>
      </c>
      <c r="G32" s="465">
        <f>D32-'[8]Junijs'!D32</f>
        <v>0</v>
      </c>
      <c r="H32" s="62" t="s">
        <v>78</v>
      </c>
      <c r="I32" s="71">
        <f t="shared" si="7"/>
        <v>180</v>
      </c>
      <c r="J32" s="71">
        <f t="shared" si="7"/>
        <v>0</v>
      </c>
      <c r="K32" s="71">
        <f t="shared" si="7"/>
        <v>0</v>
      </c>
      <c r="L32" s="478">
        <f t="shared" si="1"/>
        <v>0</v>
      </c>
      <c r="M32" s="64" t="str">
        <f>IF(ISERROR(ROUND(K32,0)/ROUND(J32,0))," ",(ROUND(K32,)/ROUND(J32,)))</f>
        <v> </v>
      </c>
      <c r="N32" s="71">
        <f>K32-'[8]Junijs'!K32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0" customFormat="1" ht="12.75">
      <c r="A33" s="73" t="s">
        <v>87</v>
      </c>
      <c r="B33" s="68">
        <f>B34+B37</f>
        <v>2944018</v>
      </c>
      <c r="C33" s="68">
        <f>C34+C37</f>
        <v>645999</v>
      </c>
      <c r="D33" s="68">
        <f>D34+D37</f>
        <v>204319</v>
      </c>
      <c r="E33" s="474">
        <f t="shared" si="5"/>
        <v>0.0694014099098579</v>
      </c>
      <c r="F33" s="474">
        <f t="shared" si="2"/>
        <v>0.31628377133710733</v>
      </c>
      <c r="G33" s="465">
        <f>D33-'[8]Junijs'!D33</f>
        <v>1709</v>
      </c>
      <c r="H33" s="73" t="s">
        <v>87</v>
      </c>
      <c r="I33" s="68">
        <f>I34+I37</f>
        <v>2944</v>
      </c>
      <c r="J33" s="68">
        <f>J34+J37</f>
        <v>646</v>
      </c>
      <c r="K33" s="68">
        <f>K34+K37</f>
        <v>204</v>
      </c>
      <c r="L33" s="473">
        <f>IF(ISERROR(ROUND(K33,0)/ROUND(I33,0))," ",(ROUND(K33,)/ROUND(I33,)))</f>
        <v>0.06929347826086957</v>
      </c>
      <c r="M33" s="473">
        <f>IF(ISERROR(ROUND(K33,0)/ROUND(J33,0))," ",(ROUND(K33,)/ROUND(J33,)))</f>
        <v>0.3157894736842105</v>
      </c>
      <c r="N33" s="68">
        <f>K33-'[8]Junijs'!K33</f>
        <v>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74" customFormat="1" ht="12.75">
      <c r="A34" s="475" t="s">
        <v>482</v>
      </c>
      <c r="B34" s="476">
        <f>SUM(B35:B36)</f>
        <v>2421983</v>
      </c>
      <c r="C34" s="476">
        <f>SUM(C35:C36)</f>
        <v>615982</v>
      </c>
      <c r="D34" s="476">
        <f>SUM(D35:D36)</f>
        <v>181051</v>
      </c>
      <c r="E34" s="472">
        <f t="shared" si="5"/>
        <v>0.0747532084246669</v>
      </c>
      <c r="F34" s="472">
        <f t="shared" si="2"/>
        <v>0.2939225496848934</v>
      </c>
      <c r="G34" s="465">
        <f>D34-'[8]Junijs'!D34</f>
        <v>0</v>
      </c>
      <c r="H34" s="475" t="s">
        <v>482</v>
      </c>
      <c r="I34" s="476">
        <f>SUM(I35:I36)</f>
        <v>2422</v>
      </c>
      <c r="J34" s="476">
        <f>SUM(J35:J36)</f>
        <v>616</v>
      </c>
      <c r="K34" s="476">
        <f>SUM(K35:K36)</f>
        <v>181</v>
      </c>
      <c r="L34" s="477">
        <f>IF(ISERROR(ROUND(K34,0)/ROUND(I34,0))," ",(ROUND(K34,)/ROUND(I34,)))</f>
        <v>0.07473162675474815</v>
      </c>
      <c r="M34" s="477">
        <f>IF(ISERROR(ROUND(K34,0)/ROUND(J34,0))," ",(ROUND(K34,)/ROUND(J34,)))</f>
        <v>0.29383116883116883</v>
      </c>
      <c r="N34" s="476">
        <f>K34-'[8]Junijs'!K34</f>
        <v>0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</row>
    <row r="35" spans="1:104" s="54" customFormat="1" ht="12.75">
      <c r="A35" s="62" t="s">
        <v>77</v>
      </c>
      <c r="B35" s="71">
        <v>513003</v>
      </c>
      <c r="C35" s="71">
        <v>365782</v>
      </c>
      <c r="D35" s="71">
        <v>181051</v>
      </c>
      <c r="E35" s="472">
        <f t="shared" si="5"/>
        <v>0.35292386204369175</v>
      </c>
      <c r="F35" s="472">
        <f t="shared" si="2"/>
        <v>0.4949696813949292</v>
      </c>
      <c r="G35" s="465">
        <f>D35-'[8]Junijs'!D35</f>
        <v>0</v>
      </c>
      <c r="H35" s="62" t="s">
        <v>77</v>
      </c>
      <c r="I35" s="71">
        <f aca="true" t="shared" si="8" ref="I35:K36">ROUND(B35/1000,0)</f>
        <v>513</v>
      </c>
      <c r="J35" s="71">
        <f t="shared" si="8"/>
        <v>366</v>
      </c>
      <c r="K35" s="71">
        <f t="shared" si="8"/>
        <v>181</v>
      </c>
      <c r="L35" s="478">
        <f>IF(ISERROR(ROUND(K35,0)/ROUND(I35,0))," ",(ROUND(K35,)/ROUND(I35,)))</f>
        <v>0.35282651072124754</v>
      </c>
      <c r="M35" s="478">
        <f>IF(ISERROR(ROUND(K35,0)/ROUND(J35,0))," ",(ROUND(K35,)/ROUND(J35,)))</f>
        <v>0.49453551912568305</v>
      </c>
      <c r="N35" s="71">
        <f>K35-'[8]Junijs'!K35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54" customFormat="1" ht="12.75">
      <c r="A36" s="62" t="s">
        <v>78</v>
      </c>
      <c r="B36" s="71">
        <v>1908980</v>
      </c>
      <c r="C36" s="71">
        <v>250200</v>
      </c>
      <c r="D36" s="71"/>
      <c r="E36" s="472">
        <f t="shared" si="5"/>
        <v>0</v>
      </c>
      <c r="F36" s="472">
        <f t="shared" si="2"/>
        <v>0</v>
      </c>
      <c r="G36" s="465">
        <f>D36-'[8]Junijs'!D36</f>
        <v>0</v>
      </c>
      <c r="H36" s="62" t="s">
        <v>78</v>
      </c>
      <c r="I36" s="71">
        <f t="shared" si="8"/>
        <v>1909</v>
      </c>
      <c r="J36" s="71">
        <f t="shared" si="8"/>
        <v>250</v>
      </c>
      <c r="K36" s="71">
        <f t="shared" si="8"/>
        <v>0</v>
      </c>
      <c r="L36" s="478">
        <f>IF(ISERROR(ROUND(K36,0)/ROUND(I36,0))," ",(ROUND(K36,)/ROUND(I36,)))</f>
        <v>0</v>
      </c>
      <c r="M36" s="478"/>
      <c r="N36" s="71">
        <f>K36-'[8]Junijs'!K36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74" customFormat="1" ht="12.75">
      <c r="A37" s="475" t="s">
        <v>483</v>
      </c>
      <c r="B37" s="476">
        <f>SUM(B38:B39)</f>
        <v>522035</v>
      </c>
      <c r="C37" s="476">
        <f>SUM(C38:C39)</f>
        <v>30017</v>
      </c>
      <c r="D37" s="476">
        <f>SUM(D38:D39)</f>
        <v>23268</v>
      </c>
      <c r="E37" s="472">
        <f t="shared" si="5"/>
        <v>0.044571724118114685</v>
      </c>
      <c r="F37" s="472">
        <f t="shared" si="2"/>
        <v>0.7751607422460606</v>
      </c>
      <c r="G37" s="465">
        <f>D37-'[8]Junijs'!D37</f>
        <v>1709</v>
      </c>
      <c r="H37" s="475" t="s">
        <v>483</v>
      </c>
      <c r="I37" s="476">
        <f>SUM(I38:I39)</f>
        <v>522</v>
      </c>
      <c r="J37" s="476">
        <f>SUM(J38:J39)</f>
        <v>30</v>
      </c>
      <c r="K37" s="476">
        <f>SUM(K38:K39)</f>
        <v>23</v>
      </c>
      <c r="L37" s="477">
        <f>IF(ISERROR(ROUND(K37,0)/ROUND(I37,0))," ",(ROUND(K37,)/ROUND(I37,)))</f>
        <v>0.044061302681992334</v>
      </c>
      <c r="M37" s="81">
        <f>IF(ISERROR(ROUND(K37,0)/ROUND(J37,0))," ",(ROUND(K37,)/ROUND(J37,)))</f>
        <v>0.7666666666666667</v>
      </c>
      <c r="N37" s="476">
        <f>K37-'[8]Junijs'!K37</f>
        <v>1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</row>
    <row r="38" spans="1:104" s="54" customFormat="1" ht="12.75">
      <c r="A38" s="62" t="s">
        <v>77</v>
      </c>
      <c r="B38" s="71">
        <v>44790</v>
      </c>
      <c r="C38" s="71">
        <v>30017</v>
      </c>
      <c r="D38" s="71">
        <v>23268</v>
      </c>
      <c r="E38" s="472">
        <f t="shared" si="5"/>
        <v>0.5194909578030811</v>
      </c>
      <c r="F38" s="472">
        <f t="shared" si="2"/>
        <v>0.7751607422460606</v>
      </c>
      <c r="G38" s="465">
        <f>D38-'[8]Junijs'!D38</f>
        <v>1709</v>
      </c>
      <c r="H38" s="62" t="s">
        <v>77</v>
      </c>
      <c r="I38" s="71">
        <f aca="true" t="shared" si="9" ref="I38:K39">ROUND(B38/1000,0)</f>
        <v>45</v>
      </c>
      <c r="J38" s="71">
        <f t="shared" si="9"/>
        <v>30</v>
      </c>
      <c r="K38" s="71">
        <f t="shared" si="9"/>
        <v>23</v>
      </c>
      <c r="L38" s="478">
        <f aca="true" t="shared" si="10" ref="L38:L95">IF(ISERROR(ROUND(K38,0)/ROUND(I38,0))," ",(ROUND(K38,)/ROUND(I38,)))</f>
        <v>0.5111111111111111</v>
      </c>
      <c r="M38" s="64">
        <f>IF(ISERROR(ROUND(K38,0)/ROUND(J38,0))," ",(ROUND(K38,)/ROUND(J38,)))</f>
        <v>0.7666666666666667</v>
      </c>
      <c r="N38" s="71">
        <f>K38-'[8]Junijs'!K38</f>
        <v>1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54" customFormat="1" ht="12.75">
      <c r="A39" s="62" t="s">
        <v>78</v>
      </c>
      <c r="B39" s="71">
        <v>477245</v>
      </c>
      <c r="C39" s="71"/>
      <c r="D39" s="71"/>
      <c r="E39" s="472">
        <f t="shared" si="5"/>
        <v>0</v>
      </c>
      <c r="F39" s="472" t="str">
        <f t="shared" si="2"/>
        <v> </v>
      </c>
      <c r="G39" s="465">
        <f>D39-'[8]Junijs'!D39</f>
        <v>0</v>
      </c>
      <c r="H39" s="62" t="s">
        <v>78</v>
      </c>
      <c r="I39" s="71">
        <f t="shared" si="9"/>
        <v>477</v>
      </c>
      <c r="J39" s="71">
        <f t="shared" si="9"/>
        <v>0</v>
      </c>
      <c r="K39" s="71">
        <f t="shared" si="9"/>
        <v>0</v>
      </c>
      <c r="L39" s="478">
        <f t="shared" si="10"/>
        <v>0</v>
      </c>
      <c r="M39" s="64" t="str">
        <f aca="true" t="shared" si="11" ref="M39:M47">IF(ISERROR(ROUND(K39,0)/ROUND(J39,0))," ",(ROUND(K39,)/ROUND(J39,)))</f>
        <v> </v>
      </c>
      <c r="N39" s="71">
        <f>K39-'[8]Junijs'!K39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60" customFormat="1" ht="12.75" customHeight="1">
      <c r="A40" s="67" t="s">
        <v>88</v>
      </c>
      <c r="B40" s="68">
        <f>B41+B43</f>
        <v>1822420</v>
      </c>
      <c r="C40" s="68">
        <f>C41+C43</f>
        <v>1613052</v>
      </c>
      <c r="D40" s="68">
        <f>D41+D43</f>
        <v>670827</v>
      </c>
      <c r="E40" s="474">
        <f t="shared" si="5"/>
        <v>0.3680968163211554</v>
      </c>
      <c r="F40" s="474">
        <f t="shared" si="2"/>
        <v>0.41587437974721214</v>
      </c>
      <c r="G40" s="465">
        <f>D40-'[8]Junijs'!D40</f>
        <v>124342</v>
      </c>
      <c r="H40" s="67" t="s">
        <v>88</v>
      </c>
      <c r="I40" s="68">
        <f>I41+I43</f>
        <v>1822</v>
      </c>
      <c r="J40" s="68">
        <f>J41+J43</f>
        <v>1613</v>
      </c>
      <c r="K40" s="68">
        <f>K41+K43</f>
        <v>671</v>
      </c>
      <c r="L40" s="473">
        <f t="shared" si="10"/>
        <v>0.36827661909989023</v>
      </c>
      <c r="M40" s="473">
        <f t="shared" si="11"/>
        <v>0.41599504029758216</v>
      </c>
      <c r="N40" s="68">
        <f>K40-'[8]Junijs'!K40</f>
        <v>125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74" customFormat="1" ht="12.75" customHeight="1">
      <c r="A41" s="475" t="s">
        <v>482</v>
      </c>
      <c r="B41" s="476">
        <f>SUM(B42:B42)</f>
        <v>1327420</v>
      </c>
      <c r="C41" s="476">
        <f>SUM(C42:C42)</f>
        <v>1154020</v>
      </c>
      <c r="D41" s="476">
        <f>SUM(D42:D42)</f>
        <v>258681</v>
      </c>
      <c r="E41" s="472">
        <f t="shared" si="5"/>
        <v>0.19487502071687937</v>
      </c>
      <c r="F41" s="472">
        <f t="shared" si="2"/>
        <v>0.22415642709831718</v>
      </c>
      <c r="G41" s="465">
        <f>D41-'[8]Junijs'!D41</f>
        <v>117525</v>
      </c>
      <c r="H41" s="475" t="s">
        <v>482</v>
      </c>
      <c r="I41" s="476">
        <f>I42</f>
        <v>1327</v>
      </c>
      <c r="J41" s="476">
        <f>J42</f>
        <v>1154</v>
      </c>
      <c r="K41" s="476">
        <f>K42</f>
        <v>259</v>
      </c>
      <c r="L41" s="477">
        <f t="shared" si="10"/>
        <v>0.19517709118311982</v>
      </c>
      <c r="M41" s="477">
        <f t="shared" si="11"/>
        <v>0.2244367417677643</v>
      </c>
      <c r="N41" s="476">
        <f>K41-'[8]Junijs'!K41</f>
        <v>118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</row>
    <row r="42" spans="1:104" s="54" customFormat="1" ht="12.75">
      <c r="A42" s="62" t="s">
        <v>77</v>
      </c>
      <c r="B42" s="71">
        <v>1327420</v>
      </c>
      <c r="C42" s="71">
        <v>1154020</v>
      </c>
      <c r="D42" s="71">
        <v>258681</v>
      </c>
      <c r="E42" s="472">
        <f t="shared" si="5"/>
        <v>0.19487502071687937</v>
      </c>
      <c r="F42" s="472">
        <f t="shared" si="2"/>
        <v>0.22415642709831718</v>
      </c>
      <c r="G42" s="465">
        <f>D42-'[8]Junijs'!D42</f>
        <v>117525</v>
      </c>
      <c r="H42" s="62" t="s">
        <v>77</v>
      </c>
      <c r="I42" s="71">
        <f>ROUND(B42/1000,0)</f>
        <v>1327</v>
      </c>
      <c r="J42" s="71">
        <f>ROUND(C42/1000,0)</f>
        <v>1154</v>
      </c>
      <c r="K42" s="71">
        <f>ROUND(D42/1000,0)</f>
        <v>259</v>
      </c>
      <c r="L42" s="478">
        <f t="shared" si="10"/>
        <v>0.19517709118311982</v>
      </c>
      <c r="M42" s="478">
        <f t="shared" si="11"/>
        <v>0.2244367417677643</v>
      </c>
      <c r="N42" s="71">
        <f>K42-'[8]Junijs'!K42</f>
        <v>118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214" customFormat="1" ht="12.75">
      <c r="A43" s="475" t="s">
        <v>483</v>
      </c>
      <c r="B43" s="476">
        <f>B44</f>
        <v>495000</v>
      </c>
      <c r="C43" s="476">
        <f>C44</f>
        <v>459032</v>
      </c>
      <c r="D43" s="476">
        <f>D44</f>
        <v>412146</v>
      </c>
      <c r="E43" s="472">
        <f t="shared" si="5"/>
        <v>0.8326181818181818</v>
      </c>
      <c r="F43" s="472">
        <f t="shared" si="2"/>
        <v>0.897858972794925</v>
      </c>
      <c r="G43" s="465">
        <f>D43-'[8]Junijs'!D43</f>
        <v>6817</v>
      </c>
      <c r="H43" s="475" t="s">
        <v>483</v>
      </c>
      <c r="I43" s="476">
        <f>I44</f>
        <v>495</v>
      </c>
      <c r="J43" s="476">
        <f>J44</f>
        <v>459</v>
      </c>
      <c r="K43" s="476">
        <f>K44</f>
        <v>412</v>
      </c>
      <c r="L43" s="477">
        <f t="shared" si="10"/>
        <v>0.8323232323232324</v>
      </c>
      <c r="M43" s="477">
        <f t="shared" si="11"/>
        <v>0.8976034858387799</v>
      </c>
      <c r="N43" s="476">
        <f>K43-'[8]Junijs'!K43</f>
        <v>7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</row>
    <row r="44" spans="1:104" s="48" customFormat="1" ht="12.75">
      <c r="A44" s="62" t="s">
        <v>77</v>
      </c>
      <c r="B44" s="71">
        <v>495000</v>
      </c>
      <c r="C44" s="71">
        <v>459032</v>
      </c>
      <c r="D44" s="71">
        <v>412146</v>
      </c>
      <c r="E44" s="472">
        <f t="shared" si="5"/>
        <v>0.8326181818181818</v>
      </c>
      <c r="F44" s="472">
        <f t="shared" si="2"/>
        <v>0.897858972794925</v>
      </c>
      <c r="G44" s="465">
        <f>D44-'[8]Junijs'!D44</f>
        <v>6817</v>
      </c>
      <c r="H44" s="62" t="s">
        <v>77</v>
      </c>
      <c r="I44" s="71">
        <f>ROUND(B44/1000,0)</f>
        <v>495</v>
      </c>
      <c r="J44" s="71">
        <f>ROUND(C44/1000,0)</f>
        <v>459</v>
      </c>
      <c r="K44" s="71">
        <f>ROUND(D44/1000,0)</f>
        <v>412</v>
      </c>
      <c r="L44" s="478">
        <f t="shared" si="10"/>
        <v>0.8323232323232324</v>
      </c>
      <c r="M44" s="478">
        <f t="shared" si="11"/>
        <v>0.8976034858387799</v>
      </c>
      <c r="N44" s="71">
        <f>K44-'[8]Junijs'!K44</f>
        <v>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4" s="2" customFormat="1" ht="12.75">
      <c r="A45" s="73" t="s">
        <v>89</v>
      </c>
      <c r="B45" s="479">
        <f>B46+B49</f>
        <v>20232297</v>
      </c>
      <c r="C45" s="479">
        <f>C46+C49</f>
        <v>8641037</v>
      </c>
      <c r="D45" s="479">
        <f>D46+D49</f>
        <v>314230</v>
      </c>
      <c r="E45" s="474">
        <f t="shared" si="5"/>
        <v>0.015531108504387811</v>
      </c>
      <c r="F45" s="474">
        <f t="shared" si="2"/>
        <v>0.03636484833938334</v>
      </c>
      <c r="G45" s="465">
        <f>D45-'[8]Junijs'!D45</f>
        <v>29873</v>
      </c>
      <c r="H45" s="73" t="s">
        <v>89</v>
      </c>
      <c r="I45" s="68">
        <f>I46+I49</f>
        <v>20231</v>
      </c>
      <c r="J45" s="68">
        <f>J46+J49</f>
        <v>8640</v>
      </c>
      <c r="K45" s="68">
        <f>K46+K49</f>
        <v>314</v>
      </c>
      <c r="L45" s="473">
        <f t="shared" si="10"/>
        <v>0.015520735504918195</v>
      </c>
      <c r="M45" s="473">
        <f t="shared" si="11"/>
        <v>0.03634259259259259</v>
      </c>
      <c r="N45" s="68">
        <f>K45-'[8]Junijs'!K45</f>
        <v>30</v>
      </c>
    </row>
    <row r="46" spans="1:14" s="103" customFormat="1" ht="12.75">
      <c r="A46" s="475" t="s">
        <v>482</v>
      </c>
      <c r="B46" s="476">
        <f>SUM(B47:B48)</f>
        <v>15652677</v>
      </c>
      <c r="C46" s="476">
        <f>SUM(C47:C48)</f>
        <v>8479537</v>
      </c>
      <c r="D46" s="476">
        <f>SUM(D47:D48)</f>
        <v>204646</v>
      </c>
      <c r="E46" s="472">
        <f t="shared" si="5"/>
        <v>0.013074185329448759</v>
      </c>
      <c r="F46" s="472">
        <f t="shared" si="2"/>
        <v>0.024134100717999107</v>
      </c>
      <c r="G46" s="465">
        <f>D46-'[8]Junijs'!D46</f>
        <v>28433</v>
      </c>
      <c r="H46" s="475" t="s">
        <v>482</v>
      </c>
      <c r="I46" s="476">
        <f>SUM(I47:I48)</f>
        <v>15652</v>
      </c>
      <c r="J46" s="476">
        <f>SUM(J47:J48)</f>
        <v>8479</v>
      </c>
      <c r="K46" s="476">
        <f>SUM(K47:K48)</f>
        <v>205</v>
      </c>
      <c r="L46" s="477">
        <f t="shared" si="10"/>
        <v>0.01309736774853054</v>
      </c>
      <c r="M46" s="477">
        <f t="shared" si="11"/>
        <v>0.024177379407949052</v>
      </c>
      <c r="N46" s="476">
        <f>K46-'[8]Junijs'!K46</f>
        <v>29</v>
      </c>
    </row>
    <row r="47" spans="1:14" ht="12.75">
      <c r="A47" s="62" t="s">
        <v>77</v>
      </c>
      <c r="B47" s="71">
        <v>14120267</v>
      </c>
      <c r="C47" s="71">
        <v>7347387</v>
      </c>
      <c r="D47" s="71">
        <v>204646</v>
      </c>
      <c r="E47" s="472">
        <f t="shared" si="5"/>
        <v>0.014493068721717513</v>
      </c>
      <c r="F47" s="472">
        <f t="shared" si="2"/>
        <v>0.027852895185730656</v>
      </c>
      <c r="G47" s="465">
        <f>D47-'[8]Junijs'!D47</f>
        <v>28433</v>
      </c>
      <c r="H47" s="62" t="s">
        <v>77</v>
      </c>
      <c r="I47" s="71">
        <f aca="true" t="shared" si="12" ref="I47:K48">ROUND(B47/1000,0)</f>
        <v>14120</v>
      </c>
      <c r="J47" s="71">
        <f t="shared" si="12"/>
        <v>7347</v>
      </c>
      <c r="K47" s="71">
        <f>ROUND(D47/1000,0)</f>
        <v>205</v>
      </c>
      <c r="L47" s="478">
        <f t="shared" si="10"/>
        <v>0.01451841359773371</v>
      </c>
      <c r="M47" s="478">
        <f t="shared" si="11"/>
        <v>0.027902545256567306</v>
      </c>
      <c r="N47" s="71">
        <f>K47-'[8]Junijs'!K47</f>
        <v>29</v>
      </c>
    </row>
    <row r="48" spans="1:14" ht="12.75">
      <c r="A48" s="62" t="s">
        <v>78</v>
      </c>
      <c r="B48" s="71">
        <v>1532410</v>
      </c>
      <c r="C48" s="71">
        <v>1132150</v>
      </c>
      <c r="D48" s="71"/>
      <c r="E48" s="472">
        <f t="shared" si="5"/>
        <v>0</v>
      </c>
      <c r="F48" s="472">
        <f t="shared" si="2"/>
        <v>0</v>
      </c>
      <c r="G48" s="465">
        <f>D48-'[8]Junijs'!D48</f>
        <v>0</v>
      </c>
      <c r="H48" s="62" t="s">
        <v>78</v>
      </c>
      <c r="I48" s="71">
        <f t="shared" si="12"/>
        <v>1532</v>
      </c>
      <c r="J48" s="71">
        <f t="shared" si="12"/>
        <v>1132</v>
      </c>
      <c r="K48" s="71">
        <f t="shared" si="12"/>
        <v>0</v>
      </c>
      <c r="L48" s="478">
        <f t="shared" si="10"/>
        <v>0</v>
      </c>
      <c r="M48" s="64"/>
      <c r="N48" s="71">
        <f>K48-'[8]Junijs'!K48</f>
        <v>0</v>
      </c>
    </row>
    <row r="49" spans="1:14" s="103" customFormat="1" ht="12.75">
      <c r="A49" s="475" t="s">
        <v>483</v>
      </c>
      <c r="B49" s="476">
        <f>SUM(B50:B51)</f>
        <v>4579620</v>
      </c>
      <c r="C49" s="476">
        <f>SUM(C50:C51)</f>
        <v>161500</v>
      </c>
      <c r="D49" s="476">
        <f>SUM(D50:D51)</f>
        <v>109584</v>
      </c>
      <c r="E49" s="472">
        <f t="shared" si="5"/>
        <v>0.023928622898843135</v>
      </c>
      <c r="F49" s="472">
        <f t="shared" si="2"/>
        <v>0.6785386996904025</v>
      </c>
      <c r="G49" s="465">
        <f>D49-'[8]Junijs'!D49</f>
        <v>1440</v>
      </c>
      <c r="H49" s="475" t="s">
        <v>483</v>
      </c>
      <c r="I49" s="476">
        <f>SUM(I50:I51)</f>
        <v>4579</v>
      </c>
      <c r="J49" s="476">
        <f>SUM(J50:J51)</f>
        <v>161</v>
      </c>
      <c r="K49" s="476">
        <f>SUM(K50:K51)</f>
        <v>109</v>
      </c>
      <c r="L49" s="477">
        <f t="shared" si="10"/>
        <v>0.02380432408822887</v>
      </c>
      <c r="M49" s="81">
        <f aca="true" t="shared" si="13" ref="M49:M63">IF(ISERROR(ROUND(K49,0)/ROUND(J49,0))," ",(ROUND(K49,)/ROUND(J49,)))</f>
        <v>0.6770186335403726</v>
      </c>
      <c r="N49" s="476">
        <f>K49-'[8]Junijs'!K49</f>
        <v>1</v>
      </c>
    </row>
    <row r="50" spans="1:14" ht="12.75">
      <c r="A50" s="62" t="s">
        <v>77</v>
      </c>
      <c r="B50" s="71">
        <v>4475620</v>
      </c>
      <c r="C50" s="71">
        <v>57500</v>
      </c>
      <c r="D50" s="71">
        <v>19578</v>
      </c>
      <c r="E50" s="472">
        <f t="shared" si="5"/>
        <v>0.004374366009625482</v>
      </c>
      <c r="F50" s="472">
        <f t="shared" si="2"/>
        <v>0.3404869565217391</v>
      </c>
      <c r="G50" s="465">
        <f>D50-'[8]Junijs'!D50</f>
        <v>440</v>
      </c>
      <c r="H50" s="62" t="s">
        <v>77</v>
      </c>
      <c r="I50" s="71">
        <f>ROUND(B50/1000,0)-1</f>
        <v>4475</v>
      </c>
      <c r="J50" s="71">
        <f>ROUND(C50/1000,0)-1</f>
        <v>57</v>
      </c>
      <c r="K50" s="71">
        <f>ROUND(D50/1000,0)-1</f>
        <v>19</v>
      </c>
      <c r="L50" s="478">
        <f t="shared" si="10"/>
        <v>0.004245810055865922</v>
      </c>
      <c r="M50" s="64">
        <f t="shared" si="13"/>
        <v>0.3333333333333333</v>
      </c>
      <c r="N50" s="71">
        <f>K50-'[8]Junijs'!K50</f>
        <v>0</v>
      </c>
    </row>
    <row r="51" spans="1:14" ht="12.75">
      <c r="A51" s="62" t="s">
        <v>78</v>
      </c>
      <c r="B51" s="71">
        <v>104000</v>
      </c>
      <c r="C51" s="71">
        <v>104000</v>
      </c>
      <c r="D51" s="71">
        <v>90006</v>
      </c>
      <c r="E51" s="472">
        <f t="shared" si="5"/>
        <v>0.8654423076923077</v>
      </c>
      <c r="F51" s="472">
        <f t="shared" si="2"/>
        <v>0.8654423076923077</v>
      </c>
      <c r="G51" s="465">
        <f>D51-'[8]Junijs'!D51</f>
        <v>1000</v>
      </c>
      <c r="H51" s="62" t="s">
        <v>78</v>
      </c>
      <c r="I51" s="71">
        <f>ROUND(B51/1000,0)</f>
        <v>104</v>
      </c>
      <c r="J51" s="71">
        <f>ROUND(C51/1000,0)</f>
        <v>104</v>
      </c>
      <c r="K51" s="71">
        <f>ROUND(D51/1000,0)</f>
        <v>90</v>
      </c>
      <c r="L51" s="478">
        <f t="shared" si="10"/>
        <v>0.8653846153846154</v>
      </c>
      <c r="M51" s="64">
        <f t="shared" si="13"/>
        <v>0.8653846153846154</v>
      </c>
      <c r="N51" s="71">
        <f>K51-'[8]Junijs'!K51</f>
        <v>1</v>
      </c>
    </row>
    <row r="52" spans="1:14" s="2" customFormat="1" ht="12.75" customHeight="1">
      <c r="A52" s="73" t="s">
        <v>90</v>
      </c>
      <c r="B52" s="479">
        <f>B53+B55</f>
        <v>1222000</v>
      </c>
      <c r="C52" s="479">
        <f>C53+C55</f>
        <v>439000</v>
      </c>
      <c r="D52" s="479">
        <f>D53+D55</f>
        <v>786088</v>
      </c>
      <c r="E52" s="474">
        <f t="shared" si="5"/>
        <v>0.6432798690671031</v>
      </c>
      <c r="F52" s="474">
        <f t="shared" si="2"/>
        <v>1.7906332574031891</v>
      </c>
      <c r="G52" s="465">
        <f>D52-'[8]Junijs'!D52</f>
        <v>109121</v>
      </c>
      <c r="H52" s="73" t="s">
        <v>90</v>
      </c>
      <c r="I52" s="68">
        <f>I53+I55</f>
        <v>1222</v>
      </c>
      <c r="J52" s="68">
        <f>J53+J55</f>
        <v>439</v>
      </c>
      <c r="K52" s="68">
        <f>K53+K55</f>
        <v>786</v>
      </c>
      <c r="L52" s="473">
        <f t="shared" si="10"/>
        <v>0.6432078559738135</v>
      </c>
      <c r="M52" s="59">
        <f t="shared" si="13"/>
        <v>1.7904328018223234</v>
      </c>
      <c r="N52" s="68">
        <f>K52-'[8]Junijs'!K52</f>
        <v>109</v>
      </c>
    </row>
    <row r="53" spans="1:14" s="103" customFormat="1" ht="12.75" customHeight="1">
      <c r="A53" s="475" t="s">
        <v>482</v>
      </c>
      <c r="B53" s="476">
        <f>SUM(B54:B54)</f>
        <v>222000</v>
      </c>
      <c r="C53" s="476">
        <f>SUM(C54:C54)</f>
        <v>0</v>
      </c>
      <c r="D53" s="476">
        <f>SUM(D54:D54)</f>
        <v>421593</v>
      </c>
      <c r="E53" s="472">
        <f t="shared" si="5"/>
        <v>1.8990675675675677</v>
      </c>
      <c r="F53" s="472" t="str">
        <f t="shared" si="2"/>
        <v> </v>
      </c>
      <c r="G53" s="465">
        <f>D53-'[8]Junijs'!D53</f>
        <v>0</v>
      </c>
      <c r="H53" s="475" t="s">
        <v>482</v>
      </c>
      <c r="I53" s="476">
        <f>I54</f>
        <v>222</v>
      </c>
      <c r="J53" s="476">
        <f>J54</f>
        <v>0</v>
      </c>
      <c r="K53" s="476">
        <f>K54</f>
        <v>422</v>
      </c>
      <c r="L53" s="477">
        <f t="shared" si="10"/>
        <v>1.9009009009009008</v>
      </c>
      <c r="M53" s="59" t="str">
        <f t="shared" si="13"/>
        <v> </v>
      </c>
      <c r="N53" s="476">
        <f>K53-'[8]Junijs'!K53</f>
        <v>0</v>
      </c>
    </row>
    <row r="54" spans="1:14" ht="12.75">
      <c r="A54" s="62" t="s">
        <v>78</v>
      </c>
      <c r="B54" s="71">
        <v>222000</v>
      </c>
      <c r="C54" s="71"/>
      <c r="D54" s="71">
        <v>421593</v>
      </c>
      <c r="E54" s="472">
        <f t="shared" si="5"/>
        <v>1.8990675675675677</v>
      </c>
      <c r="F54" s="472" t="str">
        <f t="shared" si="2"/>
        <v> </v>
      </c>
      <c r="G54" s="465">
        <f>D54-'[8]Junijs'!D54</f>
        <v>0</v>
      </c>
      <c r="H54" s="62" t="s">
        <v>78</v>
      </c>
      <c r="I54" s="71">
        <f>ROUND(B54/1000,0)</f>
        <v>222</v>
      </c>
      <c r="J54" s="71">
        <f>ROUND(C54/1000,0)</f>
        <v>0</v>
      </c>
      <c r="K54" s="71">
        <f>ROUND(D54/1000,0)</f>
        <v>422</v>
      </c>
      <c r="L54" s="478">
        <f t="shared" si="10"/>
        <v>1.9009009009009008</v>
      </c>
      <c r="M54" s="59" t="str">
        <f t="shared" si="13"/>
        <v> </v>
      </c>
      <c r="N54" s="71">
        <f>K54-'[8]Junijs'!K54</f>
        <v>0</v>
      </c>
    </row>
    <row r="55" spans="1:14" s="103" customFormat="1" ht="12.75">
      <c r="A55" s="475" t="s">
        <v>483</v>
      </c>
      <c r="B55" s="476">
        <f>B56</f>
        <v>1000000</v>
      </c>
      <c r="C55" s="476">
        <f>C56</f>
        <v>439000</v>
      </c>
      <c r="D55" s="476">
        <f>D56</f>
        <v>364495</v>
      </c>
      <c r="E55" s="472">
        <f t="shared" si="5"/>
        <v>0.364495</v>
      </c>
      <c r="F55" s="472">
        <f t="shared" si="2"/>
        <v>0.8302847380410022</v>
      </c>
      <c r="G55" s="465">
        <f>D55-'[8]Junijs'!D55</f>
        <v>109121</v>
      </c>
      <c r="H55" s="475" t="s">
        <v>483</v>
      </c>
      <c r="I55" s="476">
        <f>I56</f>
        <v>1000</v>
      </c>
      <c r="J55" s="476">
        <f>J56</f>
        <v>439</v>
      </c>
      <c r="K55" s="476">
        <f>K56</f>
        <v>364</v>
      </c>
      <c r="L55" s="477">
        <f t="shared" si="10"/>
        <v>0.364</v>
      </c>
      <c r="M55" s="81">
        <f t="shared" si="13"/>
        <v>0.8291571753986332</v>
      </c>
      <c r="N55" s="476">
        <f>K55-'[8]Junijs'!K55</f>
        <v>109</v>
      </c>
    </row>
    <row r="56" spans="1:14" ht="12.75">
      <c r="A56" s="62" t="s">
        <v>78</v>
      </c>
      <c r="B56" s="71">
        <v>1000000</v>
      </c>
      <c r="C56" s="71">
        <v>439000</v>
      </c>
      <c r="D56" s="71">
        <v>364495</v>
      </c>
      <c r="E56" s="472">
        <f t="shared" si="5"/>
        <v>0.364495</v>
      </c>
      <c r="F56" s="472">
        <f t="shared" si="2"/>
        <v>0.8302847380410022</v>
      </c>
      <c r="G56" s="465">
        <f>D56-'[8]Junijs'!D56</f>
        <v>109121</v>
      </c>
      <c r="H56" s="62" t="s">
        <v>78</v>
      </c>
      <c r="I56" s="71">
        <f>ROUND(B56/1000,0)</f>
        <v>1000</v>
      </c>
      <c r="J56" s="71">
        <f>ROUND(C56/1000,0)</f>
        <v>439</v>
      </c>
      <c r="K56" s="71">
        <f>ROUND(D56/1000,0)</f>
        <v>364</v>
      </c>
      <c r="L56" s="478">
        <f t="shared" si="10"/>
        <v>0.364</v>
      </c>
      <c r="M56" s="64">
        <f t="shared" si="13"/>
        <v>0.8291571753986332</v>
      </c>
      <c r="N56" s="71">
        <f>K56-'[8]Junijs'!K56</f>
        <v>109</v>
      </c>
    </row>
    <row r="57" spans="1:14" s="2" customFormat="1" ht="12.75">
      <c r="A57" s="73" t="s">
        <v>91</v>
      </c>
      <c r="B57" s="479">
        <f>B58+B61</f>
        <v>1898720</v>
      </c>
      <c r="C57" s="479">
        <f>C58+C61</f>
        <v>775674</v>
      </c>
      <c r="D57" s="479">
        <f>D58+D61</f>
        <v>78515</v>
      </c>
      <c r="E57" s="474">
        <f t="shared" si="5"/>
        <v>0.04135154209151428</v>
      </c>
      <c r="F57" s="474">
        <f t="shared" si="2"/>
        <v>0.1012216472384017</v>
      </c>
      <c r="G57" s="465">
        <f>D57-'[8]Junijs'!D57</f>
        <v>29304</v>
      </c>
      <c r="H57" s="73" t="s">
        <v>91</v>
      </c>
      <c r="I57" s="68">
        <f>I58+I61</f>
        <v>1900</v>
      </c>
      <c r="J57" s="68">
        <f>J58+J61</f>
        <v>775</v>
      </c>
      <c r="K57" s="68">
        <f>K58+K61</f>
        <v>79</v>
      </c>
      <c r="L57" s="473">
        <f t="shared" si="10"/>
        <v>0.041578947368421056</v>
      </c>
      <c r="M57" s="473">
        <f t="shared" si="13"/>
        <v>0.10193548387096774</v>
      </c>
      <c r="N57" s="68">
        <f>K57-'[8]Junijs'!K57</f>
        <v>30</v>
      </c>
    </row>
    <row r="58" spans="1:14" s="103" customFormat="1" ht="12.75">
      <c r="A58" s="475" t="s">
        <v>482</v>
      </c>
      <c r="B58" s="476">
        <f>SUM(B59:B60)</f>
        <v>1604180</v>
      </c>
      <c r="C58" s="476">
        <f>SUM(C59:C60)</f>
        <v>650054</v>
      </c>
      <c r="D58" s="476">
        <f>SUM(D59:D60)</f>
        <v>0</v>
      </c>
      <c r="E58" s="472">
        <f t="shared" si="5"/>
        <v>0</v>
      </c>
      <c r="F58" s="472">
        <f t="shared" si="2"/>
        <v>0</v>
      </c>
      <c r="G58" s="465">
        <f>D58-'[8]Junijs'!D58</f>
        <v>0</v>
      </c>
      <c r="H58" s="475" t="s">
        <v>482</v>
      </c>
      <c r="I58" s="476">
        <f>SUM(I59:I60)</f>
        <v>1605</v>
      </c>
      <c r="J58" s="476">
        <f>SUM(J59:J60)</f>
        <v>650</v>
      </c>
      <c r="K58" s="476">
        <f>SUM(K59:K60)</f>
        <v>0</v>
      </c>
      <c r="L58" s="477">
        <f t="shared" si="10"/>
        <v>0</v>
      </c>
      <c r="M58" s="64"/>
      <c r="N58" s="476">
        <f>K58-'[8]Junijs'!K58</f>
        <v>0</v>
      </c>
    </row>
    <row r="59" spans="1:14" ht="12.75">
      <c r="A59" s="62" t="s">
        <v>77</v>
      </c>
      <c r="B59" s="71">
        <v>1130660</v>
      </c>
      <c r="C59" s="71">
        <v>461260</v>
      </c>
      <c r="D59" s="71"/>
      <c r="E59" s="472">
        <f t="shared" si="5"/>
        <v>0</v>
      </c>
      <c r="F59" s="472">
        <f t="shared" si="2"/>
        <v>0</v>
      </c>
      <c r="G59" s="465">
        <f>D59-'[8]Junijs'!D59</f>
        <v>0</v>
      </c>
      <c r="H59" s="62" t="s">
        <v>77</v>
      </c>
      <c r="I59" s="71">
        <f aca="true" t="shared" si="14" ref="I59:K60">ROUND(B59/1000,0)</f>
        <v>1131</v>
      </c>
      <c r="J59" s="71">
        <f t="shared" si="14"/>
        <v>461</v>
      </c>
      <c r="K59" s="71">
        <f t="shared" si="14"/>
        <v>0</v>
      </c>
      <c r="L59" s="478">
        <f t="shared" si="10"/>
        <v>0</v>
      </c>
      <c r="M59" s="64"/>
      <c r="N59" s="71">
        <f>K59-'[8]Junijs'!K59</f>
        <v>0</v>
      </c>
    </row>
    <row r="60" spans="1:14" ht="12.75">
      <c r="A60" s="62" t="s">
        <v>78</v>
      </c>
      <c r="B60" s="71">
        <v>473520</v>
      </c>
      <c r="C60" s="71">
        <v>188794</v>
      </c>
      <c r="D60" s="71"/>
      <c r="E60" s="472">
        <f t="shared" si="5"/>
        <v>0</v>
      </c>
      <c r="F60" s="472">
        <f t="shared" si="2"/>
        <v>0</v>
      </c>
      <c r="G60" s="465">
        <f>D60-'[8]Junijs'!D60</f>
        <v>0</v>
      </c>
      <c r="H60" s="62" t="s">
        <v>78</v>
      </c>
      <c r="I60" s="71">
        <f t="shared" si="14"/>
        <v>474</v>
      </c>
      <c r="J60" s="71">
        <f t="shared" si="14"/>
        <v>189</v>
      </c>
      <c r="K60" s="71">
        <f t="shared" si="14"/>
        <v>0</v>
      </c>
      <c r="L60" s="478">
        <f t="shared" si="10"/>
        <v>0</v>
      </c>
      <c r="M60" s="64"/>
      <c r="N60" s="71">
        <f>K60-'[8]Junijs'!K60</f>
        <v>0</v>
      </c>
    </row>
    <row r="61" spans="1:14" s="103" customFormat="1" ht="12.75">
      <c r="A61" s="475" t="s">
        <v>483</v>
      </c>
      <c r="B61" s="476">
        <f>SUM(B62:B63)</f>
        <v>294540</v>
      </c>
      <c r="C61" s="476">
        <f>SUM(C62:C63)</f>
        <v>125620</v>
      </c>
      <c r="D61" s="476">
        <f>SUM(D62:D63)</f>
        <v>78515</v>
      </c>
      <c r="E61" s="472">
        <f t="shared" si="5"/>
        <v>0.26656820805323556</v>
      </c>
      <c r="F61" s="472">
        <f t="shared" si="2"/>
        <v>0.6250199012896036</v>
      </c>
      <c r="G61" s="465">
        <f>D61-'[8]Junijs'!D61</f>
        <v>29304</v>
      </c>
      <c r="H61" s="475" t="s">
        <v>483</v>
      </c>
      <c r="I61" s="476">
        <f>SUM(I62:I63)</f>
        <v>295</v>
      </c>
      <c r="J61" s="476">
        <f>SUM(J62:J63)</f>
        <v>125</v>
      </c>
      <c r="K61" s="476">
        <f>SUM(K62:K63)</f>
        <v>79</v>
      </c>
      <c r="L61" s="477">
        <f t="shared" si="10"/>
        <v>0.2677966101694915</v>
      </c>
      <c r="M61" s="64">
        <f t="shared" si="13"/>
        <v>0.632</v>
      </c>
      <c r="N61" s="476">
        <f>K61-'[8]Junijs'!K61</f>
        <v>30</v>
      </c>
    </row>
    <row r="62" spans="1:14" ht="12.75">
      <c r="A62" s="62" t="s">
        <v>77</v>
      </c>
      <c r="B62" s="71">
        <v>185510</v>
      </c>
      <c r="C62" s="71">
        <v>79160</v>
      </c>
      <c r="D62" s="71">
        <v>54722</v>
      </c>
      <c r="E62" s="472">
        <f t="shared" si="5"/>
        <v>0.2949814026198049</v>
      </c>
      <c r="F62" s="472">
        <f t="shared" si="2"/>
        <v>0.6912834765032845</v>
      </c>
      <c r="G62" s="465">
        <f>D62-'[8]Junijs'!D62</f>
        <v>22385</v>
      </c>
      <c r="H62" s="62" t="s">
        <v>77</v>
      </c>
      <c r="I62" s="71">
        <f aca="true" t="shared" si="15" ref="I62:K63">ROUND(B62/1000,0)</f>
        <v>186</v>
      </c>
      <c r="J62" s="71">
        <f t="shared" si="15"/>
        <v>79</v>
      </c>
      <c r="K62" s="71">
        <f t="shared" si="15"/>
        <v>55</v>
      </c>
      <c r="L62" s="478">
        <f t="shared" si="10"/>
        <v>0.2956989247311828</v>
      </c>
      <c r="M62" s="64">
        <f t="shared" si="13"/>
        <v>0.6962025316455697</v>
      </c>
      <c r="N62" s="71">
        <f>K62-'[8]Junijs'!K62</f>
        <v>23</v>
      </c>
    </row>
    <row r="63" spans="1:14" ht="12.75">
      <c r="A63" s="62" t="s">
        <v>78</v>
      </c>
      <c r="B63" s="71">
        <v>109030</v>
      </c>
      <c r="C63" s="71">
        <v>46460</v>
      </c>
      <c r="D63" s="71">
        <v>23793</v>
      </c>
      <c r="E63" s="472">
        <f t="shared" si="5"/>
        <v>0.21822434192424103</v>
      </c>
      <c r="F63" s="472">
        <f t="shared" si="2"/>
        <v>0.5121179509255274</v>
      </c>
      <c r="G63" s="465">
        <f>D63-'[8]Junijs'!D63</f>
        <v>6919</v>
      </c>
      <c r="H63" s="62" t="s">
        <v>78</v>
      </c>
      <c r="I63" s="71">
        <f t="shared" si="15"/>
        <v>109</v>
      </c>
      <c r="J63" s="71">
        <f>ROUND(C63/1000,0)</f>
        <v>46</v>
      </c>
      <c r="K63" s="71">
        <f t="shared" si="15"/>
        <v>24</v>
      </c>
      <c r="L63" s="478">
        <f t="shared" si="10"/>
        <v>0.22018348623853212</v>
      </c>
      <c r="M63" s="64">
        <f t="shared" si="13"/>
        <v>0.5217391304347826</v>
      </c>
      <c r="N63" s="71">
        <f>K63-'[8]Junijs'!K63</f>
        <v>7</v>
      </c>
    </row>
    <row r="64" spans="1:14" s="2" customFormat="1" ht="12.75">
      <c r="A64" s="73" t="s">
        <v>484</v>
      </c>
      <c r="B64" s="479">
        <f>B65+B68</f>
        <v>1063700</v>
      </c>
      <c r="C64" s="479">
        <f>C65+C68</f>
        <v>786003</v>
      </c>
      <c r="D64" s="479">
        <f>D65+D68</f>
        <v>147529</v>
      </c>
      <c r="E64" s="474">
        <f t="shared" si="5"/>
        <v>0.1386941806900442</v>
      </c>
      <c r="F64" s="474">
        <f t="shared" si="2"/>
        <v>0.18769521235924036</v>
      </c>
      <c r="G64" s="465">
        <f>D64-'[8]Junijs'!D64</f>
        <v>24464</v>
      </c>
      <c r="H64" s="73" t="s">
        <v>484</v>
      </c>
      <c r="I64" s="68">
        <f>I65+I68</f>
        <v>1064</v>
      </c>
      <c r="J64" s="68">
        <f>J65+J68</f>
        <v>787</v>
      </c>
      <c r="K64" s="68">
        <f>K65+K68</f>
        <v>148</v>
      </c>
      <c r="L64" s="473">
        <f t="shared" si="10"/>
        <v>0.13909774436090225</v>
      </c>
      <c r="M64" s="473">
        <f>IF(ISERROR(ROUND(K64,0)/ROUND(J64,0))," ",(ROUND(K64,)/ROUND(J64,)))</f>
        <v>0.1880559085133418</v>
      </c>
      <c r="N64" s="68">
        <f>K64-'[8]Junijs'!K64</f>
        <v>25</v>
      </c>
    </row>
    <row r="65" spans="1:14" s="103" customFormat="1" ht="12.75">
      <c r="A65" s="475" t="s">
        <v>482</v>
      </c>
      <c r="B65" s="476">
        <f>SUM(B66:B67)</f>
        <v>683000</v>
      </c>
      <c r="C65" s="476">
        <f>SUM(C66:C67)</f>
        <v>608000</v>
      </c>
      <c r="D65" s="476">
        <f>SUM(D66:D67)</f>
        <v>14126</v>
      </c>
      <c r="E65" s="472">
        <f t="shared" si="5"/>
        <v>0.02068228404099561</v>
      </c>
      <c r="F65" s="472">
        <f t="shared" si="2"/>
        <v>0.023233552631578946</v>
      </c>
      <c r="G65" s="465">
        <f>D65-'[8]Junijs'!D65</f>
        <v>0</v>
      </c>
      <c r="H65" s="475" t="s">
        <v>482</v>
      </c>
      <c r="I65" s="476">
        <f>SUM(I66:I67)</f>
        <v>683</v>
      </c>
      <c r="J65" s="476">
        <f>SUM(J66:J67)</f>
        <v>608</v>
      </c>
      <c r="K65" s="476">
        <f>SUM(K66:K67)</f>
        <v>14</v>
      </c>
      <c r="L65" s="477">
        <f t="shared" si="10"/>
        <v>0.020497803806734993</v>
      </c>
      <c r="M65" s="477">
        <f>IF(ISERROR(ROUND(K65,0)/ROUND(J65,0))," ",(ROUND(K65,)/ROUND(J65,)))</f>
        <v>0.023026315789473683</v>
      </c>
      <c r="N65" s="476">
        <f>K65-'[8]Junijs'!K65</f>
        <v>0</v>
      </c>
    </row>
    <row r="66" spans="1:14" ht="12.75">
      <c r="A66" s="62" t="s">
        <v>77</v>
      </c>
      <c r="B66" s="71">
        <v>186000</v>
      </c>
      <c r="C66" s="71">
        <v>111000</v>
      </c>
      <c r="D66" s="71">
        <v>14126</v>
      </c>
      <c r="E66" s="472">
        <f t="shared" si="5"/>
        <v>0.07594623655913979</v>
      </c>
      <c r="F66" s="472">
        <f t="shared" si="2"/>
        <v>0.12726126126126125</v>
      </c>
      <c r="G66" s="465">
        <f>D66-'[8]Junijs'!D66</f>
        <v>0</v>
      </c>
      <c r="H66" s="62" t="s">
        <v>77</v>
      </c>
      <c r="I66" s="71">
        <f aca="true" t="shared" si="16" ref="I66:K67">ROUND(B66/1000,0)</f>
        <v>186</v>
      </c>
      <c r="J66" s="71">
        <f t="shared" si="16"/>
        <v>111</v>
      </c>
      <c r="K66" s="71">
        <f t="shared" si="16"/>
        <v>14</v>
      </c>
      <c r="L66" s="478">
        <f t="shared" si="10"/>
        <v>0.07526881720430108</v>
      </c>
      <c r="M66" s="478">
        <f>IF(ISERROR(ROUND(K66,0)/ROUND(J66,0))," ",(ROUND(K66,)/ROUND(J66,)))</f>
        <v>0.12612612612612611</v>
      </c>
      <c r="N66" s="71">
        <f>K66-'[8]Junijs'!K66</f>
        <v>0</v>
      </c>
    </row>
    <row r="67" spans="1:14" ht="12.75">
      <c r="A67" s="62" t="s">
        <v>78</v>
      </c>
      <c r="B67" s="71">
        <v>497000</v>
      </c>
      <c r="C67" s="71">
        <v>497000</v>
      </c>
      <c r="D67" s="71"/>
      <c r="E67" s="472">
        <f t="shared" si="5"/>
        <v>0</v>
      </c>
      <c r="F67" s="472">
        <f t="shared" si="2"/>
        <v>0</v>
      </c>
      <c r="G67" s="465">
        <f>D67-'[8]Junijs'!D67</f>
        <v>0</v>
      </c>
      <c r="H67" s="62" t="s">
        <v>78</v>
      </c>
      <c r="I67" s="71">
        <f t="shared" si="16"/>
        <v>497</v>
      </c>
      <c r="J67" s="71">
        <f t="shared" si="16"/>
        <v>497</v>
      </c>
      <c r="K67" s="71">
        <f t="shared" si="16"/>
        <v>0</v>
      </c>
      <c r="L67" s="478">
        <f t="shared" si="10"/>
        <v>0</v>
      </c>
      <c r="M67" s="473"/>
      <c r="N67" s="71">
        <f>K67-'[8]Junijs'!K67</f>
        <v>0</v>
      </c>
    </row>
    <row r="68" spans="1:14" s="103" customFormat="1" ht="12.75">
      <c r="A68" s="475" t="s">
        <v>483</v>
      </c>
      <c r="B68" s="476">
        <f>SUM(B69:B70)</f>
        <v>380700</v>
      </c>
      <c r="C68" s="476">
        <f>SUM(C69:C70)</f>
        <v>178003</v>
      </c>
      <c r="D68" s="476">
        <f>SUM(D69:D70)</f>
        <v>133403</v>
      </c>
      <c r="E68" s="472">
        <f t="shared" si="5"/>
        <v>0.35041502495403204</v>
      </c>
      <c r="F68" s="472">
        <f t="shared" si="2"/>
        <v>0.7494424251276663</v>
      </c>
      <c r="G68" s="465">
        <f>D68-'[8]Junijs'!D68</f>
        <v>24464</v>
      </c>
      <c r="H68" s="475" t="s">
        <v>483</v>
      </c>
      <c r="I68" s="476">
        <f>SUM(I69:I70)</f>
        <v>381</v>
      </c>
      <c r="J68" s="476">
        <f>SUM(J69:J70)</f>
        <v>179</v>
      </c>
      <c r="K68" s="476">
        <f>SUM(K69:K70)</f>
        <v>134</v>
      </c>
      <c r="L68" s="477">
        <f t="shared" si="10"/>
        <v>0.35170603674540685</v>
      </c>
      <c r="M68" s="81">
        <f aca="true" t="shared" si="17" ref="M68:M73">IF(ISERROR(ROUND(K68,0)/ROUND(J68,0))," ",(ROUND(K68,)/ROUND(J68,)))</f>
        <v>0.7486033519553073</v>
      </c>
      <c r="N68" s="476">
        <f>K68-'[8]Junijs'!K68</f>
        <v>25</v>
      </c>
    </row>
    <row r="69" spans="1:14" ht="12.75">
      <c r="A69" s="62" t="s">
        <v>77</v>
      </c>
      <c r="B69" s="71">
        <v>30700</v>
      </c>
      <c r="C69" s="71">
        <v>18503</v>
      </c>
      <c r="D69" s="71">
        <v>18500</v>
      </c>
      <c r="E69" s="472">
        <f t="shared" si="5"/>
        <v>0.6026058631921825</v>
      </c>
      <c r="F69" s="472">
        <f t="shared" si="2"/>
        <v>0.9998378641301411</v>
      </c>
      <c r="G69" s="465">
        <f>D69-'[8]Junijs'!D69</f>
        <v>2929</v>
      </c>
      <c r="H69" s="62" t="s">
        <v>77</v>
      </c>
      <c r="I69" s="71">
        <f aca="true" t="shared" si="18" ref="I69:K70">ROUND(B69/1000,0)</f>
        <v>31</v>
      </c>
      <c r="J69" s="71">
        <f t="shared" si="18"/>
        <v>19</v>
      </c>
      <c r="K69" s="71">
        <f t="shared" si="18"/>
        <v>19</v>
      </c>
      <c r="L69" s="478">
        <f t="shared" si="10"/>
        <v>0.6129032258064516</v>
      </c>
      <c r="M69" s="64">
        <f t="shared" si="17"/>
        <v>1</v>
      </c>
      <c r="N69" s="71">
        <f>K69-'[8]Junijs'!K69</f>
        <v>3</v>
      </c>
    </row>
    <row r="70" spans="1:14" ht="12.75">
      <c r="A70" s="62" t="s">
        <v>78</v>
      </c>
      <c r="B70" s="71">
        <v>350000</v>
      </c>
      <c r="C70" s="71">
        <v>159500</v>
      </c>
      <c r="D70" s="71">
        <v>114903</v>
      </c>
      <c r="E70" s="472">
        <f t="shared" si="5"/>
        <v>0.3282942857142857</v>
      </c>
      <c r="F70" s="472">
        <f t="shared" si="2"/>
        <v>0.7203949843260188</v>
      </c>
      <c r="G70" s="465">
        <f>D70-'[8]Junijs'!D70</f>
        <v>21535</v>
      </c>
      <c r="H70" s="62" t="s">
        <v>78</v>
      </c>
      <c r="I70" s="71">
        <f t="shared" si="18"/>
        <v>350</v>
      </c>
      <c r="J70" s="71">
        <f t="shared" si="18"/>
        <v>160</v>
      </c>
      <c r="K70" s="71">
        <f t="shared" si="18"/>
        <v>115</v>
      </c>
      <c r="L70" s="478">
        <f t="shared" si="10"/>
        <v>0.32857142857142857</v>
      </c>
      <c r="M70" s="64">
        <f t="shared" si="17"/>
        <v>0.71875</v>
      </c>
      <c r="N70" s="71">
        <f>K70-'[8]Junijs'!K70</f>
        <v>22</v>
      </c>
    </row>
    <row r="71" spans="1:14" s="2" customFormat="1" ht="24">
      <c r="A71" s="67" t="s">
        <v>485</v>
      </c>
      <c r="B71" s="479">
        <f>B72+B75</f>
        <v>1445796</v>
      </c>
      <c r="C71" s="479">
        <f>C72+C75</f>
        <v>426555</v>
      </c>
      <c r="D71" s="479">
        <f>D72+D75</f>
        <v>201588</v>
      </c>
      <c r="E71" s="474">
        <f t="shared" si="5"/>
        <v>0.1394304590689143</v>
      </c>
      <c r="F71" s="474">
        <f t="shared" si="2"/>
        <v>0.47259556211977355</v>
      </c>
      <c r="G71" s="465">
        <f>D71-'[8]Junijs'!D71</f>
        <v>2045</v>
      </c>
      <c r="H71" s="67" t="s">
        <v>485</v>
      </c>
      <c r="I71" s="68">
        <f>I72+I75</f>
        <v>1446</v>
      </c>
      <c r="J71" s="68">
        <f>J72+J75</f>
        <v>427</v>
      </c>
      <c r="K71" s="68">
        <f>K72+K75</f>
        <v>201</v>
      </c>
      <c r="L71" s="473">
        <f t="shared" si="10"/>
        <v>0.13900414937759337</v>
      </c>
      <c r="M71" s="59">
        <f t="shared" si="17"/>
        <v>0.4707259953161593</v>
      </c>
      <c r="N71" s="68">
        <f>K71-'[8]Junijs'!K71</f>
        <v>2</v>
      </c>
    </row>
    <row r="72" spans="1:14" s="103" customFormat="1" ht="12.75">
      <c r="A72" s="475" t="s">
        <v>482</v>
      </c>
      <c r="B72" s="476">
        <f>SUM(B73:B74)</f>
        <v>997196</v>
      </c>
      <c r="C72" s="476">
        <f>SUM(C73:C74)</f>
        <v>426555</v>
      </c>
      <c r="D72" s="476">
        <f>SUM(D73:D74)</f>
        <v>201588</v>
      </c>
      <c r="E72" s="472">
        <f t="shared" si="5"/>
        <v>0.20215484217746563</v>
      </c>
      <c r="F72" s="472">
        <f t="shared" si="2"/>
        <v>0.47259556211977355</v>
      </c>
      <c r="G72" s="465">
        <f>D72-'[8]Junijs'!D72</f>
        <v>2045</v>
      </c>
      <c r="H72" s="475" t="s">
        <v>482</v>
      </c>
      <c r="I72" s="476">
        <f>SUM(I73:I74)</f>
        <v>997</v>
      </c>
      <c r="J72" s="476">
        <f>SUM(J73:J74)</f>
        <v>427</v>
      </c>
      <c r="K72" s="476">
        <f>SUM(K73:K74)</f>
        <v>201</v>
      </c>
      <c r="L72" s="477">
        <f t="shared" si="10"/>
        <v>0.20160481444332998</v>
      </c>
      <c r="M72" s="81">
        <f t="shared" si="17"/>
        <v>0.4707259953161593</v>
      </c>
      <c r="N72" s="476">
        <f>K72-'[8]Junijs'!K72</f>
        <v>2</v>
      </c>
    </row>
    <row r="73" spans="1:14" ht="12.75">
      <c r="A73" s="62" t="s">
        <v>77</v>
      </c>
      <c r="B73" s="71">
        <v>890702</v>
      </c>
      <c r="C73" s="71">
        <v>372405</v>
      </c>
      <c r="D73" s="71">
        <v>201588</v>
      </c>
      <c r="E73" s="472">
        <f t="shared" si="5"/>
        <v>0.2263248538792997</v>
      </c>
      <c r="F73" s="472">
        <f aca="true" t="shared" si="19" ref="F73:F95">IF(ISERROR(D73/C73)," ",(D73/C73))</f>
        <v>0.5413138921335643</v>
      </c>
      <c r="G73" s="465">
        <f>D73-'[8]Junijs'!D73</f>
        <v>2045</v>
      </c>
      <c r="H73" s="62" t="s">
        <v>77</v>
      </c>
      <c r="I73" s="71">
        <f aca="true" t="shared" si="20" ref="I73:K74">ROUND(B73/1000,0)</f>
        <v>891</v>
      </c>
      <c r="J73" s="71">
        <f>ROUND(C73/1000,0)+1</f>
        <v>373</v>
      </c>
      <c r="K73" s="71">
        <f>ROUND(D73/1000,0)-1</f>
        <v>201</v>
      </c>
      <c r="L73" s="478">
        <f t="shared" si="10"/>
        <v>0.2255892255892256</v>
      </c>
      <c r="M73" s="64">
        <f t="shared" si="17"/>
        <v>0.5388739946380697</v>
      </c>
      <c r="N73" s="71">
        <f>K73-'[8]Junijs'!K73</f>
        <v>2</v>
      </c>
    </row>
    <row r="74" spans="1:14" ht="12.75">
      <c r="A74" s="79" t="s">
        <v>78</v>
      </c>
      <c r="B74" s="71">
        <v>106494</v>
      </c>
      <c r="C74" s="71">
        <v>54150</v>
      </c>
      <c r="D74" s="71"/>
      <c r="E74" s="472">
        <f t="shared" si="5"/>
        <v>0</v>
      </c>
      <c r="F74" s="472">
        <f t="shared" si="19"/>
        <v>0</v>
      </c>
      <c r="G74" s="465">
        <f>D74-'[8]Junijs'!D74</f>
        <v>0</v>
      </c>
      <c r="H74" s="79" t="s">
        <v>78</v>
      </c>
      <c r="I74" s="71">
        <f t="shared" si="20"/>
        <v>106</v>
      </c>
      <c r="J74" s="71">
        <f t="shared" si="20"/>
        <v>54</v>
      </c>
      <c r="K74" s="71">
        <f t="shared" si="20"/>
        <v>0</v>
      </c>
      <c r="L74" s="478">
        <f t="shared" si="10"/>
        <v>0</v>
      </c>
      <c r="M74" s="64"/>
      <c r="N74" s="71">
        <f>K74-'[8]Junijs'!K74</f>
        <v>0</v>
      </c>
    </row>
    <row r="75" spans="1:14" s="103" customFormat="1" ht="12.75">
      <c r="A75" s="475" t="s">
        <v>483</v>
      </c>
      <c r="B75" s="476">
        <f>SUM(B76:B77)</f>
        <v>448600</v>
      </c>
      <c r="C75" s="476">
        <f>SUM(C76:C77)</f>
        <v>0</v>
      </c>
      <c r="D75" s="476">
        <f>SUM(D76:D77)</f>
        <v>0</v>
      </c>
      <c r="E75" s="472">
        <f t="shared" si="5"/>
        <v>0</v>
      </c>
      <c r="F75" s="472" t="str">
        <f t="shared" si="19"/>
        <v> </v>
      </c>
      <c r="G75" s="465">
        <f>D75-'[8]Junijs'!D75</f>
        <v>0</v>
      </c>
      <c r="H75" s="475" t="s">
        <v>483</v>
      </c>
      <c r="I75" s="476">
        <f>SUM(I76:I77)</f>
        <v>449</v>
      </c>
      <c r="J75" s="476">
        <f>SUM(J76:J77)</f>
        <v>0</v>
      </c>
      <c r="K75" s="476">
        <f>SUM(K76:K77)</f>
        <v>0</v>
      </c>
      <c r="L75" s="477">
        <f t="shared" si="10"/>
        <v>0</v>
      </c>
      <c r="M75" s="81"/>
      <c r="N75" s="476">
        <f>K75-'[8]Junijs'!K75</f>
        <v>0</v>
      </c>
    </row>
    <row r="76" spans="1:14" ht="12.75">
      <c r="A76" s="62" t="s">
        <v>77</v>
      </c>
      <c r="B76" s="71">
        <v>48600</v>
      </c>
      <c r="C76" s="71"/>
      <c r="D76" s="71"/>
      <c r="E76" s="472">
        <f t="shared" si="5"/>
        <v>0</v>
      </c>
      <c r="F76" s="472" t="str">
        <f t="shared" si="19"/>
        <v> </v>
      </c>
      <c r="G76" s="465">
        <f>D76-'[8]Junijs'!D76</f>
        <v>0</v>
      </c>
      <c r="H76" s="62" t="s">
        <v>77</v>
      </c>
      <c r="I76" s="71">
        <f aca="true" t="shared" si="21" ref="I76:K77">ROUND(B76/1000,0)</f>
        <v>49</v>
      </c>
      <c r="J76" s="71">
        <f t="shared" si="21"/>
        <v>0</v>
      </c>
      <c r="K76" s="71">
        <f t="shared" si="21"/>
        <v>0</v>
      </c>
      <c r="L76" s="478">
        <f t="shared" si="10"/>
        <v>0</v>
      </c>
      <c r="M76" s="64"/>
      <c r="N76" s="71">
        <f>K76-'[8]Junijs'!K76</f>
        <v>0</v>
      </c>
    </row>
    <row r="77" spans="1:14" ht="12.75">
      <c r="A77" s="62" t="s">
        <v>78</v>
      </c>
      <c r="B77" s="71">
        <v>400000</v>
      </c>
      <c r="C77" s="71"/>
      <c r="D77" s="71"/>
      <c r="E77" s="472">
        <f t="shared" si="5"/>
        <v>0</v>
      </c>
      <c r="F77" s="472" t="str">
        <f t="shared" si="19"/>
        <v> </v>
      </c>
      <c r="G77" s="465">
        <f>D77-'[8]Junijs'!D77</f>
        <v>0</v>
      </c>
      <c r="H77" s="62" t="s">
        <v>78</v>
      </c>
      <c r="I77" s="71">
        <f t="shared" si="21"/>
        <v>400</v>
      </c>
      <c r="J77" s="71">
        <f t="shared" si="21"/>
        <v>0</v>
      </c>
      <c r="K77" s="71">
        <f t="shared" si="21"/>
        <v>0</v>
      </c>
      <c r="L77" s="478">
        <f t="shared" si="10"/>
        <v>0</v>
      </c>
      <c r="M77" s="64"/>
      <c r="N77" s="71">
        <f>K77-'[8]Junijs'!K77</f>
        <v>0</v>
      </c>
    </row>
    <row r="78" spans="1:14" s="2" customFormat="1" ht="36">
      <c r="A78" s="89" t="s">
        <v>105</v>
      </c>
      <c r="B78" s="479">
        <f>B79+B81</f>
        <v>1485236</v>
      </c>
      <c r="C78" s="479">
        <f>C79+C81</f>
        <v>1019694</v>
      </c>
      <c r="D78" s="479">
        <f>D79+D81</f>
        <v>308697</v>
      </c>
      <c r="E78" s="474">
        <f t="shared" si="5"/>
        <v>0.20784373661828828</v>
      </c>
      <c r="F78" s="474">
        <f t="shared" si="19"/>
        <v>0.3027349381284974</v>
      </c>
      <c r="G78" s="465">
        <f>D78-'[8]Junijs'!D78</f>
        <v>7217</v>
      </c>
      <c r="H78" s="89" t="s">
        <v>105</v>
      </c>
      <c r="I78" s="68">
        <f>I79+I81</f>
        <v>1485</v>
      </c>
      <c r="J78" s="68">
        <f>J79+J81</f>
        <v>1020</v>
      </c>
      <c r="K78" s="68">
        <f>K79+K81</f>
        <v>309</v>
      </c>
      <c r="L78" s="473">
        <f t="shared" si="10"/>
        <v>0.2080808080808081</v>
      </c>
      <c r="M78" s="59">
        <f aca="true" t="shared" si="22" ref="M78:M95">IF(ISERROR(ROUND(K78,0)/ROUND(J78,0))," ",(ROUND(K78,)/ROUND(J78,)))</f>
        <v>0.3029411764705882</v>
      </c>
      <c r="N78" s="68">
        <f>K78-'[8]Junijs'!K78</f>
        <v>8</v>
      </c>
    </row>
    <row r="79" spans="1:14" s="103" customFormat="1" ht="12.75">
      <c r="A79" s="475" t="s">
        <v>482</v>
      </c>
      <c r="B79" s="476">
        <f>SUM(B80:B80)</f>
        <v>1356638</v>
      </c>
      <c r="C79" s="476">
        <f>SUM(C80:C80)</f>
        <v>946681</v>
      </c>
      <c r="D79" s="476">
        <f>SUM(D80:D80)</f>
        <v>249047</v>
      </c>
      <c r="E79" s="472">
        <f t="shared" si="5"/>
        <v>0.18357660628701244</v>
      </c>
      <c r="F79" s="472">
        <f t="shared" si="19"/>
        <v>0.2630738337412497</v>
      </c>
      <c r="G79" s="465">
        <f>D79-'[8]Junijs'!D79</f>
        <v>3011</v>
      </c>
      <c r="H79" s="475" t="s">
        <v>482</v>
      </c>
      <c r="I79" s="476">
        <f>I80</f>
        <v>1357</v>
      </c>
      <c r="J79" s="476">
        <f>J80</f>
        <v>947</v>
      </c>
      <c r="K79" s="476">
        <f>K80</f>
        <v>249</v>
      </c>
      <c r="L79" s="477">
        <f t="shared" si="10"/>
        <v>0.18349299926308033</v>
      </c>
      <c r="M79" s="477">
        <f t="shared" si="22"/>
        <v>0.26293558606124606</v>
      </c>
      <c r="N79" s="476">
        <f>K79-'[8]Junijs'!K79</f>
        <v>3</v>
      </c>
    </row>
    <row r="80" spans="1:14" ht="12.75">
      <c r="A80" s="62" t="s">
        <v>77</v>
      </c>
      <c r="B80" s="71">
        <v>1356638</v>
      </c>
      <c r="C80" s="71">
        <v>946681</v>
      </c>
      <c r="D80" s="71">
        <v>249047</v>
      </c>
      <c r="E80" s="472">
        <f t="shared" si="5"/>
        <v>0.18357660628701244</v>
      </c>
      <c r="F80" s="472">
        <f t="shared" si="19"/>
        <v>0.2630738337412497</v>
      </c>
      <c r="G80" s="465">
        <f>D80-'[8]Junijs'!D80</f>
        <v>3011</v>
      </c>
      <c r="H80" s="62" t="s">
        <v>77</v>
      </c>
      <c r="I80" s="71">
        <f>ROUND(B80/1000,0)</f>
        <v>1357</v>
      </c>
      <c r="J80" s="71">
        <f>ROUND(C80/1000,0)</f>
        <v>947</v>
      </c>
      <c r="K80" s="71">
        <f>ROUND(D80/1000,0)</f>
        <v>249</v>
      </c>
      <c r="L80" s="478">
        <f t="shared" si="10"/>
        <v>0.18349299926308033</v>
      </c>
      <c r="M80" s="478">
        <f t="shared" si="22"/>
        <v>0.26293558606124606</v>
      </c>
      <c r="N80" s="71">
        <f>K80-'[8]Junijs'!K80</f>
        <v>3</v>
      </c>
    </row>
    <row r="81" spans="1:14" s="103" customFormat="1" ht="12.75">
      <c r="A81" s="475" t="s">
        <v>483</v>
      </c>
      <c r="B81" s="476">
        <f>B82</f>
        <v>128598</v>
      </c>
      <c r="C81" s="476">
        <f>C82</f>
        <v>73013</v>
      </c>
      <c r="D81" s="476">
        <f>D82</f>
        <v>59650</v>
      </c>
      <c r="E81" s="472">
        <f t="shared" si="5"/>
        <v>0.46384858240408094</v>
      </c>
      <c r="F81" s="472">
        <f t="shared" si="19"/>
        <v>0.8169777984742443</v>
      </c>
      <c r="G81" s="465">
        <f>D81-'[8]Junijs'!D81</f>
        <v>4206</v>
      </c>
      <c r="H81" s="475" t="s">
        <v>483</v>
      </c>
      <c r="I81" s="476">
        <f>I82</f>
        <v>128</v>
      </c>
      <c r="J81" s="476">
        <f>J82</f>
        <v>73</v>
      </c>
      <c r="K81" s="476">
        <f>K82</f>
        <v>60</v>
      </c>
      <c r="L81" s="477">
        <f t="shared" si="10"/>
        <v>0.46875</v>
      </c>
      <c r="M81" s="81">
        <f t="shared" si="22"/>
        <v>0.821917808219178</v>
      </c>
      <c r="N81" s="476">
        <f>K81-'[8]Junijs'!K81</f>
        <v>5</v>
      </c>
    </row>
    <row r="82" spans="1:14" ht="12.75">
      <c r="A82" s="62" t="s">
        <v>77</v>
      </c>
      <c r="B82" s="71">
        <v>128598</v>
      </c>
      <c r="C82" s="71">
        <v>73013</v>
      </c>
      <c r="D82" s="71">
        <v>59650</v>
      </c>
      <c r="E82" s="472">
        <f t="shared" si="5"/>
        <v>0.46384858240408094</v>
      </c>
      <c r="F82" s="472">
        <f t="shared" si="19"/>
        <v>0.8169777984742443</v>
      </c>
      <c r="G82" s="465">
        <f>D82-'[8]Junijs'!D82</f>
        <v>4206</v>
      </c>
      <c r="H82" s="62" t="s">
        <v>77</v>
      </c>
      <c r="I82" s="71">
        <f>ROUND(B82/1000,0)-1</f>
        <v>128</v>
      </c>
      <c r="J82" s="71">
        <f>ROUND(C82/1000,0)</f>
        <v>73</v>
      </c>
      <c r="K82" s="71">
        <f>ROUND(D82/1000,0)</f>
        <v>60</v>
      </c>
      <c r="L82" s="478">
        <f t="shared" si="10"/>
        <v>0.46875</v>
      </c>
      <c r="M82" s="64">
        <f t="shared" si="22"/>
        <v>0.821917808219178</v>
      </c>
      <c r="N82" s="71">
        <f>K82-'[8]Junijs'!K82</f>
        <v>5</v>
      </c>
    </row>
    <row r="83" spans="1:14" s="2" customFormat="1" ht="36">
      <c r="A83" s="89" t="s">
        <v>107</v>
      </c>
      <c r="B83" s="68">
        <f aca="true" t="shared" si="23" ref="B83:D84">B84</f>
        <v>1828380</v>
      </c>
      <c r="C83" s="68">
        <f t="shared" si="23"/>
        <v>1012252</v>
      </c>
      <c r="D83" s="68">
        <f t="shared" si="23"/>
        <v>167058</v>
      </c>
      <c r="E83" s="474">
        <f t="shared" si="5"/>
        <v>0.09136940898500312</v>
      </c>
      <c r="F83" s="474">
        <f t="shared" si="19"/>
        <v>0.16503597918304927</v>
      </c>
      <c r="G83" s="465">
        <f>D83-'[8]Junijs'!D83</f>
        <v>0</v>
      </c>
      <c r="H83" s="89" t="s">
        <v>107</v>
      </c>
      <c r="I83" s="68">
        <f aca="true" t="shared" si="24" ref="I83:K84">I84</f>
        <v>1828</v>
      </c>
      <c r="J83" s="68">
        <f t="shared" si="24"/>
        <v>1012</v>
      </c>
      <c r="K83" s="68">
        <f t="shared" si="24"/>
        <v>167</v>
      </c>
      <c r="L83" s="473">
        <f t="shared" si="10"/>
        <v>0.09135667396061269</v>
      </c>
      <c r="M83" s="473">
        <f t="shared" si="22"/>
        <v>0.1650197628458498</v>
      </c>
      <c r="N83" s="68">
        <f>K83-'[8]Junijs'!K83</f>
        <v>0</v>
      </c>
    </row>
    <row r="84" spans="1:14" s="103" customFormat="1" ht="12.75">
      <c r="A84" s="475" t="s">
        <v>482</v>
      </c>
      <c r="B84" s="476">
        <f t="shared" si="23"/>
        <v>1828380</v>
      </c>
      <c r="C84" s="476">
        <f t="shared" si="23"/>
        <v>1012252</v>
      </c>
      <c r="D84" s="476">
        <f t="shared" si="23"/>
        <v>167058</v>
      </c>
      <c r="E84" s="472">
        <f t="shared" si="5"/>
        <v>0.09136940898500312</v>
      </c>
      <c r="F84" s="472">
        <f t="shared" si="19"/>
        <v>0.16503597918304927</v>
      </c>
      <c r="G84" s="465">
        <f>D84-'[8]Junijs'!D84</f>
        <v>0</v>
      </c>
      <c r="H84" s="475" t="s">
        <v>482</v>
      </c>
      <c r="I84" s="476">
        <f t="shared" si="24"/>
        <v>1828</v>
      </c>
      <c r="J84" s="476">
        <f t="shared" si="24"/>
        <v>1012</v>
      </c>
      <c r="K84" s="476">
        <f t="shared" si="24"/>
        <v>167</v>
      </c>
      <c r="L84" s="477">
        <f t="shared" si="10"/>
        <v>0.09135667396061269</v>
      </c>
      <c r="M84" s="477">
        <f t="shared" si="22"/>
        <v>0.1650197628458498</v>
      </c>
      <c r="N84" s="476">
        <f>K84-'[8]Junijs'!K84</f>
        <v>0</v>
      </c>
    </row>
    <row r="85" spans="1:14" ht="12.75">
      <c r="A85" s="62" t="s">
        <v>77</v>
      </c>
      <c r="B85" s="71">
        <v>1828380</v>
      </c>
      <c r="C85" s="71">
        <v>1012252</v>
      </c>
      <c r="D85" s="71">
        <v>167058</v>
      </c>
      <c r="E85" s="472">
        <f t="shared" si="5"/>
        <v>0.09136940898500312</v>
      </c>
      <c r="F85" s="472">
        <f t="shared" si="19"/>
        <v>0.16503597918304927</v>
      </c>
      <c r="G85" s="465">
        <f>D85-'[8]Junijs'!D85</f>
        <v>0</v>
      </c>
      <c r="H85" s="62" t="s">
        <v>77</v>
      </c>
      <c r="I85" s="71">
        <f>ROUND(B85/1000,0)</f>
        <v>1828</v>
      </c>
      <c r="J85" s="71">
        <f>ROUND(C85/1000,0)</f>
        <v>1012</v>
      </c>
      <c r="K85" s="71">
        <f>ROUND(D85/1000,0)</f>
        <v>167</v>
      </c>
      <c r="L85" s="478">
        <f t="shared" si="10"/>
        <v>0.09135667396061269</v>
      </c>
      <c r="M85" s="478">
        <f t="shared" si="22"/>
        <v>0.1650197628458498</v>
      </c>
      <c r="N85" s="71">
        <f>K85-'[8]Junijs'!K85</f>
        <v>0</v>
      </c>
    </row>
    <row r="86" spans="1:104" ht="38.25">
      <c r="A86" s="464" t="s">
        <v>486</v>
      </c>
      <c r="B86" s="480">
        <f>B87+B89</f>
        <v>7653852</v>
      </c>
      <c r="C86" s="480">
        <f>C87+C89</f>
        <v>3167157</v>
      </c>
      <c r="D86" s="480">
        <f>D87+D89</f>
        <v>992950</v>
      </c>
      <c r="E86" s="466">
        <f t="shared" si="5"/>
        <v>0.12973206171219406</v>
      </c>
      <c r="F86" s="466">
        <f t="shared" si="19"/>
        <v>0.31351461263208613</v>
      </c>
      <c r="G86" s="465">
        <f>D86-'[8]Junijs'!D86</f>
        <v>241330</v>
      </c>
      <c r="H86" s="464" t="s">
        <v>486</v>
      </c>
      <c r="I86" s="453">
        <f>I87+I89</f>
        <v>7654</v>
      </c>
      <c r="J86" s="453">
        <f>J87+J89</f>
        <v>3167</v>
      </c>
      <c r="K86" s="453">
        <f>K87+K89</f>
        <v>993</v>
      </c>
      <c r="L86" s="467">
        <f t="shared" si="10"/>
        <v>0.12973608570681996</v>
      </c>
      <c r="M86" s="467">
        <f t="shared" si="22"/>
        <v>0.313545942532365</v>
      </c>
      <c r="N86" s="453">
        <f>K86-'[8]Junijs'!K86</f>
        <v>242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</row>
    <row r="87" spans="1:104" s="49" customFormat="1" ht="15" customHeight="1">
      <c r="A87" s="469" t="s">
        <v>393</v>
      </c>
      <c r="B87" s="465">
        <f>B88</f>
        <v>3371252</v>
      </c>
      <c r="C87" s="465">
        <f>C88</f>
        <v>2202157</v>
      </c>
      <c r="D87" s="465">
        <f>D88</f>
        <v>521783</v>
      </c>
      <c r="E87" s="466">
        <f t="shared" si="5"/>
        <v>0.15477425004123097</v>
      </c>
      <c r="F87" s="466">
        <f t="shared" si="19"/>
        <v>0.23694178026362334</v>
      </c>
      <c r="G87" s="465">
        <f>D87-'[8]Junijs'!D87</f>
        <v>241330</v>
      </c>
      <c r="H87" s="469" t="s">
        <v>393</v>
      </c>
      <c r="I87" s="481">
        <f>I88</f>
        <v>3371</v>
      </c>
      <c r="J87" s="481">
        <f>J88</f>
        <v>2202</v>
      </c>
      <c r="K87" s="481">
        <f>K88</f>
        <v>522</v>
      </c>
      <c r="L87" s="467">
        <f t="shared" si="10"/>
        <v>0.15485019282112134</v>
      </c>
      <c r="M87" s="467">
        <f t="shared" si="22"/>
        <v>0.23705722070844687</v>
      </c>
      <c r="N87" s="481">
        <f>K87-'[8]Junijs'!K87</f>
        <v>242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</row>
    <row r="88" spans="1:14" ht="12.75">
      <c r="A88" s="238" t="s">
        <v>78</v>
      </c>
      <c r="B88" s="479">
        <f>B93</f>
        <v>3371252</v>
      </c>
      <c r="C88" s="479">
        <f>C93</f>
        <v>2202157</v>
      </c>
      <c r="D88" s="479">
        <f>D93</f>
        <v>521783</v>
      </c>
      <c r="E88" s="472">
        <f aca="true" t="shared" si="25" ref="E88:E95">IF(ISERROR(D88/B88)," ",(D88/B88))</f>
        <v>0.15477425004123097</v>
      </c>
      <c r="F88" s="472">
        <f t="shared" si="19"/>
        <v>0.23694178026362334</v>
      </c>
      <c r="G88" s="465">
        <f>D88-'[8]Junijs'!D88</f>
        <v>241330</v>
      </c>
      <c r="H88" s="238" t="s">
        <v>78</v>
      </c>
      <c r="I88" s="68">
        <f>I93</f>
        <v>3371</v>
      </c>
      <c r="J88" s="73">
        <f>J93</f>
        <v>2202</v>
      </c>
      <c r="K88" s="73">
        <f>K93</f>
        <v>522</v>
      </c>
      <c r="L88" s="473">
        <f t="shared" si="10"/>
        <v>0.15485019282112134</v>
      </c>
      <c r="M88" s="473">
        <f t="shared" si="22"/>
        <v>0.23705722070844687</v>
      </c>
      <c r="N88" s="73">
        <f>K88-'[8]Junijs'!K88</f>
        <v>242</v>
      </c>
    </row>
    <row r="89" spans="1:104" s="49" customFormat="1" ht="15" customHeight="1">
      <c r="A89" s="469" t="s">
        <v>487</v>
      </c>
      <c r="B89" s="465">
        <f>B90</f>
        <v>4282600</v>
      </c>
      <c r="C89" s="465">
        <f>C90</f>
        <v>965000</v>
      </c>
      <c r="D89" s="465">
        <f>D90</f>
        <v>471167</v>
      </c>
      <c r="E89" s="466">
        <f t="shared" si="25"/>
        <v>0.1100189137439873</v>
      </c>
      <c r="F89" s="466">
        <f t="shared" si="19"/>
        <v>0.4882559585492228</v>
      </c>
      <c r="G89" s="465">
        <f>D89-'[8]Junijs'!D89</f>
        <v>0</v>
      </c>
      <c r="H89" s="469" t="s">
        <v>487</v>
      </c>
      <c r="I89" s="453">
        <f>I90</f>
        <v>4283</v>
      </c>
      <c r="J89" s="453">
        <f>J90</f>
        <v>965</v>
      </c>
      <c r="K89" s="453">
        <f>K90</f>
        <v>471</v>
      </c>
      <c r="L89" s="467">
        <f t="shared" si="10"/>
        <v>0.10996964744338081</v>
      </c>
      <c r="M89" s="467">
        <f t="shared" si="22"/>
        <v>0.48808290155440415</v>
      </c>
      <c r="N89" s="453">
        <f>K89-'[8]Junijs'!K89</f>
        <v>0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</row>
    <row r="90" spans="1:14" ht="12.75">
      <c r="A90" s="238" t="s">
        <v>78</v>
      </c>
      <c r="B90" s="479">
        <f>B95</f>
        <v>4282600</v>
      </c>
      <c r="C90" s="479">
        <f>C95</f>
        <v>965000</v>
      </c>
      <c r="D90" s="479">
        <f>D95</f>
        <v>471167</v>
      </c>
      <c r="E90" s="472">
        <f t="shared" si="25"/>
        <v>0.1100189137439873</v>
      </c>
      <c r="F90" s="472">
        <f t="shared" si="19"/>
        <v>0.4882559585492228</v>
      </c>
      <c r="G90" s="465">
        <f>D90-'[8]Junijs'!D90</f>
        <v>0</v>
      </c>
      <c r="H90" s="238" t="s">
        <v>78</v>
      </c>
      <c r="I90" s="68">
        <f>I95</f>
        <v>4283</v>
      </c>
      <c r="J90" s="73">
        <f>J95</f>
        <v>965</v>
      </c>
      <c r="K90" s="73">
        <f>K95</f>
        <v>471</v>
      </c>
      <c r="L90" s="473">
        <f t="shared" si="10"/>
        <v>0.10996964744338081</v>
      </c>
      <c r="M90" s="473">
        <f t="shared" si="22"/>
        <v>0.48808290155440415</v>
      </c>
      <c r="N90" s="73">
        <f>K90-'[8]Junijs'!K90</f>
        <v>0</v>
      </c>
    </row>
    <row r="91" spans="1:14" s="2" customFormat="1" ht="12.75">
      <c r="A91" s="89" t="s">
        <v>90</v>
      </c>
      <c r="B91" s="68">
        <f>B92+B94</f>
        <v>7653852</v>
      </c>
      <c r="C91" s="68">
        <f>C92+C94</f>
        <v>3167157</v>
      </c>
      <c r="D91" s="68">
        <f>D92+D94</f>
        <v>992950</v>
      </c>
      <c r="E91" s="474">
        <f t="shared" si="25"/>
        <v>0.12973206171219406</v>
      </c>
      <c r="F91" s="474">
        <f t="shared" si="19"/>
        <v>0.31351461263208613</v>
      </c>
      <c r="G91" s="465">
        <f>D91-'[8]Junijs'!D91</f>
        <v>241330</v>
      </c>
      <c r="H91" s="89" t="s">
        <v>90</v>
      </c>
      <c r="I91" s="68">
        <f>I92+I94</f>
        <v>7654</v>
      </c>
      <c r="J91" s="68">
        <f>J92+J94</f>
        <v>3167</v>
      </c>
      <c r="K91" s="68">
        <f>K92+K94</f>
        <v>993</v>
      </c>
      <c r="L91" s="473">
        <f t="shared" si="10"/>
        <v>0.12973608570681996</v>
      </c>
      <c r="M91" s="473">
        <f t="shared" si="22"/>
        <v>0.313545942532365</v>
      </c>
      <c r="N91" s="68">
        <f>K91-'[8]Junijs'!K91</f>
        <v>242</v>
      </c>
    </row>
    <row r="92" spans="1:14" s="103" customFormat="1" ht="12.75">
      <c r="A92" s="475" t="s">
        <v>482</v>
      </c>
      <c r="B92" s="476">
        <f>B93</f>
        <v>3371252</v>
      </c>
      <c r="C92" s="476">
        <f>C93</f>
        <v>2202157</v>
      </c>
      <c r="D92" s="476">
        <f>D93</f>
        <v>521783</v>
      </c>
      <c r="E92" s="472">
        <f t="shared" si="25"/>
        <v>0.15477425004123097</v>
      </c>
      <c r="F92" s="472">
        <f t="shared" si="19"/>
        <v>0.23694178026362334</v>
      </c>
      <c r="G92" s="465">
        <f>D92-'[8]Junijs'!D92</f>
        <v>241330</v>
      </c>
      <c r="H92" s="475" t="s">
        <v>482</v>
      </c>
      <c r="I92" s="476">
        <f>I93</f>
        <v>3371</v>
      </c>
      <c r="J92" s="476">
        <f>J93</f>
        <v>2202</v>
      </c>
      <c r="K92" s="476">
        <f>K93</f>
        <v>522</v>
      </c>
      <c r="L92" s="477">
        <f t="shared" si="10"/>
        <v>0.15485019282112134</v>
      </c>
      <c r="M92" s="477">
        <f t="shared" si="22"/>
        <v>0.23705722070844687</v>
      </c>
      <c r="N92" s="476">
        <f>K92-'[8]Junijs'!K92</f>
        <v>242</v>
      </c>
    </row>
    <row r="93" spans="1:104" s="54" customFormat="1" ht="12.75">
      <c r="A93" s="62" t="s">
        <v>78</v>
      </c>
      <c r="B93" s="71">
        <v>3371252</v>
      </c>
      <c r="C93" s="71">
        <v>2202157</v>
      </c>
      <c r="D93" s="71">
        <v>521783</v>
      </c>
      <c r="E93" s="472">
        <f t="shared" si="25"/>
        <v>0.15477425004123097</v>
      </c>
      <c r="F93" s="472">
        <f t="shared" si="19"/>
        <v>0.23694178026362334</v>
      </c>
      <c r="G93" s="465">
        <f>D93-'[8]Junijs'!D93</f>
        <v>241330</v>
      </c>
      <c r="H93" s="62" t="s">
        <v>78</v>
      </c>
      <c r="I93" s="71">
        <f>ROUND(B93/1000,0)</f>
        <v>3371</v>
      </c>
      <c r="J93" s="71">
        <f>ROUND(C93/1000,0)</f>
        <v>2202</v>
      </c>
      <c r="K93" s="71">
        <f>ROUND(D93/1000,0)</f>
        <v>522</v>
      </c>
      <c r="L93" s="478">
        <f t="shared" si="10"/>
        <v>0.15485019282112134</v>
      </c>
      <c r="M93" s="478">
        <f t="shared" si="22"/>
        <v>0.23705722070844687</v>
      </c>
      <c r="N93" s="71">
        <f>K93-'[8]Junijs'!K93</f>
        <v>242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4" s="103" customFormat="1" ht="12.75">
      <c r="A94" s="475" t="s">
        <v>488</v>
      </c>
      <c r="B94" s="476">
        <f>B95</f>
        <v>4282600</v>
      </c>
      <c r="C94" s="476">
        <f>C95</f>
        <v>965000</v>
      </c>
      <c r="D94" s="476">
        <f>D95</f>
        <v>471167</v>
      </c>
      <c r="E94" s="472">
        <f t="shared" si="25"/>
        <v>0.1100189137439873</v>
      </c>
      <c r="F94" s="472">
        <f t="shared" si="19"/>
        <v>0.4882559585492228</v>
      </c>
      <c r="G94" s="465">
        <f>D94-'[8]Junijs'!D94</f>
        <v>0</v>
      </c>
      <c r="H94" s="475" t="s">
        <v>488</v>
      </c>
      <c r="I94" s="476">
        <f>I95</f>
        <v>4283</v>
      </c>
      <c r="J94" s="476">
        <f>J95</f>
        <v>965</v>
      </c>
      <c r="K94" s="476">
        <f>K95</f>
        <v>471</v>
      </c>
      <c r="L94" s="477">
        <f t="shared" si="10"/>
        <v>0.10996964744338081</v>
      </c>
      <c r="M94" s="477">
        <f t="shared" si="22"/>
        <v>0.48808290155440415</v>
      </c>
      <c r="N94" s="476">
        <f>K94-'[8]Junijs'!K94</f>
        <v>0</v>
      </c>
    </row>
    <row r="95" spans="1:104" s="54" customFormat="1" ht="12.75">
      <c r="A95" s="62" t="s">
        <v>78</v>
      </c>
      <c r="B95" s="71">
        <v>4282600</v>
      </c>
      <c r="C95" s="71">
        <v>965000</v>
      </c>
      <c r="D95" s="71">
        <v>471167</v>
      </c>
      <c r="E95" s="472">
        <f t="shared" si="25"/>
        <v>0.1100189137439873</v>
      </c>
      <c r="F95" s="472">
        <f t="shared" si="19"/>
        <v>0.4882559585492228</v>
      </c>
      <c r="G95" s="465">
        <f>D95-'[8]Junijs'!D95</f>
        <v>0</v>
      </c>
      <c r="H95" s="62" t="s">
        <v>78</v>
      </c>
      <c r="I95" s="71">
        <f>ROUND(B95/1000,0)</f>
        <v>4283</v>
      </c>
      <c r="J95" s="71">
        <f>ROUND(C95/1000,0)</f>
        <v>965</v>
      </c>
      <c r="K95" s="71">
        <f>ROUND(D95/1000,0)</f>
        <v>471</v>
      </c>
      <c r="L95" s="478">
        <f t="shared" si="10"/>
        <v>0.10996964744338081</v>
      </c>
      <c r="M95" s="478">
        <f t="shared" si="22"/>
        <v>0.48808290155440415</v>
      </c>
      <c r="N95" s="71">
        <f>K95-'[8]Junijs'!K95</f>
        <v>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s="49" customFormat="1" ht="15" customHeight="1">
      <c r="A96" s="469" t="s">
        <v>489</v>
      </c>
      <c r="B96" s="482" t="s">
        <v>291</v>
      </c>
      <c r="C96" s="482" t="s">
        <v>291</v>
      </c>
      <c r="D96" s="465">
        <f>D97+D98</f>
        <v>4757130</v>
      </c>
      <c r="E96" s="483" t="s">
        <v>291</v>
      </c>
      <c r="F96" s="483" t="s">
        <v>291</v>
      </c>
      <c r="G96" s="465">
        <f>D96-'[8]Junijs'!D96</f>
        <v>169067</v>
      </c>
      <c r="H96" s="469" t="s">
        <v>489</v>
      </c>
      <c r="I96" s="482" t="s">
        <v>291</v>
      </c>
      <c r="J96" s="482" t="s">
        <v>291</v>
      </c>
      <c r="K96" s="453">
        <f>K97+K98</f>
        <v>4757</v>
      </c>
      <c r="L96" s="482" t="s">
        <v>291</v>
      </c>
      <c r="M96" s="482" t="s">
        <v>291</v>
      </c>
      <c r="N96" s="453">
        <f>K96-'[8]Junijs'!K96</f>
        <v>169</v>
      </c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</row>
    <row r="97" spans="1:104" s="54" customFormat="1" ht="12.75">
      <c r="A97" s="62" t="s">
        <v>77</v>
      </c>
      <c r="B97" s="71"/>
      <c r="C97" s="71"/>
      <c r="D97" s="71">
        <f>1386153+120753+171374+518521+452595</f>
        <v>2649396</v>
      </c>
      <c r="E97" s="472"/>
      <c r="F97" s="472"/>
      <c r="G97" s="465">
        <f>D97-'[8]Junijs'!D97</f>
        <v>0</v>
      </c>
      <c r="H97" s="62" t="s">
        <v>77</v>
      </c>
      <c r="I97" s="484" t="s">
        <v>291</v>
      </c>
      <c r="J97" s="484" t="s">
        <v>291</v>
      </c>
      <c r="K97" s="71">
        <f>ROUND(D97/1000,0)</f>
        <v>2649</v>
      </c>
      <c r="L97" s="484" t="s">
        <v>291</v>
      </c>
      <c r="M97" s="484" t="s">
        <v>291</v>
      </c>
      <c r="N97" s="71">
        <f>K97-'[8]Junijs'!K97</f>
        <v>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s="54" customFormat="1" ht="12.75">
      <c r="A98" s="62" t="s">
        <v>78</v>
      </c>
      <c r="B98" s="71"/>
      <c r="C98" s="71"/>
      <c r="D98" s="71">
        <f>1377380+161774+46108+353405+169067</f>
        <v>2107734</v>
      </c>
      <c r="E98" s="472"/>
      <c r="F98" s="472"/>
      <c r="G98" s="465">
        <f>D98-'[8]Junijs'!D98</f>
        <v>169067</v>
      </c>
      <c r="H98" s="62" t="s">
        <v>78</v>
      </c>
      <c r="I98" s="484" t="s">
        <v>291</v>
      </c>
      <c r="J98" s="484" t="s">
        <v>291</v>
      </c>
      <c r="K98" s="71">
        <f>ROUND(D98/1000,0)</f>
        <v>2108</v>
      </c>
      <c r="L98" s="484" t="s">
        <v>291</v>
      </c>
      <c r="M98" s="484" t="s">
        <v>291</v>
      </c>
      <c r="N98" s="71">
        <f>K98-'[8]Junijs'!K98</f>
        <v>169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7:14" ht="12.75">
      <c r="G99" s="2"/>
      <c r="H99" s="2"/>
      <c r="I99" s="2"/>
      <c r="J99" s="2"/>
      <c r="K99" s="2"/>
      <c r="L99" s="2"/>
      <c r="M99" s="2"/>
      <c r="N99" s="2"/>
    </row>
    <row r="100" spans="7:14" ht="12.75">
      <c r="G100" s="2"/>
      <c r="H100" s="2"/>
      <c r="I100" s="2"/>
      <c r="J100" s="2"/>
      <c r="K100" s="2"/>
      <c r="L100" s="2"/>
      <c r="M100" s="2"/>
      <c r="N100" s="2"/>
    </row>
    <row r="101" spans="7:14" ht="12.75"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62"/>
      <c r="B102" s="485"/>
      <c r="C102" s="486"/>
      <c r="D102" s="487"/>
      <c r="E102" s="487"/>
      <c r="F102" s="488"/>
      <c r="G102" s="2"/>
      <c r="H102" s="462"/>
      <c r="I102" s="485"/>
      <c r="J102" s="486"/>
      <c r="K102" s="487"/>
      <c r="L102" s="487"/>
      <c r="M102" s="488"/>
      <c r="N102" s="2"/>
    </row>
    <row r="104" spans="1:14" ht="12.75">
      <c r="A104" s="2"/>
      <c r="B104" s="489"/>
      <c r="C104" s="490"/>
      <c r="D104" s="490"/>
      <c r="E104" s="491"/>
      <c r="F104" s="492"/>
      <c r="G104" s="2"/>
      <c r="H104" s="2"/>
      <c r="M104" s="488"/>
      <c r="N104" s="2"/>
    </row>
    <row r="105" spans="1:14" ht="12.75">
      <c r="A105" s="2"/>
      <c r="B105" s="489"/>
      <c r="C105" s="490"/>
      <c r="D105" s="490"/>
      <c r="E105" s="491"/>
      <c r="F105" s="492"/>
      <c r="G105" s="2"/>
      <c r="H105" s="2"/>
      <c r="I105" s="489"/>
      <c r="J105" s="490"/>
      <c r="K105" s="490"/>
      <c r="L105" s="491"/>
      <c r="M105" s="492"/>
      <c r="N105" s="2"/>
    </row>
    <row r="106" spans="1:14" ht="12.75">
      <c r="A106" s="39"/>
      <c r="B106" s="493"/>
      <c r="C106" s="490"/>
      <c r="D106" s="78"/>
      <c r="E106" s="494"/>
      <c r="F106" s="495"/>
      <c r="G106" s="2"/>
      <c r="H106" s="766" t="s">
        <v>490</v>
      </c>
      <c r="I106" s="766"/>
      <c r="J106" s="766"/>
      <c r="K106" s="766"/>
      <c r="L106" s="766"/>
      <c r="M106" s="766"/>
      <c r="N106" s="766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I112" s="2"/>
      <c r="J112" s="2"/>
      <c r="K112" s="2"/>
      <c r="L112" s="2"/>
      <c r="M112" s="2"/>
      <c r="N112" s="2"/>
    </row>
    <row r="113" spans="7:14" ht="12.75">
      <c r="G113" s="2"/>
      <c r="I113" s="2"/>
      <c r="J113" s="2"/>
      <c r="K113" s="2"/>
      <c r="L113" s="2"/>
      <c r="M113" s="2"/>
      <c r="N113" s="2"/>
    </row>
    <row r="114" spans="7:14" ht="12.75"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I117" s="2"/>
      <c r="J117" s="2"/>
      <c r="K117" s="2"/>
      <c r="L117" s="2"/>
      <c r="M117" s="2"/>
      <c r="N117" s="2"/>
    </row>
    <row r="118" spans="7:14" ht="12.75">
      <c r="G118" s="2"/>
      <c r="I118" s="2"/>
      <c r="J118" s="2"/>
      <c r="K118" s="2"/>
      <c r="L118" s="2"/>
      <c r="M118" s="2"/>
      <c r="N118" s="2"/>
    </row>
    <row r="119" spans="7:14" ht="12.75">
      <c r="G119" s="2"/>
      <c r="I119" s="2"/>
      <c r="J119" s="2"/>
      <c r="K119" s="2"/>
      <c r="L119" s="2"/>
      <c r="M119" s="2"/>
      <c r="N119" s="2"/>
    </row>
    <row r="120" spans="7:14" ht="12.75">
      <c r="G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 t="s">
        <v>114</v>
      </c>
      <c r="I127" s="2"/>
      <c r="J127" s="2"/>
      <c r="K127" s="2"/>
      <c r="L127" s="2"/>
      <c r="M127" s="2"/>
      <c r="N127" s="2"/>
    </row>
    <row r="128" spans="7:14" ht="12.75">
      <c r="G128" s="2"/>
      <c r="H128" s="2" t="s">
        <v>491</v>
      </c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</sheetData>
  <mergeCells count="1">
    <mergeCell ref="H106:N106"/>
  </mergeCells>
  <printOptions/>
  <pageMargins left="0.75" right="0.75" top="1" bottom="1" header="0.5" footer="0.5"/>
  <pageSetup firstPageNumber="21" useFirstPageNumber="1" horizontalDpi="300" verticalDpi="300" orientation="portrait" paperSize="9" r:id="rId1"/>
  <headerFooter alignWithMargins="0">
    <oddFooter>&amp;R&amp;P</oddFooter>
  </headerFooter>
  <rowBreaks count="2" manualBreakCount="2">
    <brk id="44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N125"/>
  <sheetViews>
    <sheetView showGridLines="0" showZeros="0" workbookViewId="0" topLeftCell="A1">
      <selection activeCell="E13" sqref="E13"/>
    </sheetView>
  </sheetViews>
  <sheetFormatPr defaultColWidth="9.140625" defaultRowHeight="12.75"/>
  <cols>
    <col min="1" max="1" width="58.57421875" style="498" customWidth="1"/>
    <col min="2" max="2" width="9.8515625" style="498" customWidth="1"/>
    <col min="3" max="3" width="11.00390625" style="498" customWidth="1"/>
    <col min="4" max="4" width="10.421875" style="498" customWidth="1"/>
    <col min="5" max="5" width="11.140625" style="498" customWidth="1"/>
    <col min="6" max="16384" width="8.00390625" style="498" customWidth="1"/>
  </cols>
  <sheetData>
    <row r="1" spans="1:5" ht="12.75">
      <c r="A1" s="496" t="s">
        <v>163</v>
      </c>
      <c r="B1" s="496"/>
      <c r="C1" s="496"/>
      <c r="D1" s="496"/>
      <c r="E1" s="497" t="s">
        <v>492</v>
      </c>
    </row>
    <row r="2" spans="1:5" ht="12.75">
      <c r="A2" s="499"/>
      <c r="B2" s="499"/>
      <c r="C2" s="499"/>
      <c r="D2" s="499"/>
      <c r="E2" s="499"/>
    </row>
    <row r="3" spans="1:5" ht="18">
      <c r="A3" s="500" t="s">
        <v>493</v>
      </c>
      <c r="B3" s="501"/>
      <c r="C3" s="496"/>
      <c r="D3" s="496"/>
      <c r="E3" s="496"/>
    </row>
    <row r="4" spans="1:5" ht="18">
      <c r="A4" s="500" t="s">
        <v>494</v>
      </c>
      <c r="B4" s="501"/>
      <c r="C4" s="496"/>
      <c r="D4" s="496"/>
      <c r="E4" s="496"/>
    </row>
    <row r="5" spans="1:5" ht="18">
      <c r="A5" s="502"/>
      <c r="B5" s="502"/>
      <c r="C5" s="503"/>
      <c r="D5" s="504"/>
      <c r="E5" s="504" t="s">
        <v>479</v>
      </c>
    </row>
    <row r="6" spans="1:5" ht="35.25" customHeight="1">
      <c r="A6" s="505" t="s">
        <v>18</v>
      </c>
      <c r="B6" s="506" t="s">
        <v>495</v>
      </c>
      <c r="C6" s="506" t="s">
        <v>70</v>
      </c>
      <c r="D6" s="506" t="s">
        <v>166</v>
      </c>
      <c r="E6" s="507" t="s">
        <v>245</v>
      </c>
    </row>
    <row r="7" spans="1:5" s="517" customFormat="1" ht="12.75" customHeight="1">
      <c r="A7" s="508">
        <v>1</v>
      </c>
      <c r="B7" s="515">
        <v>2</v>
      </c>
      <c r="C7" s="515">
        <v>3</v>
      </c>
      <c r="D7" s="515">
        <v>4</v>
      </c>
      <c r="E7" s="516">
        <v>5</v>
      </c>
    </row>
    <row r="8" spans="1:5" ht="16.5" customHeight="1">
      <c r="A8" s="518" t="s">
        <v>496</v>
      </c>
      <c r="B8" s="519">
        <f>B16+B20</f>
        <v>422192</v>
      </c>
      <c r="C8" s="519">
        <f>C16+C20</f>
        <v>258953</v>
      </c>
      <c r="D8" s="520">
        <f aca="true" t="shared" si="0" ref="D8:D50">C8/B8*100</f>
        <v>61.33536400500247</v>
      </c>
      <c r="E8" s="521">
        <f>E16+E20</f>
        <v>32198</v>
      </c>
    </row>
    <row r="9" spans="1:5" ht="12">
      <c r="A9" s="522" t="s">
        <v>497</v>
      </c>
      <c r="B9" s="519">
        <f>SUM(B10:B13)</f>
        <v>404880</v>
      </c>
      <c r="C9" s="519">
        <f>SUM(C10:C13)</f>
        <v>244962</v>
      </c>
      <c r="D9" s="520">
        <f t="shared" si="0"/>
        <v>60.502371072910485</v>
      </c>
      <c r="E9" s="521">
        <f>SUM(E10:E13)</f>
        <v>30531</v>
      </c>
    </row>
    <row r="10" spans="1:5" ht="12">
      <c r="A10" s="522" t="s">
        <v>498</v>
      </c>
      <c r="B10" s="519">
        <v>223446</v>
      </c>
      <c r="C10" s="519">
        <v>133333</v>
      </c>
      <c r="D10" s="520">
        <f t="shared" si="0"/>
        <v>59.671240478683885</v>
      </c>
      <c r="E10" s="521">
        <v>18240</v>
      </c>
    </row>
    <row r="11" spans="1:5" ht="12">
      <c r="A11" s="522" t="s">
        <v>499</v>
      </c>
      <c r="B11" s="519">
        <v>18072</v>
      </c>
      <c r="C11" s="519">
        <v>10453</v>
      </c>
      <c r="D11" s="520">
        <f t="shared" si="0"/>
        <v>57.84085878707393</v>
      </c>
      <c r="E11" s="521">
        <v>1443</v>
      </c>
    </row>
    <row r="12" spans="1:5" ht="12">
      <c r="A12" s="522" t="s">
        <v>500</v>
      </c>
      <c r="B12" s="519">
        <v>24811</v>
      </c>
      <c r="C12" s="519">
        <v>14602</v>
      </c>
      <c r="D12" s="520">
        <f t="shared" si="0"/>
        <v>58.85292813671356</v>
      </c>
      <c r="E12" s="521">
        <v>1628</v>
      </c>
    </row>
    <row r="13" spans="1:5" ht="12">
      <c r="A13" s="522" t="s">
        <v>501</v>
      </c>
      <c r="B13" s="519">
        <v>138551</v>
      </c>
      <c r="C13" s="519">
        <v>86574</v>
      </c>
      <c r="D13" s="520">
        <f t="shared" si="0"/>
        <v>62.48529422378763</v>
      </c>
      <c r="E13" s="521">
        <v>9220</v>
      </c>
    </row>
    <row r="14" spans="1:5" ht="12">
      <c r="A14" s="523" t="s">
        <v>502</v>
      </c>
      <c r="B14" s="519">
        <v>8642</v>
      </c>
      <c r="C14" s="519">
        <v>4583</v>
      </c>
      <c r="D14" s="520">
        <f t="shared" si="0"/>
        <v>53.03170562369822</v>
      </c>
      <c r="E14" s="521">
        <v>586</v>
      </c>
    </row>
    <row r="15" spans="1:5" ht="22.5">
      <c r="A15" s="523" t="s">
        <v>503</v>
      </c>
      <c r="B15" s="519">
        <v>24575</v>
      </c>
      <c r="C15" s="519">
        <v>14235</v>
      </c>
      <c r="D15" s="520">
        <f t="shared" si="0"/>
        <v>57.92472024415056</v>
      </c>
      <c r="E15" s="521">
        <v>2056</v>
      </c>
    </row>
    <row r="16" spans="1:5" ht="19.5" customHeight="1">
      <c r="A16" s="518" t="s">
        <v>504</v>
      </c>
      <c r="B16" s="519">
        <f>B9-B14-B15</f>
        <v>371663</v>
      </c>
      <c r="C16" s="519">
        <f>C9-C14-C15</f>
        <v>226144</v>
      </c>
      <c r="D16" s="520">
        <f t="shared" si="0"/>
        <v>60.846519562076395</v>
      </c>
      <c r="E16" s="521">
        <f>E9-E14-E15</f>
        <v>27889</v>
      </c>
    </row>
    <row r="17" spans="1:5" ht="12">
      <c r="A17" s="522" t="s">
        <v>505</v>
      </c>
      <c r="B17" s="519">
        <f>SUM(B18:B19)</f>
        <v>50529</v>
      </c>
      <c r="C17" s="519">
        <f>SUM(C18:C19)</f>
        <v>32809</v>
      </c>
      <c r="D17" s="520">
        <f t="shared" si="0"/>
        <v>64.93102970571356</v>
      </c>
      <c r="E17" s="521">
        <f>SUM(E18:E19)</f>
        <v>4309</v>
      </c>
    </row>
    <row r="18" spans="1:5" ht="12">
      <c r="A18" s="522" t="s">
        <v>506</v>
      </c>
      <c r="B18" s="519">
        <v>46720</v>
      </c>
      <c r="C18" s="519">
        <v>29850</v>
      </c>
      <c r="D18" s="520">
        <f t="shared" si="0"/>
        <v>63.891267123287676</v>
      </c>
      <c r="E18" s="521">
        <v>4107</v>
      </c>
    </row>
    <row r="19" spans="1:5" ht="12">
      <c r="A19" s="522" t="s">
        <v>507</v>
      </c>
      <c r="B19" s="519">
        <v>3809</v>
      </c>
      <c r="C19" s="519">
        <v>2959</v>
      </c>
      <c r="D19" s="520">
        <f t="shared" si="0"/>
        <v>77.68443160934628</v>
      </c>
      <c r="E19" s="521">
        <v>202</v>
      </c>
    </row>
    <row r="20" spans="1:5" ht="23.25" customHeight="1">
      <c r="A20" s="518" t="s">
        <v>508</v>
      </c>
      <c r="B20" s="519">
        <v>50529</v>
      </c>
      <c r="C20" s="519">
        <v>32809</v>
      </c>
      <c r="D20" s="520">
        <f t="shared" si="0"/>
        <v>64.93102970571356</v>
      </c>
      <c r="E20" s="521">
        <v>4309</v>
      </c>
    </row>
    <row r="21" spans="1:5" ht="35.25" customHeight="1">
      <c r="A21" s="518" t="s">
        <v>509</v>
      </c>
      <c r="B21" s="519">
        <f>SUM(B22:B24)</f>
        <v>429205</v>
      </c>
      <c r="C21" s="519">
        <f>SUM(C22:C24)</f>
        <v>253951</v>
      </c>
      <c r="D21" s="520">
        <f t="shared" si="0"/>
        <v>59.16776365606179</v>
      </c>
      <c r="E21" s="521">
        <f>SUM(E22:E24)</f>
        <v>34595</v>
      </c>
    </row>
    <row r="22" spans="1:5" ht="34.5" customHeight="1">
      <c r="A22" s="524" t="s">
        <v>510</v>
      </c>
      <c r="B22" s="519">
        <f aca="true" t="shared" si="1" ref="B22:C24">B34+B43</f>
        <v>376755</v>
      </c>
      <c r="C22" s="519">
        <f t="shared" si="1"/>
        <v>212787</v>
      </c>
      <c r="D22" s="520">
        <f t="shared" si="0"/>
        <v>56.47887884699606</v>
      </c>
      <c r="E22" s="521">
        <f>E34+E43</f>
        <v>25241</v>
      </c>
    </row>
    <row r="23" spans="1:5" ht="30.75" customHeight="1">
      <c r="A23" s="524" t="s">
        <v>511</v>
      </c>
      <c r="B23" s="519">
        <f t="shared" si="1"/>
        <v>34281</v>
      </c>
      <c r="C23" s="519">
        <f t="shared" si="1"/>
        <v>18170</v>
      </c>
      <c r="D23" s="520">
        <f t="shared" si="0"/>
        <v>53.00312126250692</v>
      </c>
      <c r="E23" s="521">
        <f>E35+E44</f>
        <v>3175</v>
      </c>
    </row>
    <row r="24" spans="1:5" ht="31.5" customHeight="1">
      <c r="A24" s="524" t="s">
        <v>512</v>
      </c>
      <c r="B24" s="519">
        <f t="shared" si="1"/>
        <v>18169</v>
      </c>
      <c r="C24" s="519">
        <f t="shared" si="1"/>
        <v>22994</v>
      </c>
      <c r="D24" s="520">
        <f t="shared" si="0"/>
        <v>126.55622213660631</v>
      </c>
      <c r="E24" s="521">
        <f>E36+E45</f>
        <v>6179</v>
      </c>
    </row>
    <row r="25" spans="1:5" ht="59.25" customHeight="1">
      <c r="A25" s="518" t="s">
        <v>513</v>
      </c>
      <c r="B25" s="519">
        <f>B8-B21</f>
        <v>-7013</v>
      </c>
      <c r="C25" s="519">
        <f>C8-C21</f>
        <v>5002</v>
      </c>
      <c r="D25" s="520">
        <f t="shared" si="0"/>
        <v>-71.32468273206901</v>
      </c>
      <c r="E25" s="521">
        <f>E8-E21</f>
        <v>-2397</v>
      </c>
    </row>
    <row r="26" spans="1:5" ht="30" customHeight="1">
      <c r="A26" s="518" t="s">
        <v>514</v>
      </c>
      <c r="B26" s="519">
        <f>B38+B47</f>
        <v>-3132</v>
      </c>
      <c r="C26" s="519">
        <f>C38+C47</f>
        <v>2603</v>
      </c>
      <c r="D26" s="520">
        <f t="shared" si="0"/>
        <v>-83.10983397190293</v>
      </c>
      <c r="E26" s="521">
        <f>E38+E47</f>
        <v>923</v>
      </c>
    </row>
    <row r="27" spans="1:5" ht="38.25" customHeight="1">
      <c r="A27" s="518" t="s">
        <v>515</v>
      </c>
      <c r="B27" s="519">
        <f>B21+B26</f>
        <v>426073</v>
      </c>
      <c r="C27" s="519">
        <f>C21+C26</f>
        <v>256554</v>
      </c>
      <c r="D27" s="520">
        <f t="shared" si="0"/>
        <v>60.21362536466756</v>
      </c>
      <c r="E27" s="521">
        <f>E21+E26</f>
        <v>35518</v>
      </c>
    </row>
    <row r="28" spans="1:5" ht="41.25" customHeight="1">
      <c r="A28" s="518" t="s">
        <v>516</v>
      </c>
      <c r="B28" s="519">
        <f>B25-B26</f>
        <v>-3881</v>
      </c>
      <c r="C28" s="519">
        <f>C25-C26</f>
        <v>2399</v>
      </c>
      <c r="D28" s="520">
        <f t="shared" si="0"/>
        <v>-61.81396547281628</v>
      </c>
      <c r="E28" s="521">
        <f>E25-E26</f>
        <v>-3320</v>
      </c>
    </row>
    <row r="29" spans="1:5" ht="18.75" customHeight="1">
      <c r="A29" s="525" t="s">
        <v>517</v>
      </c>
      <c r="B29" s="519">
        <v>400535</v>
      </c>
      <c r="C29" s="519">
        <v>244938</v>
      </c>
      <c r="D29" s="520">
        <f t="shared" si="0"/>
        <v>61.152708252711996</v>
      </c>
      <c r="E29" s="521">
        <v>33016</v>
      </c>
    </row>
    <row r="30" spans="1:5" ht="12">
      <c r="A30" s="523" t="s">
        <v>518</v>
      </c>
      <c r="B30" s="519">
        <v>33217</v>
      </c>
      <c r="C30" s="519">
        <v>18818</v>
      </c>
      <c r="D30" s="520">
        <f t="shared" si="0"/>
        <v>56.65171448354758</v>
      </c>
      <c r="E30" s="521">
        <v>2642</v>
      </c>
    </row>
    <row r="31" spans="1:5" ht="17.25" customHeight="1">
      <c r="A31" s="525" t="s">
        <v>519</v>
      </c>
      <c r="B31" s="519">
        <f>B29-B30</f>
        <v>367318</v>
      </c>
      <c r="C31" s="519">
        <f>C29-C30</f>
        <v>226120</v>
      </c>
      <c r="D31" s="520">
        <f t="shared" si="0"/>
        <v>61.55973842828285</v>
      </c>
      <c r="E31" s="521">
        <f>E29-E30</f>
        <v>30374</v>
      </c>
    </row>
    <row r="32" spans="1:5" ht="15.75" customHeight="1">
      <c r="A32" s="526" t="s">
        <v>520</v>
      </c>
      <c r="B32" s="519">
        <v>365355</v>
      </c>
      <c r="C32" s="519">
        <v>211886</v>
      </c>
      <c r="D32" s="520">
        <f t="shared" si="0"/>
        <v>57.994553242736515</v>
      </c>
      <c r="E32" s="521">
        <v>24940</v>
      </c>
    </row>
    <row r="33" spans="1:5" ht="12">
      <c r="A33" s="523" t="s">
        <v>518</v>
      </c>
      <c r="B33" s="519">
        <v>33217</v>
      </c>
      <c r="C33" s="519">
        <v>18818</v>
      </c>
      <c r="D33" s="520">
        <f t="shared" si="0"/>
        <v>56.65171448354758</v>
      </c>
      <c r="E33" s="521">
        <v>2642</v>
      </c>
    </row>
    <row r="34" spans="1:5" ht="12">
      <c r="A34" s="526" t="s">
        <v>521</v>
      </c>
      <c r="B34" s="519">
        <f>B32-B33</f>
        <v>332138</v>
      </c>
      <c r="C34" s="519">
        <f>C32-C33</f>
        <v>193068</v>
      </c>
      <c r="D34" s="520">
        <f t="shared" si="0"/>
        <v>58.12885005630189</v>
      </c>
      <c r="E34" s="521">
        <f>E32-E33</f>
        <v>22298</v>
      </c>
    </row>
    <row r="35" spans="1:5" ht="12">
      <c r="A35" s="526" t="s">
        <v>522</v>
      </c>
      <c r="B35" s="519">
        <v>18624</v>
      </c>
      <c r="C35" s="519">
        <v>10440</v>
      </c>
      <c r="D35" s="520">
        <f t="shared" si="0"/>
        <v>56.05670103092783</v>
      </c>
      <c r="E35" s="521">
        <v>1929</v>
      </c>
    </row>
    <row r="36" spans="1:5" ht="12">
      <c r="A36" s="526" t="s">
        <v>523</v>
      </c>
      <c r="B36" s="519">
        <v>16556</v>
      </c>
      <c r="C36" s="519">
        <v>22612</v>
      </c>
      <c r="D36" s="520">
        <f t="shared" si="0"/>
        <v>136.5788837883547</v>
      </c>
      <c r="E36" s="521">
        <v>6147</v>
      </c>
    </row>
    <row r="37" spans="1:6" s="528" customFormat="1" ht="42" customHeight="1">
      <c r="A37" s="518" t="s">
        <v>524</v>
      </c>
      <c r="B37" s="519">
        <f>B16-B31</f>
        <v>4345</v>
      </c>
      <c r="C37" s="519">
        <f>C16-C31</f>
        <v>24</v>
      </c>
      <c r="D37" s="520">
        <f t="shared" si="0"/>
        <v>0.5523590333716916</v>
      </c>
      <c r="E37" s="521">
        <f>E16-E31</f>
        <v>-2485</v>
      </c>
      <c r="F37" s="527"/>
    </row>
    <row r="38" spans="1:6" s="528" customFormat="1" ht="27" customHeight="1">
      <c r="A38" s="525" t="s">
        <v>525</v>
      </c>
      <c r="B38" s="519">
        <f>B39-B40</f>
        <v>-525</v>
      </c>
      <c r="C38" s="519">
        <f>C39-C40</f>
        <v>77</v>
      </c>
      <c r="D38" s="520">
        <f t="shared" si="0"/>
        <v>-14.666666666666666</v>
      </c>
      <c r="E38" s="521">
        <f>E39-E40</f>
        <v>196</v>
      </c>
      <c r="F38" s="527"/>
    </row>
    <row r="39" spans="1:6" s="528" customFormat="1" ht="15.75" customHeight="1">
      <c r="A39" s="526" t="s">
        <v>526</v>
      </c>
      <c r="B39" s="519">
        <v>48</v>
      </c>
      <c r="C39" s="519">
        <v>413</v>
      </c>
      <c r="D39" s="520">
        <f t="shared" si="0"/>
        <v>860.4166666666666</v>
      </c>
      <c r="E39" s="521">
        <v>216</v>
      </c>
      <c r="F39" s="527"/>
    </row>
    <row r="40" spans="1:6" s="528" customFormat="1" ht="18" customHeight="1">
      <c r="A40" s="526" t="s">
        <v>527</v>
      </c>
      <c r="B40" s="519">
        <v>573</v>
      </c>
      <c r="C40" s="519">
        <v>336</v>
      </c>
      <c r="D40" s="520">
        <f t="shared" si="0"/>
        <v>58.63874345549738</v>
      </c>
      <c r="E40" s="521">
        <v>20</v>
      </c>
      <c r="F40" s="527"/>
    </row>
    <row r="41" spans="1:6" s="528" customFormat="1" ht="38.25" customHeight="1">
      <c r="A41" s="518" t="s">
        <v>528</v>
      </c>
      <c r="B41" s="519">
        <f>B37-B38</f>
        <v>4870</v>
      </c>
      <c r="C41" s="519">
        <f>C37-C38</f>
        <v>-53</v>
      </c>
      <c r="D41" s="520">
        <f t="shared" si="0"/>
        <v>-1.0882956878850103</v>
      </c>
      <c r="E41" s="521">
        <f>E37-E38</f>
        <v>-2681</v>
      </c>
      <c r="F41" s="527"/>
    </row>
    <row r="42" spans="1:6" s="528" customFormat="1" ht="23.25" customHeight="1">
      <c r="A42" s="525" t="s">
        <v>529</v>
      </c>
      <c r="B42" s="519">
        <f>SUM(B43:B45)</f>
        <v>61887</v>
      </c>
      <c r="C42" s="519">
        <f>SUM(C43:C45)</f>
        <v>27831</v>
      </c>
      <c r="D42" s="520">
        <f t="shared" si="0"/>
        <v>44.97067235445247</v>
      </c>
      <c r="E42" s="521">
        <f>SUM(E43:E45)</f>
        <v>4221</v>
      </c>
      <c r="F42" s="527"/>
    </row>
    <row r="43" spans="1:6" s="528" customFormat="1" ht="12">
      <c r="A43" s="526" t="s">
        <v>530</v>
      </c>
      <c r="B43" s="519">
        <v>44617</v>
      </c>
      <c r="C43" s="519">
        <v>19719</v>
      </c>
      <c r="D43" s="520">
        <f t="shared" si="0"/>
        <v>44.19615841495394</v>
      </c>
      <c r="E43" s="521">
        <v>2943</v>
      </c>
      <c r="F43" s="527"/>
    </row>
    <row r="44" spans="1:6" s="528" customFormat="1" ht="12">
      <c r="A44" s="526" t="s">
        <v>531</v>
      </c>
      <c r="B44" s="519">
        <v>15657</v>
      </c>
      <c r="C44" s="519">
        <v>7730</v>
      </c>
      <c r="D44" s="520">
        <f t="shared" si="0"/>
        <v>49.37088842051479</v>
      </c>
      <c r="E44" s="521">
        <v>1246</v>
      </c>
      <c r="F44" s="527"/>
    </row>
    <row r="45" spans="1:6" s="528" customFormat="1" ht="12">
      <c r="A45" s="526" t="s">
        <v>532</v>
      </c>
      <c r="B45" s="519">
        <v>1613</v>
      </c>
      <c r="C45" s="519">
        <v>382</v>
      </c>
      <c r="D45" s="520">
        <f t="shared" si="0"/>
        <v>23.682579045257285</v>
      </c>
      <c r="E45" s="521">
        <v>32</v>
      </c>
      <c r="F45" s="527"/>
    </row>
    <row r="46" spans="1:14" s="528" customFormat="1" ht="46.5" customHeight="1">
      <c r="A46" s="518" t="s">
        <v>533</v>
      </c>
      <c r="B46" s="519">
        <f>SUM(B20-B42)</f>
        <v>-11358</v>
      </c>
      <c r="C46" s="519">
        <f>SUM(C20-C42)</f>
        <v>4978</v>
      </c>
      <c r="D46" s="520">
        <f t="shared" si="0"/>
        <v>-43.828138756823385</v>
      </c>
      <c r="E46" s="521">
        <f>SUM(E20-E42)</f>
        <v>88</v>
      </c>
      <c r="F46" s="527"/>
      <c r="N46" s="499"/>
    </row>
    <row r="47" spans="1:6" s="528" customFormat="1" ht="18.75" customHeight="1">
      <c r="A47" s="525" t="s">
        <v>534</v>
      </c>
      <c r="B47" s="519">
        <f>B48-B49</f>
        <v>-2607</v>
      </c>
      <c r="C47" s="519">
        <f>C48-C49</f>
        <v>2526</v>
      </c>
      <c r="D47" s="520">
        <f t="shared" si="0"/>
        <v>-96.89298043728424</v>
      </c>
      <c r="E47" s="521">
        <f>E48-E49</f>
        <v>727</v>
      </c>
      <c r="F47" s="527"/>
    </row>
    <row r="48" spans="1:6" s="528" customFormat="1" ht="12">
      <c r="A48" s="526" t="s">
        <v>535</v>
      </c>
      <c r="B48" s="519">
        <v>3601</v>
      </c>
      <c r="C48" s="519">
        <v>3313</v>
      </c>
      <c r="D48" s="520">
        <f t="shared" si="0"/>
        <v>92.0022216051097</v>
      </c>
      <c r="E48" s="521">
        <v>892</v>
      </c>
      <c r="F48" s="527"/>
    </row>
    <row r="49" spans="1:6" s="528" customFormat="1" ht="12">
      <c r="A49" s="526" t="s">
        <v>536</v>
      </c>
      <c r="B49" s="519">
        <v>6208</v>
      </c>
      <c r="C49" s="519">
        <v>787</v>
      </c>
      <c r="D49" s="520">
        <f t="shared" si="0"/>
        <v>12.677190721649485</v>
      </c>
      <c r="E49" s="521">
        <v>165</v>
      </c>
      <c r="F49" s="527"/>
    </row>
    <row r="50" spans="1:6" s="528" customFormat="1" ht="46.5" customHeight="1">
      <c r="A50" s="529" t="s">
        <v>537</v>
      </c>
      <c r="B50" s="530">
        <f>SUM(B46-B47)</f>
        <v>-8751</v>
      </c>
      <c r="C50" s="530">
        <f>SUM(C46-C47)</f>
        <v>2452</v>
      </c>
      <c r="D50" s="531">
        <f t="shared" si="0"/>
        <v>-28.019654896583248</v>
      </c>
      <c r="E50" s="532">
        <f>SUM(E46-E47)</f>
        <v>-639</v>
      </c>
      <c r="F50" s="527"/>
    </row>
    <row r="51" s="499" customFormat="1" ht="12.75">
      <c r="A51" s="533"/>
    </row>
    <row r="52" s="499" customFormat="1" ht="12.75">
      <c r="A52" s="533"/>
    </row>
    <row r="53" s="499" customFormat="1" ht="12.75">
      <c r="A53" s="533"/>
    </row>
    <row r="54" s="499" customFormat="1" ht="12.75">
      <c r="A54" s="533"/>
    </row>
    <row r="55" s="499" customFormat="1" ht="12.75">
      <c r="A55" s="533"/>
    </row>
    <row r="56" s="499" customFormat="1" ht="12.75">
      <c r="A56" s="533"/>
    </row>
    <row r="57" spans="1:4" s="499" customFormat="1" ht="12.75">
      <c r="A57" s="534" t="s">
        <v>538</v>
      </c>
      <c r="B57" s="535"/>
      <c r="C57" s="536"/>
      <c r="D57" s="536" t="s">
        <v>539</v>
      </c>
    </row>
    <row r="58" s="499" customFormat="1" ht="12.75">
      <c r="A58" s="533"/>
    </row>
    <row r="59" s="499" customFormat="1" ht="12.75">
      <c r="A59" s="533"/>
    </row>
    <row r="60" s="499" customFormat="1" ht="12.75">
      <c r="A60" s="533"/>
    </row>
    <row r="61" s="499" customFormat="1" ht="12.75">
      <c r="A61" s="533"/>
    </row>
    <row r="62" s="499" customFormat="1" ht="12.75">
      <c r="A62" s="533"/>
    </row>
    <row r="63" s="499" customFormat="1" ht="12.75">
      <c r="A63" s="533"/>
    </row>
    <row r="64" s="499" customFormat="1" ht="12.75">
      <c r="A64" s="533"/>
    </row>
    <row r="65" s="499" customFormat="1" ht="12.75">
      <c r="A65" s="537" t="s">
        <v>540</v>
      </c>
    </row>
    <row r="66" s="499" customFormat="1" ht="12.75">
      <c r="A66" s="537" t="s">
        <v>541</v>
      </c>
    </row>
    <row r="67" s="499" customFormat="1" ht="12.75">
      <c r="A67" s="533"/>
    </row>
    <row r="68" s="499" customFormat="1" ht="12.75">
      <c r="A68" s="533"/>
    </row>
    <row r="69" s="499" customFormat="1" ht="12.75">
      <c r="A69" s="537"/>
    </row>
    <row r="72" s="499" customFormat="1" ht="12.75">
      <c r="A72" s="533"/>
    </row>
    <row r="73" s="499" customFormat="1" ht="12.75">
      <c r="A73" s="533"/>
    </row>
    <row r="74" s="499" customFormat="1" ht="12.75">
      <c r="A74" s="533"/>
    </row>
    <row r="75" s="499" customFormat="1" ht="12.75">
      <c r="A75" s="533"/>
    </row>
    <row r="76" s="499" customFormat="1" ht="12.75">
      <c r="A76" s="533"/>
    </row>
    <row r="77" s="499" customFormat="1" ht="12.75">
      <c r="A77" s="533"/>
    </row>
    <row r="78" s="499" customFormat="1" ht="12.75">
      <c r="A78" s="533"/>
    </row>
    <row r="79" ht="11.25">
      <c r="A79" s="538"/>
    </row>
    <row r="80" ht="11.25">
      <c r="A80" s="538"/>
    </row>
    <row r="81" ht="11.25">
      <c r="A81" s="538"/>
    </row>
    <row r="82" ht="11.25">
      <c r="A82" s="538"/>
    </row>
    <row r="83" ht="11.25">
      <c r="A83" s="538"/>
    </row>
    <row r="84" ht="11.25">
      <c r="A84" s="538"/>
    </row>
    <row r="85" ht="11.25">
      <c r="A85" s="538"/>
    </row>
    <row r="86" ht="11.25">
      <c r="A86" s="538"/>
    </row>
    <row r="87" ht="11.25">
      <c r="A87" s="538"/>
    </row>
    <row r="88" ht="11.25">
      <c r="A88" s="538"/>
    </row>
    <row r="89" ht="11.25">
      <c r="A89" s="538"/>
    </row>
    <row r="90" ht="11.25">
      <c r="A90" s="538"/>
    </row>
    <row r="91" ht="11.25">
      <c r="A91" s="538"/>
    </row>
    <row r="92" ht="11.25">
      <c r="A92" s="538"/>
    </row>
    <row r="93" ht="11.25">
      <c r="A93" s="538"/>
    </row>
    <row r="94" ht="11.25">
      <c r="A94" s="538"/>
    </row>
    <row r="95" ht="11.25">
      <c r="A95" s="538"/>
    </row>
    <row r="96" ht="11.25">
      <c r="A96" s="538"/>
    </row>
    <row r="97" ht="11.25">
      <c r="A97" s="538"/>
    </row>
    <row r="98" ht="11.25">
      <c r="A98" s="538"/>
    </row>
    <row r="99" ht="11.25">
      <c r="A99" s="538"/>
    </row>
    <row r="100" ht="11.25">
      <c r="A100" s="538"/>
    </row>
    <row r="101" ht="11.25">
      <c r="A101" s="538"/>
    </row>
    <row r="102" ht="11.25">
      <c r="A102" s="538"/>
    </row>
    <row r="103" ht="11.25">
      <c r="A103" s="538"/>
    </row>
    <row r="104" ht="11.25">
      <c r="A104" s="538"/>
    </row>
    <row r="105" ht="11.25">
      <c r="A105" s="538"/>
    </row>
    <row r="106" ht="11.25">
      <c r="A106" s="538"/>
    </row>
    <row r="107" ht="11.25">
      <c r="A107" s="538"/>
    </row>
    <row r="108" ht="11.25">
      <c r="A108" s="538"/>
    </row>
    <row r="109" ht="11.25">
      <c r="A109" s="538"/>
    </row>
    <row r="110" ht="11.25">
      <c r="A110" s="538"/>
    </row>
    <row r="111" ht="11.25">
      <c r="A111" s="538"/>
    </row>
    <row r="112" ht="11.25">
      <c r="A112" s="538"/>
    </row>
    <row r="113" ht="11.25">
      <c r="A113" s="538"/>
    </row>
    <row r="114" ht="11.25">
      <c r="A114" s="538"/>
    </row>
    <row r="115" ht="11.25">
      <c r="A115" s="538"/>
    </row>
    <row r="116" ht="11.25">
      <c r="A116" s="538"/>
    </row>
    <row r="117" ht="11.25">
      <c r="A117" s="538"/>
    </row>
    <row r="118" ht="11.25">
      <c r="A118" s="538"/>
    </row>
    <row r="119" ht="11.25">
      <c r="A119" s="538"/>
    </row>
    <row r="120" ht="11.25">
      <c r="A120" s="538"/>
    </row>
    <row r="121" ht="11.25">
      <c r="A121" s="538"/>
    </row>
    <row r="122" ht="11.25">
      <c r="A122" s="538"/>
    </row>
    <row r="123" ht="11.25">
      <c r="A123" s="538"/>
    </row>
    <row r="124" ht="11.25">
      <c r="A124" s="538"/>
    </row>
    <row r="125" ht="11.25">
      <c r="A125" s="538"/>
    </row>
  </sheetData>
  <printOptions/>
  <pageMargins left="0.31" right="0.15748031496062992" top="0.984251968503937" bottom="0.984251968503937" header="0.25" footer="0"/>
  <pageSetup horizontalDpi="600" verticalDpi="600" orientation="portrait" paperSize="9" r:id="rId1"/>
  <headerFooter alignWithMargins="0">
    <oddFooter>&amp;L&amp;"RimHelvetica,Roman"&amp;8Valsts kase / Pārskatu departaments
Sastādīšanas datums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4">
      <selection activeCell="E13" sqref="E13"/>
    </sheetView>
  </sheetViews>
  <sheetFormatPr defaultColWidth="9.140625" defaultRowHeight="12.75"/>
  <cols>
    <col min="1" max="1" width="37.57421875" style="545" customWidth="1"/>
    <col min="2" max="5" width="12.7109375" style="498" customWidth="1"/>
    <col min="6" max="16384" width="7.421875" style="498" customWidth="1"/>
  </cols>
  <sheetData>
    <row r="1" spans="1:5" ht="12.75">
      <c r="A1" s="539" t="s">
        <v>542</v>
      </c>
      <c r="B1" s="539"/>
      <c r="C1" s="496"/>
      <c r="D1" s="496"/>
      <c r="E1" s="496" t="s">
        <v>543</v>
      </c>
    </row>
    <row r="2" spans="1:7" s="496" customFormat="1" ht="12.75">
      <c r="A2" s="539"/>
      <c r="B2" s="539"/>
      <c r="E2" s="540"/>
      <c r="G2" s="539" t="s">
        <v>544</v>
      </c>
    </row>
    <row r="4" spans="1:6" s="544" customFormat="1" ht="15.75">
      <c r="A4" s="541" t="s">
        <v>545</v>
      </c>
      <c r="B4" s="542"/>
      <c r="C4" s="543"/>
      <c r="D4" s="543"/>
      <c r="E4" s="543"/>
      <c r="F4" s="543"/>
    </row>
    <row r="5" spans="1:6" s="544" customFormat="1" ht="15.75">
      <c r="A5" s="541" t="s">
        <v>546</v>
      </c>
      <c r="B5" s="542"/>
      <c r="C5" s="543"/>
      <c r="D5" s="543"/>
      <c r="E5" s="543"/>
      <c r="F5" s="543"/>
    </row>
    <row r="6" spans="2:4" ht="11.25">
      <c r="B6" s="546"/>
      <c r="C6" s="546"/>
      <c r="D6" s="546"/>
    </row>
    <row r="7" spans="3:9" ht="12.75" customHeight="1">
      <c r="C7" s="546"/>
      <c r="D7" s="546"/>
      <c r="E7" s="546"/>
      <c r="F7" s="547"/>
      <c r="G7" s="547"/>
      <c r="H7" s="547"/>
      <c r="I7" s="547"/>
    </row>
    <row r="8" spans="1:5" s="547" customFormat="1" ht="12.75" customHeight="1">
      <c r="A8" s="548"/>
      <c r="B8" s="548"/>
      <c r="C8" s="549"/>
      <c r="D8" s="549"/>
      <c r="E8" s="549" t="s">
        <v>67</v>
      </c>
    </row>
    <row r="9" spans="1:8" s="547" customFormat="1" ht="40.5" customHeight="1">
      <c r="A9" s="550" t="s">
        <v>18</v>
      </c>
      <c r="B9" s="551" t="s">
        <v>495</v>
      </c>
      <c r="C9" s="551" t="s">
        <v>70</v>
      </c>
      <c r="D9" s="551" t="s">
        <v>547</v>
      </c>
      <c r="E9" s="552" t="s">
        <v>245</v>
      </c>
      <c r="F9" s="499"/>
      <c r="G9" s="499"/>
      <c r="H9" s="499"/>
    </row>
    <row r="10" spans="1:8" s="547" customFormat="1" ht="12.75">
      <c r="A10" s="553" t="s">
        <v>548</v>
      </c>
      <c r="B10" s="554">
        <v>2</v>
      </c>
      <c r="C10" s="554">
        <v>3</v>
      </c>
      <c r="D10" s="554">
        <v>4</v>
      </c>
      <c r="E10" s="555" t="s">
        <v>549</v>
      </c>
      <c r="F10" s="499"/>
      <c r="G10" s="499"/>
      <c r="H10" s="499"/>
    </row>
    <row r="11" spans="1:6" s="499" customFormat="1" ht="12.75">
      <c r="A11" s="556" t="s">
        <v>550</v>
      </c>
      <c r="B11" s="557">
        <f>B12+B29</f>
        <v>404880</v>
      </c>
      <c r="C11" s="557">
        <f>C12+C29</f>
        <v>244962</v>
      </c>
      <c r="D11" s="558">
        <f aca="true" t="shared" si="0" ref="D11:D34">C11/B11*100</f>
        <v>60.502371072910485</v>
      </c>
      <c r="E11" s="559">
        <f>E12+E29</f>
        <v>30531</v>
      </c>
      <c r="F11" s="498"/>
    </row>
    <row r="12" spans="1:7" ht="25.5">
      <c r="A12" s="560" t="s">
        <v>551</v>
      </c>
      <c r="B12" s="557">
        <f>B13+B21+B28</f>
        <v>266329</v>
      </c>
      <c r="C12" s="557">
        <f>C13+C21+C28</f>
        <v>158388</v>
      </c>
      <c r="D12" s="558">
        <f t="shared" si="0"/>
        <v>59.47080490671313</v>
      </c>
      <c r="E12" s="559">
        <f>E13+E21+E28</f>
        <v>21311</v>
      </c>
      <c r="F12" s="499"/>
      <c r="G12" s="499"/>
    </row>
    <row r="13" spans="1:5" s="499" customFormat="1" ht="12.75">
      <c r="A13" s="561" t="s">
        <v>552</v>
      </c>
      <c r="B13" s="557">
        <f>B14+B19</f>
        <v>223446</v>
      </c>
      <c r="C13" s="557">
        <f>C14+C19</f>
        <v>133333</v>
      </c>
      <c r="D13" s="558">
        <f t="shared" si="0"/>
        <v>59.671240478683885</v>
      </c>
      <c r="E13" s="559">
        <f>E14+E19</f>
        <v>18240</v>
      </c>
    </row>
    <row r="14" spans="1:6" s="499" customFormat="1" ht="12.75">
      <c r="A14" s="562" t="s">
        <v>127</v>
      </c>
      <c r="B14" s="557">
        <f>SUM(B15:B18)</f>
        <v>222451</v>
      </c>
      <c r="C14" s="557">
        <f>SUM(C15:C18)</f>
        <v>132653</v>
      </c>
      <c r="D14" s="558">
        <f t="shared" si="0"/>
        <v>59.63245838409358</v>
      </c>
      <c r="E14" s="559">
        <f>SUM(E15:E18)</f>
        <v>18141</v>
      </c>
      <c r="F14" s="498"/>
    </row>
    <row r="15" spans="1:6" s="547" customFormat="1" ht="12">
      <c r="A15" s="563" t="s">
        <v>553</v>
      </c>
      <c r="B15" s="557">
        <v>186615</v>
      </c>
      <c r="C15" s="557">
        <v>106986</v>
      </c>
      <c r="D15" s="558">
        <f t="shared" si="0"/>
        <v>57.329796640141474</v>
      </c>
      <c r="E15" s="559">
        <v>15379</v>
      </c>
      <c r="F15" s="498"/>
    </row>
    <row r="16" spans="1:6" s="547" customFormat="1" ht="12">
      <c r="A16" s="563" t="s">
        <v>554</v>
      </c>
      <c r="B16" s="557">
        <v>30526</v>
      </c>
      <c r="C16" s="557">
        <v>19769</v>
      </c>
      <c r="D16" s="558">
        <f t="shared" si="0"/>
        <v>64.76118718469502</v>
      </c>
      <c r="E16" s="559">
        <v>2201</v>
      </c>
      <c r="F16" s="498"/>
    </row>
    <row r="17" spans="1:6" s="547" customFormat="1" ht="12">
      <c r="A17" s="563" t="s">
        <v>555</v>
      </c>
      <c r="B17" s="557">
        <v>4426</v>
      </c>
      <c r="C17" s="557">
        <v>5197</v>
      </c>
      <c r="D17" s="558">
        <f t="shared" si="0"/>
        <v>117.41979213737008</v>
      </c>
      <c r="E17" s="559">
        <v>515</v>
      </c>
      <c r="F17" s="498"/>
    </row>
    <row r="18" spans="1:6" s="547" customFormat="1" ht="12">
      <c r="A18" s="563" t="s">
        <v>556</v>
      </c>
      <c r="B18" s="557">
        <v>884</v>
      </c>
      <c r="C18" s="557">
        <v>701</v>
      </c>
      <c r="D18" s="558">
        <f t="shared" si="0"/>
        <v>79.29864253393664</v>
      </c>
      <c r="E18" s="559">
        <v>46</v>
      </c>
      <c r="F18" s="498"/>
    </row>
    <row r="19" spans="1:6" s="499" customFormat="1" ht="12.75">
      <c r="A19" s="562" t="s">
        <v>129</v>
      </c>
      <c r="B19" s="557">
        <f>SUM(B20)</f>
        <v>995</v>
      </c>
      <c r="C19" s="557">
        <f>SUM(C20)</f>
        <v>680</v>
      </c>
      <c r="D19" s="558">
        <f t="shared" si="0"/>
        <v>68.34170854271356</v>
      </c>
      <c r="E19" s="559">
        <f>SUM(E20)</f>
        <v>99</v>
      </c>
      <c r="F19" s="498"/>
    </row>
    <row r="20" spans="1:5" ht="12">
      <c r="A20" s="563" t="s">
        <v>557</v>
      </c>
      <c r="B20" s="557">
        <v>995</v>
      </c>
      <c r="C20" s="557">
        <v>680</v>
      </c>
      <c r="D20" s="558">
        <f t="shared" si="0"/>
        <v>68.34170854271356</v>
      </c>
      <c r="E20" s="559">
        <v>99</v>
      </c>
    </row>
    <row r="21" spans="1:5" s="499" customFormat="1" ht="12.75">
      <c r="A21" s="561" t="s">
        <v>558</v>
      </c>
      <c r="B21" s="557">
        <f>SUM(B22:B27)</f>
        <v>18072</v>
      </c>
      <c r="C21" s="557">
        <f>SUM(C22:C27)</f>
        <v>10453</v>
      </c>
      <c r="D21" s="558">
        <f t="shared" si="0"/>
        <v>57.84085878707393</v>
      </c>
      <c r="E21" s="559">
        <f>SUM(E22:E27)</f>
        <v>1443</v>
      </c>
    </row>
    <row r="22" spans="1:7" ht="12.75">
      <c r="A22" s="563" t="s">
        <v>559</v>
      </c>
      <c r="B22" s="557">
        <v>380</v>
      </c>
      <c r="C22" s="557">
        <v>214</v>
      </c>
      <c r="D22" s="558">
        <f t="shared" si="0"/>
        <v>56.315789473684205</v>
      </c>
      <c r="E22" s="559">
        <v>35</v>
      </c>
      <c r="F22" s="499"/>
      <c r="G22" s="499"/>
    </row>
    <row r="23" spans="1:7" ht="12.75">
      <c r="A23" s="563" t="s">
        <v>560</v>
      </c>
      <c r="B23" s="557">
        <v>3262</v>
      </c>
      <c r="C23" s="557">
        <v>1991</v>
      </c>
      <c r="D23" s="558">
        <f t="shared" si="0"/>
        <v>61.036174126302875</v>
      </c>
      <c r="E23" s="559">
        <v>288</v>
      </c>
      <c r="F23" s="499"/>
      <c r="G23" s="499"/>
    </row>
    <row r="24" spans="1:7" ht="12.75">
      <c r="A24" s="563" t="s">
        <v>561</v>
      </c>
      <c r="B24" s="557">
        <v>244</v>
      </c>
      <c r="C24" s="557">
        <v>141</v>
      </c>
      <c r="D24" s="558">
        <f t="shared" si="0"/>
        <v>57.786885245901644</v>
      </c>
      <c r="E24" s="559">
        <v>20</v>
      </c>
      <c r="F24" s="499"/>
      <c r="G24" s="499"/>
    </row>
    <row r="25" spans="1:7" ht="12.75">
      <c r="A25" s="563" t="s">
        <v>562</v>
      </c>
      <c r="B25" s="557">
        <v>13568</v>
      </c>
      <c r="C25" s="557">
        <v>7827</v>
      </c>
      <c r="D25" s="558">
        <f t="shared" si="0"/>
        <v>57.68720518867924</v>
      </c>
      <c r="E25" s="559">
        <v>1026</v>
      </c>
      <c r="F25" s="499"/>
      <c r="G25" s="499"/>
    </row>
    <row r="26" spans="1:7" ht="22.5">
      <c r="A26" s="564" t="s">
        <v>563</v>
      </c>
      <c r="B26" s="557">
        <v>481</v>
      </c>
      <c r="C26" s="557">
        <v>235</v>
      </c>
      <c r="D26" s="558">
        <f t="shared" si="0"/>
        <v>48.85654885654886</v>
      </c>
      <c r="E26" s="559">
        <v>44</v>
      </c>
      <c r="F26" s="499"/>
      <c r="G26" s="499"/>
    </row>
    <row r="27" spans="1:7" ht="12.75">
      <c r="A27" s="563" t="s">
        <v>564</v>
      </c>
      <c r="B27" s="557">
        <v>137</v>
      </c>
      <c r="C27" s="557">
        <v>45</v>
      </c>
      <c r="D27" s="558">
        <f t="shared" si="0"/>
        <v>32.846715328467155</v>
      </c>
      <c r="E27" s="559">
        <v>30</v>
      </c>
      <c r="F27" s="499"/>
      <c r="G27" s="499"/>
    </row>
    <row r="28" spans="1:7" ht="38.25">
      <c r="A28" s="565" t="s">
        <v>565</v>
      </c>
      <c r="B28" s="557">
        <v>24811</v>
      </c>
      <c r="C28" s="557">
        <v>14602</v>
      </c>
      <c r="D28" s="558">
        <f t="shared" si="0"/>
        <v>58.85292813671356</v>
      </c>
      <c r="E28" s="559">
        <v>1628</v>
      </c>
      <c r="F28" s="499"/>
      <c r="G28" s="499"/>
    </row>
    <row r="29" spans="1:7" ht="12.75">
      <c r="A29" s="561" t="s">
        <v>566</v>
      </c>
      <c r="B29" s="557">
        <f>B30+B34+B39+B43</f>
        <v>138551</v>
      </c>
      <c r="C29" s="557">
        <f>C30+C34+C39+C43</f>
        <v>86574</v>
      </c>
      <c r="D29" s="558">
        <f t="shared" si="0"/>
        <v>62.48529422378763</v>
      </c>
      <c r="E29" s="559">
        <f>E30+E34+E39+E43</f>
        <v>9220</v>
      </c>
      <c r="F29" s="499"/>
      <c r="G29" s="499"/>
    </row>
    <row r="30" spans="1:7" ht="12.75">
      <c r="A30" s="566" t="s">
        <v>567</v>
      </c>
      <c r="B30" s="557">
        <f>SUM(B31:B33)</f>
        <v>8240</v>
      </c>
      <c r="C30" s="557">
        <f>SUM(C31:C33)</f>
        <v>4604</v>
      </c>
      <c r="D30" s="558">
        <f t="shared" si="0"/>
        <v>55.87378640776699</v>
      </c>
      <c r="E30" s="559">
        <f>SUM(E31:E33)</f>
        <v>550</v>
      </c>
      <c r="F30" s="499"/>
      <c r="G30" s="499"/>
    </row>
    <row r="31" spans="1:7" ht="22.5">
      <c r="A31" s="564" t="s">
        <v>568</v>
      </c>
      <c r="B31" s="557">
        <v>6503</v>
      </c>
      <c r="C31" s="557">
        <v>3524</v>
      </c>
      <c r="D31" s="558">
        <f t="shared" si="0"/>
        <v>54.190373673689066</v>
      </c>
      <c r="E31" s="559">
        <v>432</v>
      </c>
      <c r="F31" s="499"/>
      <c r="G31" s="499"/>
    </row>
    <row r="32" spans="1:7" ht="22.5">
      <c r="A32" s="564" t="s">
        <v>569</v>
      </c>
      <c r="B32" s="557">
        <v>389</v>
      </c>
      <c r="C32" s="557">
        <v>203</v>
      </c>
      <c r="D32" s="558">
        <f t="shared" si="0"/>
        <v>52.185089974293064</v>
      </c>
      <c r="E32" s="559">
        <v>43</v>
      </c>
      <c r="F32" s="499"/>
      <c r="G32" s="499"/>
    </row>
    <row r="33" spans="1:7" ht="12.75">
      <c r="A33" s="563" t="s">
        <v>570</v>
      </c>
      <c r="B33" s="557">
        <v>1348</v>
      </c>
      <c r="C33" s="557">
        <v>877</v>
      </c>
      <c r="D33" s="558">
        <f t="shared" si="0"/>
        <v>65.0593471810089</v>
      </c>
      <c r="E33" s="559">
        <v>75</v>
      </c>
      <c r="F33" s="499"/>
      <c r="G33" s="499"/>
    </row>
    <row r="34" spans="1:7" ht="12.75">
      <c r="A34" s="566" t="s">
        <v>571</v>
      </c>
      <c r="B34" s="557">
        <f>B35+B37+B38</f>
        <v>97975</v>
      </c>
      <c r="C34" s="557">
        <f>C35+C37+C38</f>
        <v>62914</v>
      </c>
      <c r="D34" s="558">
        <f t="shared" si="0"/>
        <v>64.2143403929574</v>
      </c>
      <c r="E34" s="559">
        <f>E35+E37+E38</f>
        <v>5985</v>
      </c>
      <c r="F34" s="499"/>
      <c r="G34" s="499"/>
    </row>
    <row r="35" spans="1:7" ht="12.75">
      <c r="A35" s="563" t="s">
        <v>572</v>
      </c>
      <c r="B35" s="557">
        <v>0</v>
      </c>
      <c r="C35" s="557">
        <v>13</v>
      </c>
      <c r="D35" s="558"/>
      <c r="E35" s="559">
        <v>0</v>
      </c>
      <c r="F35" s="499"/>
      <c r="G35" s="499"/>
    </row>
    <row r="36" spans="1:5" ht="12">
      <c r="A36" s="563" t="s">
        <v>573</v>
      </c>
      <c r="B36" s="557">
        <v>0</v>
      </c>
      <c r="C36" s="557">
        <v>0</v>
      </c>
      <c r="D36" s="558"/>
      <c r="E36" s="559">
        <v>0</v>
      </c>
    </row>
    <row r="37" spans="1:5" ht="12">
      <c r="A37" s="563" t="s">
        <v>574</v>
      </c>
      <c r="B37" s="557">
        <v>97975</v>
      </c>
      <c r="C37" s="557">
        <v>62901</v>
      </c>
      <c r="D37" s="558">
        <f>C37/B37*100</f>
        <v>64.20107170196478</v>
      </c>
      <c r="E37" s="559">
        <v>5985</v>
      </c>
    </row>
    <row r="38" spans="1:5" ht="33.75">
      <c r="A38" s="567" t="s">
        <v>575</v>
      </c>
      <c r="B38" s="557">
        <v>0</v>
      </c>
      <c r="C38" s="557">
        <v>0</v>
      </c>
      <c r="D38" s="558"/>
      <c r="E38" s="559">
        <v>0</v>
      </c>
    </row>
    <row r="39" spans="1:5" ht="22.5">
      <c r="A39" s="568" t="s">
        <v>576</v>
      </c>
      <c r="B39" s="557">
        <f>SUM(B40:B42)</f>
        <v>31478</v>
      </c>
      <c r="C39" s="557">
        <f>SUM(C40:C42)</f>
        <v>18362</v>
      </c>
      <c r="D39" s="558">
        <f>C39/B39*100</f>
        <v>58.332803863015435</v>
      </c>
      <c r="E39" s="559">
        <f>SUM(E40:E42)</f>
        <v>2623</v>
      </c>
    </row>
    <row r="40" spans="1:5" ht="12">
      <c r="A40" s="563" t="s">
        <v>572</v>
      </c>
      <c r="B40" s="557">
        <v>31478</v>
      </c>
      <c r="C40" s="557">
        <v>18362</v>
      </c>
      <c r="D40" s="558">
        <f>C40/B40*100</f>
        <v>58.332803863015435</v>
      </c>
      <c r="E40" s="559">
        <v>2623</v>
      </c>
    </row>
    <row r="41" spans="1:5" ht="12">
      <c r="A41" s="563" t="s">
        <v>577</v>
      </c>
      <c r="B41" s="557">
        <v>0</v>
      </c>
      <c r="C41" s="557">
        <v>0</v>
      </c>
      <c r="D41" s="558"/>
      <c r="E41" s="559">
        <v>0</v>
      </c>
    </row>
    <row r="42" spans="1:5" ht="22.5">
      <c r="A42" s="564" t="s">
        <v>578</v>
      </c>
      <c r="B42" s="557">
        <v>0</v>
      </c>
      <c r="C42" s="557">
        <v>0</v>
      </c>
      <c r="D42" s="558"/>
      <c r="E42" s="559">
        <v>0</v>
      </c>
    </row>
    <row r="43" spans="1:5" ht="12">
      <c r="A43" s="569" t="s">
        <v>579</v>
      </c>
      <c r="B43" s="570">
        <v>858</v>
      </c>
      <c r="C43" s="570">
        <v>694</v>
      </c>
      <c r="D43" s="571">
        <f>C43/B43*100</f>
        <v>80.88578088578089</v>
      </c>
      <c r="E43" s="572">
        <v>62</v>
      </c>
    </row>
    <row r="44" spans="1:5" ht="12">
      <c r="A44" s="573" t="s">
        <v>580</v>
      </c>
      <c r="B44" s="574"/>
      <c r="C44" s="574"/>
      <c r="D44" s="575"/>
      <c r="E44" s="576"/>
    </row>
    <row r="45" spans="1:5" ht="12.75">
      <c r="A45" s="573"/>
      <c r="B45" s="577"/>
      <c r="C45" s="577"/>
      <c r="D45" s="577"/>
      <c r="E45" s="576"/>
    </row>
    <row r="46" spans="1:5" ht="12.75">
      <c r="A46" s="573"/>
      <c r="B46" s="577"/>
      <c r="C46" s="577"/>
      <c r="D46" s="577"/>
      <c r="E46" s="576"/>
    </row>
    <row r="47" spans="1:5" ht="12.75">
      <c r="A47" s="573"/>
      <c r="B47" s="577"/>
      <c r="C47" s="577"/>
      <c r="D47" s="577"/>
      <c r="E47" s="576"/>
    </row>
    <row r="48" spans="1:4" s="575" customFormat="1" ht="12" hidden="1">
      <c r="A48" s="578"/>
      <c r="B48" s="576"/>
      <c r="C48" s="574"/>
      <c r="D48" s="574"/>
    </row>
    <row r="49" spans="1:5" s="581" customFormat="1" ht="15.75" customHeight="1">
      <c r="A49" s="579" t="s">
        <v>581</v>
      </c>
      <c r="B49" s="579"/>
      <c r="C49" s="580"/>
      <c r="D49" s="580"/>
      <c r="E49" s="536" t="s">
        <v>539</v>
      </c>
    </row>
    <row r="50" spans="1:4" ht="12.75">
      <c r="A50" s="577"/>
      <c r="B50" s="575"/>
      <c r="C50" s="575"/>
      <c r="D50" s="575"/>
    </row>
    <row r="51" spans="1:4" s="575" customFormat="1" ht="13.5" customHeight="1">
      <c r="A51" s="582"/>
      <c r="C51" s="583"/>
      <c r="D51" s="498"/>
    </row>
    <row r="52" spans="1:4" ht="12.75">
      <c r="A52" s="577"/>
      <c r="B52" s="575"/>
      <c r="C52" s="575"/>
      <c r="D52" s="575"/>
    </row>
    <row r="53" spans="1:4" s="575" customFormat="1" ht="11.25">
      <c r="A53" s="582"/>
      <c r="C53" s="583"/>
      <c r="D53" s="498"/>
    </row>
    <row r="54" spans="1:4" ht="13.5" customHeight="1">
      <c r="A54" s="577"/>
      <c r="B54" s="575"/>
      <c r="C54" s="575"/>
      <c r="D54" s="575"/>
    </row>
    <row r="55" spans="1:3" ht="12">
      <c r="A55" s="579"/>
      <c r="B55" s="584"/>
      <c r="C55" s="583"/>
    </row>
    <row r="56" spans="1:3" ht="12">
      <c r="A56" s="579"/>
      <c r="B56" s="584"/>
      <c r="C56" s="547"/>
    </row>
    <row r="58" spans="1:3" ht="12">
      <c r="A58" s="585"/>
      <c r="B58" s="584"/>
      <c r="C58" s="581"/>
    </row>
    <row r="59" spans="1:3" ht="12">
      <c r="A59" s="579"/>
      <c r="B59" s="584"/>
      <c r="C59" s="581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15.08.00.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23">
      <selection activeCell="E13" sqref="E13"/>
    </sheetView>
  </sheetViews>
  <sheetFormatPr defaultColWidth="9.140625" defaultRowHeight="12.75"/>
  <cols>
    <col min="1" max="1" width="41.00390625" style="545" customWidth="1"/>
    <col min="2" max="2" width="13.140625" style="607" customWidth="1"/>
    <col min="3" max="5" width="13.140625" style="498" customWidth="1"/>
    <col min="6" max="6" width="11.28125" style="498" customWidth="1"/>
    <col min="7" max="16384" width="8.00390625" style="498" customWidth="1"/>
  </cols>
  <sheetData>
    <row r="1" spans="1:6" ht="12.75">
      <c r="A1" s="539" t="s">
        <v>582</v>
      </c>
      <c r="B1" s="539"/>
      <c r="C1" s="496"/>
      <c r="D1" s="496"/>
      <c r="E1" s="496" t="s">
        <v>583</v>
      </c>
      <c r="F1" s="577" t="s">
        <v>584</v>
      </c>
    </row>
    <row r="2" spans="1:6" ht="12.75">
      <c r="A2" s="539"/>
      <c r="B2" s="539"/>
      <c r="C2" s="496"/>
      <c r="D2" s="496"/>
      <c r="E2" s="496"/>
      <c r="F2" s="577"/>
    </row>
    <row r="3" spans="1:6" ht="12.75">
      <c r="A3" s="539"/>
      <c r="B3" s="539"/>
      <c r="C3" s="496"/>
      <c r="D3" s="496"/>
      <c r="E3" s="496"/>
      <c r="F3" s="577"/>
    </row>
    <row r="4" spans="1:5" s="547" customFormat="1" ht="11.25">
      <c r="A4" s="586"/>
      <c r="B4" s="586"/>
      <c r="C4" s="587"/>
      <c r="D4" s="587"/>
      <c r="E4" s="587"/>
    </row>
    <row r="5" spans="1:6" ht="15.75">
      <c r="A5" s="541" t="s">
        <v>585</v>
      </c>
      <c r="B5" s="542"/>
      <c r="C5" s="543"/>
      <c r="D5" s="543"/>
      <c r="E5" s="543"/>
      <c r="F5" s="543"/>
    </row>
    <row r="6" spans="1:6" s="544" customFormat="1" ht="15.75">
      <c r="A6" s="541" t="s">
        <v>586</v>
      </c>
      <c r="B6" s="542"/>
      <c r="C6" s="543"/>
      <c r="D6" s="543"/>
      <c r="E6" s="543"/>
      <c r="F6" s="543"/>
    </row>
    <row r="7" spans="1:6" s="544" customFormat="1" ht="15">
      <c r="A7" s="545"/>
      <c r="B7" s="588"/>
      <c r="C7" s="546"/>
      <c r="D7" s="546"/>
      <c r="E7" s="546"/>
      <c r="F7" s="498"/>
    </row>
    <row r="8" spans="1:6" ht="11.25">
      <c r="A8" s="585"/>
      <c r="B8" s="589"/>
      <c r="C8" s="547"/>
      <c r="D8" s="587" t="s">
        <v>587</v>
      </c>
      <c r="E8" s="587"/>
      <c r="F8" s="590"/>
    </row>
    <row r="9" spans="1:5" s="547" customFormat="1" ht="43.5" customHeight="1">
      <c r="A9" s="591" t="s">
        <v>18</v>
      </c>
      <c r="B9" s="592" t="s">
        <v>495</v>
      </c>
      <c r="C9" s="592" t="s">
        <v>70</v>
      </c>
      <c r="D9" s="592" t="s">
        <v>547</v>
      </c>
      <c r="E9" s="552" t="s">
        <v>245</v>
      </c>
    </row>
    <row r="10" spans="1:5" ht="11.25">
      <c r="A10" s="553" t="s">
        <v>548</v>
      </c>
      <c r="B10" s="554" t="s">
        <v>588</v>
      </c>
      <c r="C10" s="554" t="s">
        <v>589</v>
      </c>
      <c r="D10" s="554" t="s">
        <v>590</v>
      </c>
      <c r="E10" s="555" t="s">
        <v>549</v>
      </c>
    </row>
    <row r="11" spans="1:5" ht="12.75">
      <c r="A11" s="560" t="s">
        <v>591</v>
      </c>
      <c r="B11" s="557">
        <f>B12+B30</f>
        <v>400010</v>
      </c>
      <c r="C11" s="557">
        <f>C12+C30</f>
        <v>245015</v>
      </c>
      <c r="D11" s="558">
        <f aca="true" t="shared" si="0" ref="D11:D36">C11/B11*100</f>
        <v>61.25221869453264</v>
      </c>
      <c r="E11" s="559">
        <v>33211</v>
      </c>
    </row>
    <row r="12" spans="1:5" s="499" customFormat="1" ht="12.75">
      <c r="A12" s="593" t="s">
        <v>592</v>
      </c>
      <c r="B12" s="557">
        <f>SUM(B13:B29)</f>
        <v>366793</v>
      </c>
      <c r="C12" s="557">
        <f>SUM(C13:C29)</f>
        <v>226197</v>
      </c>
      <c r="D12" s="558">
        <f t="shared" si="0"/>
        <v>61.66884318948289</v>
      </c>
      <c r="E12" s="559">
        <f>SUM(E13:E29)</f>
        <v>30570</v>
      </c>
    </row>
    <row r="13" spans="1:5" s="581" customFormat="1" ht="12">
      <c r="A13" s="564" t="s">
        <v>593</v>
      </c>
      <c r="B13" s="557">
        <v>42318</v>
      </c>
      <c r="C13" s="557">
        <v>24478</v>
      </c>
      <c r="D13" s="558">
        <f t="shared" si="0"/>
        <v>57.84299825133513</v>
      </c>
      <c r="E13" s="559">
        <v>3569</v>
      </c>
    </row>
    <row r="14" spans="1:5" s="581" customFormat="1" ht="12">
      <c r="A14" s="564" t="s">
        <v>444</v>
      </c>
      <c r="B14" s="557">
        <v>130</v>
      </c>
      <c r="C14" s="557">
        <v>68</v>
      </c>
      <c r="D14" s="558">
        <f t="shared" si="0"/>
        <v>52.307692307692314</v>
      </c>
      <c r="E14" s="559">
        <v>7</v>
      </c>
    </row>
    <row r="15" spans="1:5" s="581" customFormat="1" ht="12">
      <c r="A15" s="564" t="s">
        <v>445</v>
      </c>
      <c r="B15" s="557">
        <v>5953</v>
      </c>
      <c r="C15" s="557">
        <v>3348</v>
      </c>
      <c r="D15" s="558">
        <f t="shared" si="0"/>
        <v>56.2405509826978</v>
      </c>
      <c r="E15" s="559">
        <v>431</v>
      </c>
    </row>
    <row r="16" spans="1:9" s="581" customFormat="1" ht="12">
      <c r="A16" s="564" t="s">
        <v>446</v>
      </c>
      <c r="B16" s="557">
        <v>189315</v>
      </c>
      <c r="C16" s="557">
        <v>115217</v>
      </c>
      <c r="D16" s="558">
        <f t="shared" si="0"/>
        <v>60.85994242400232</v>
      </c>
      <c r="E16" s="559">
        <v>12794</v>
      </c>
      <c r="I16" s="581" t="s">
        <v>584</v>
      </c>
    </row>
    <row r="17" spans="1:5" s="581" customFormat="1" ht="12">
      <c r="A17" s="564" t="s">
        <v>447</v>
      </c>
      <c r="B17" s="557">
        <v>4790</v>
      </c>
      <c r="C17" s="557">
        <v>3207</v>
      </c>
      <c r="D17" s="558">
        <f t="shared" si="0"/>
        <v>66.95198329853862</v>
      </c>
      <c r="E17" s="559">
        <v>581</v>
      </c>
    </row>
    <row r="18" spans="1:5" s="581" customFormat="1" ht="12">
      <c r="A18" s="564" t="s">
        <v>448</v>
      </c>
      <c r="B18" s="557">
        <v>33652</v>
      </c>
      <c r="C18" s="557">
        <v>18663</v>
      </c>
      <c r="D18" s="558">
        <f t="shared" si="0"/>
        <v>55.45881374063949</v>
      </c>
      <c r="E18" s="559">
        <v>2271</v>
      </c>
    </row>
    <row r="19" spans="1:5" s="581" customFormat="1" ht="12">
      <c r="A19" s="564" t="s">
        <v>449</v>
      </c>
      <c r="B19" s="557">
        <v>51329</v>
      </c>
      <c r="C19" s="557">
        <v>34288</v>
      </c>
      <c r="D19" s="558">
        <f t="shared" si="0"/>
        <v>66.800444193341</v>
      </c>
      <c r="E19" s="559">
        <v>6885</v>
      </c>
    </row>
    <row r="20" spans="1:5" s="581" customFormat="1" ht="12">
      <c r="A20" s="564" t="s">
        <v>594</v>
      </c>
      <c r="B20" s="557">
        <v>23219</v>
      </c>
      <c r="C20" s="557">
        <v>17107</v>
      </c>
      <c r="D20" s="558">
        <f t="shared" si="0"/>
        <v>73.67673026400793</v>
      </c>
      <c r="E20" s="559">
        <v>2072</v>
      </c>
    </row>
    <row r="21" spans="1:5" s="581" customFormat="1" ht="12">
      <c r="A21" s="564" t="s">
        <v>451</v>
      </c>
      <c r="B21" s="557">
        <v>1327</v>
      </c>
      <c r="C21" s="557">
        <v>729</v>
      </c>
      <c r="D21" s="558">
        <f t="shared" si="0"/>
        <v>54.935945742275806</v>
      </c>
      <c r="E21" s="559">
        <v>138</v>
      </c>
    </row>
    <row r="22" spans="1:5" s="581" customFormat="1" ht="12">
      <c r="A22" s="564" t="s">
        <v>595</v>
      </c>
      <c r="B22" s="557">
        <v>1537</v>
      </c>
      <c r="C22" s="557">
        <v>729</v>
      </c>
      <c r="D22" s="558">
        <f t="shared" si="0"/>
        <v>47.430058555627845</v>
      </c>
      <c r="E22" s="559">
        <v>75</v>
      </c>
    </row>
    <row r="23" spans="1:5" s="581" customFormat="1" ht="22.5">
      <c r="A23" s="564" t="s">
        <v>453</v>
      </c>
      <c r="B23" s="557">
        <v>27</v>
      </c>
      <c r="C23" s="557">
        <v>34</v>
      </c>
      <c r="D23" s="558">
        <f t="shared" si="0"/>
        <v>125.92592592592592</v>
      </c>
      <c r="E23" s="559">
        <v>7</v>
      </c>
    </row>
    <row r="24" spans="1:5" s="581" customFormat="1" ht="12">
      <c r="A24" s="564" t="s">
        <v>596</v>
      </c>
      <c r="B24" s="557">
        <v>4569</v>
      </c>
      <c r="C24" s="557">
        <v>5021</v>
      </c>
      <c r="D24" s="558">
        <f t="shared" si="0"/>
        <v>109.89275552637339</v>
      </c>
      <c r="E24" s="559">
        <v>936</v>
      </c>
    </row>
    <row r="25" spans="1:5" s="581" customFormat="1" ht="12">
      <c r="A25" s="564" t="s">
        <v>455</v>
      </c>
      <c r="B25" s="557">
        <v>1098</v>
      </c>
      <c r="C25" s="557">
        <v>597</v>
      </c>
      <c r="D25" s="558">
        <f t="shared" si="0"/>
        <v>54.37158469945356</v>
      </c>
      <c r="E25" s="559">
        <v>90</v>
      </c>
    </row>
    <row r="26" spans="1:5" s="581" customFormat="1" ht="12">
      <c r="A26" s="564" t="s">
        <v>597</v>
      </c>
      <c r="B26" s="557">
        <v>3122</v>
      </c>
      <c r="C26" s="557">
        <v>2003</v>
      </c>
      <c r="D26" s="558">
        <f t="shared" si="0"/>
        <v>64.15759128763612</v>
      </c>
      <c r="E26" s="559">
        <v>414</v>
      </c>
    </row>
    <row r="27" spans="1:5" s="581" customFormat="1" ht="12">
      <c r="A27" s="564" t="s">
        <v>598</v>
      </c>
      <c r="B27" s="557">
        <v>640</v>
      </c>
      <c r="C27" s="557">
        <v>129</v>
      </c>
      <c r="D27" s="558">
        <f t="shared" si="0"/>
        <v>20.15625</v>
      </c>
      <c r="E27" s="559">
        <v>8</v>
      </c>
    </row>
    <row r="28" spans="1:5" s="581" customFormat="1" ht="12">
      <c r="A28" s="564" t="s">
        <v>599</v>
      </c>
      <c r="B28" s="557">
        <v>3085</v>
      </c>
      <c r="C28" s="557">
        <v>4</v>
      </c>
      <c r="D28" s="558">
        <f t="shared" si="0"/>
        <v>0.12965964343598055</v>
      </c>
      <c r="E28" s="594">
        <v>-1</v>
      </c>
    </row>
    <row r="29" spans="1:5" s="581" customFormat="1" ht="12">
      <c r="A29" s="564" t="s">
        <v>600</v>
      </c>
      <c r="B29" s="557">
        <v>682</v>
      </c>
      <c r="C29" s="557">
        <v>575</v>
      </c>
      <c r="D29" s="558">
        <f t="shared" si="0"/>
        <v>84.3108504398827</v>
      </c>
      <c r="E29" s="559">
        <v>293</v>
      </c>
    </row>
    <row r="30" spans="1:5" s="581" customFormat="1" ht="12.75" customHeight="1">
      <c r="A30" s="593" t="s">
        <v>601</v>
      </c>
      <c r="B30" s="557">
        <f>B31+B35</f>
        <v>33217</v>
      </c>
      <c r="C30" s="557">
        <f>C31+C35</f>
        <v>18818</v>
      </c>
      <c r="D30" s="558">
        <f t="shared" si="0"/>
        <v>56.65171448354758</v>
      </c>
      <c r="E30" s="559">
        <f>E31+E35</f>
        <v>2642</v>
      </c>
    </row>
    <row r="31" spans="1:5" s="581" customFormat="1" ht="12">
      <c r="A31" s="595" t="s">
        <v>567</v>
      </c>
      <c r="B31" s="557">
        <f>SUM(B32:B34)</f>
        <v>8642</v>
      </c>
      <c r="C31" s="557">
        <f>SUM(C32:C34)</f>
        <v>4583</v>
      </c>
      <c r="D31" s="558">
        <f t="shared" si="0"/>
        <v>53.03170562369822</v>
      </c>
      <c r="E31" s="559">
        <f>SUM(E32:E34)</f>
        <v>586</v>
      </c>
    </row>
    <row r="32" spans="1:5" s="581" customFormat="1" ht="22.5">
      <c r="A32" s="596" t="s">
        <v>602</v>
      </c>
      <c r="B32" s="557">
        <v>7484</v>
      </c>
      <c r="C32" s="557">
        <v>3961</v>
      </c>
      <c r="D32" s="558">
        <f t="shared" si="0"/>
        <v>52.926242650988776</v>
      </c>
      <c r="E32" s="559">
        <v>497</v>
      </c>
    </row>
    <row r="33" spans="1:5" s="581" customFormat="1" ht="22.5">
      <c r="A33" s="596" t="s">
        <v>603</v>
      </c>
      <c r="B33" s="557">
        <v>563</v>
      </c>
      <c r="C33" s="557">
        <v>278</v>
      </c>
      <c r="D33" s="558">
        <f t="shared" si="0"/>
        <v>49.37833037300178</v>
      </c>
      <c r="E33" s="559">
        <v>52</v>
      </c>
    </row>
    <row r="34" spans="1:5" s="581" customFormat="1" ht="12">
      <c r="A34" s="596" t="s">
        <v>570</v>
      </c>
      <c r="B34" s="557">
        <v>595</v>
      </c>
      <c r="C34" s="557">
        <v>344</v>
      </c>
      <c r="D34" s="558">
        <f t="shared" si="0"/>
        <v>57.815126050420176</v>
      </c>
      <c r="E34" s="559">
        <v>37</v>
      </c>
    </row>
    <row r="35" spans="1:5" s="581" customFormat="1" ht="22.5">
      <c r="A35" s="595" t="s">
        <v>604</v>
      </c>
      <c r="B35" s="557">
        <f>SUM(B36)</f>
        <v>24575</v>
      </c>
      <c r="C35" s="557">
        <f>SUM(C36)</f>
        <v>14235</v>
      </c>
      <c r="D35" s="558">
        <f t="shared" si="0"/>
        <v>57.92472024415056</v>
      </c>
      <c r="E35" s="559">
        <f>SUM(E36)</f>
        <v>2056</v>
      </c>
    </row>
    <row r="36" spans="1:5" s="581" customFormat="1" ht="12">
      <c r="A36" s="597" t="s">
        <v>605</v>
      </c>
      <c r="B36" s="557">
        <v>24575</v>
      </c>
      <c r="C36" s="557">
        <v>14235</v>
      </c>
      <c r="D36" s="558">
        <f t="shared" si="0"/>
        <v>57.92472024415056</v>
      </c>
      <c r="E36" s="594">
        <v>2056</v>
      </c>
    </row>
    <row r="37" spans="1:5" s="534" customFormat="1" ht="12">
      <c r="A37" s="598" t="s">
        <v>606</v>
      </c>
      <c r="B37" s="599"/>
      <c r="C37" s="600"/>
      <c r="D37" s="571"/>
      <c r="E37" s="572"/>
    </row>
    <row r="38" spans="1:5" s="534" customFormat="1" ht="12">
      <c r="A38" s="601"/>
      <c r="B38" s="602"/>
      <c r="C38" s="602"/>
      <c r="D38" s="602"/>
      <c r="E38" s="602"/>
    </row>
    <row r="39" spans="1:8" s="581" customFormat="1" ht="12">
      <c r="A39" s="547" t="s">
        <v>607</v>
      </c>
      <c r="C39" s="603"/>
      <c r="E39" s="498"/>
      <c r="F39" s="498"/>
      <c r="G39" s="498"/>
      <c r="H39" s="498"/>
    </row>
    <row r="40" spans="1:8" s="581" customFormat="1" ht="12">
      <c r="A40" s="604"/>
      <c r="B40" s="605"/>
      <c r="C40" s="603"/>
      <c r="D40" s="602"/>
      <c r="E40" s="498"/>
      <c r="F40" s="498"/>
      <c r="G40" s="498"/>
      <c r="H40" s="498"/>
    </row>
    <row r="41" spans="1:8" s="581" customFormat="1" ht="12">
      <c r="A41" s="604"/>
      <c r="B41" s="605"/>
      <c r="C41" s="603"/>
      <c r="D41" s="602"/>
      <c r="E41" s="498"/>
      <c r="F41" s="498"/>
      <c r="G41" s="498"/>
      <c r="H41" s="498"/>
    </row>
    <row r="42" spans="1:8" s="581" customFormat="1" ht="12">
      <c r="A42" s="579"/>
      <c r="B42" s="603"/>
      <c r="C42" s="602"/>
      <c r="E42" s="498"/>
      <c r="F42" s="498"/>
      <c r="G42" s="498"/>
      <c r="H42" s="498"/>
    </row>
    <row r="43" spans="1:8" s="581" customFormat="1" ht="12">
      <c r="A43" s="579" t="s">
        <v>581</v>
      </c>
      <c r="B43" s="579"/>
      <c r="C43" s="580"/>
      <c r="D43" s="580"/>
      <c r="E43" s="536" t="s">
        <v>539</v>
      </c>
      <c r="F43" s="498"/>
      <c r="G43" s="498"/>
      <c r="H43" s="498"/>
    </row>
    <row r="44" spans="1:8" s="581" customFormat="1" ht="12">
      <c r="A44" s="579"/>
      <c r="B44" s="579"/>
      <c r="C44" s="606"/>
      <c r="D44" s="606"/>
      <c r="E44" s="498"/>
      <c r="F44" s="498"/>
      <c r="G44" s="498"/>
      <c r="H44" s="498"/>
    </row>
    <row r="45" spans="1:8" s="581" customFormat="1" ht="12">
      <c r="A45" s="579"/>
      <c r="B45" s="603"/>
      <c r="E45" s="498"/>
      <c r="F45" s="498"/>
      <c r="G45" s="498"/>
      <c r="H45" s="498"/>
    </row>
    <row r="46" spans="1:8" s="581" customFormat="1" ht="12">
      <c r="A46" s="579"/>
      <c r="B46" s="579"/>
      <c r="C46" s="606"/>
      <c r="D46" s="606"/>
      <c r="E46" s="498"/>
      <c r="F46" s="498"/>
      <c r="G46" s="498"/>
      <c r="H46" s="498"/>
    </row>
    <row r="47" spans="1:8" s="581" customFormat="1" ht="12">
      <c r="A47" s="579"/>
      <c r="B47" s="579"/>
      <c r="C47" s="606"/>
      <c r="E47" s="498"/>
      <c r="F47" s="498"/>
      <c r="G47" s="498"/>
      <c r="H47" s="498"/>
    </row>
    <row r="48" spans="1:4" ht="12">
      <c r="A48" s="579"/>
      <c r="B48" s="545"/>
      <c r="C48" s="584"/>
      <c r="D48" s="606"/>
    </row>
    <row r="66" spans="5:8" ht="11.25">
      <c r="E66" s="498">
        <v>0</v>
      </c>
      <c r="F66" s="498">
        <v>0</v>
      </c>
      <c r="G66" s="498">
        <v>0</v>
      </c>
      <c r="H66" s="498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15.08.00.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6">
      <selection activeCell="E13" sqref="E13"/>
    </sheetView>
  </sheetViews>
  <sheetFormatPr defaultColWidth="9.140625" defaultRowHeight="12.75"/>
  <cols>
    <col min="1" max="1" width="40.57421875" style="545" customWidth="1"/>
    <col min="2" max="5" width="12.28125" style="498" customWidth="1"/>
    <col min="6" max="16384" width="8.00390625" style="498" customWidth="1"/>
  </cols>
  <sheetData>
    <row r="1" spans="1:5" s="547" customFormat="1" ht="12.75">
      <c r="A1" s="539" t="s">
        <v>608</v>
      </c>
      <c r="B1" s="496"/>
      <c r="C1" s="496"/>
      <c r="D1" s="496"/>
      <c r="E1" s="496" t="s">
        <v>609</v>
      </c>
    </row>
    <row r="2" spans="1:6" s="499" customFormat="1" ht="12.75">
      <c r="A2" s="539"/>
      <c r="B2" s="496"/>
      <c r="C2" s="496"/>
      <c r="D2" s="496"/>
      <c r="E2" s="608"/>
      <c r="F2" s="577"/>
    </row>
    <row r="3" spans="1:5" s="547" customFormat="1" ht="11.25">
      <c r="A3" s="585"/>
      <c r="D3" s="587"/>
      <c r="E3" s="587"/>
    </row>
    <row r="4" spans="1:5" s="544" customFormat="1" ht="31.5">
      <c r="A4" s="541" t="s">
        <v>610</v>
      </c>
      <c r="B4" s="543"/>
      <c r="C4" s="543"/>
      <c r="D4" s="543"/>
      <c r="E4" s="543"/>
    </row>
    <row r="5" spans="1:5" s="544" customFormat="1" ht="15.75">
      <c r="A5" s="541" t="s">
        <v>586</v>
      </c>
      <c r="B5" s="543"/>
      <c r="C5" s="543"/>
      <c r="D5" s="543"/>
      <c r="E5" s="543"/>
    </row>
    <row r="6" spans="1:4" ht="15">
      <c r="A6" s="609"/>
      <c r="B6" s="546"/>
      <c r="C6" s="546"/>
      <c r="D6" s="546"/>
    </row>
    <row r="7" spans="1:4" ht="15">
      <c r="A7" s="609"/>
      <c r="B7" s="546"/>
      <c r="C7" s="546"/>
      <c r="D7" s="546"/>
    </row>
    <row r="8" spans="1:5" s="547" customFormat="1" ht="11.25" customHeight="1">
      <c r="A8" s="585"/>
      <c r="C8" s="587" t="s">
        <v>611</v>
      </c>
      <c r="D8" s="587"/>
      <c r="E8" s="587"/>
    </row>
    <row r="9" spans="1:5" s="547" customFormat="1" ht="33.75" customHeight="1">
      <c r="A9" s="591" t="s">
        <v>18</v>
      </c>
      <c r="B9" s="592" t="s">
        <v>495</v>
      </c>
      <c r="C9" s="592" t="s">
        <v>70</v>
      </c>
      <c r="D9" s="592" t="s">
        <v>547</v>
      </c>
      <c r="E9" s="552" t="s">
        <v>245</v>
      </c>
    </row>
    <row r="10" spans="1:5" s="499" customFormat="1" ht="12.75" customHeight="1">
      <c r="A10" s="553" t="s">
        <v>548</v>
      </c>
      <c r="B10" s="554" t="s">
        <v>588</v>
      </c>
      <c r="C10" s="554" t="s">
        <v>589</v>
      </c>
      <c r="D10" s="554" t="s">
        <v>590</v>
      </c>
      <c r="E10" s="555" t="s">
        <v>549</v>
      </c>
    </row>
    <row r="11" spans="1:5" s="499" customFormat="1" ht="12.75" customHeight="1">
      <c r="A11" s="560" t="s">
        <v>247</v>
      </c>
      <c r="B11" s="557">
        <v>404880</v>
      </c>
      <c r="C11" s="557">
        <v>244962</v>
      </c>
      <c r="D11" s="558">
        <f aca="true" t="shared" si="0" ref="D11:D39">C11/B11*100</f>
        <v>60.502371072910485</v>
      </c>
      <c r="E11" s="559">
        <v>30531</v>
      </c>
    </row>
    <row r="12" spans="1:5" s="499" customFormat="1" ht="12.75">
      <c r="A12" s="560" t="s">
        <v>612</v>
      </c>
      <c r="B12" s="557">
        <f>B13+B31</f>
        <v>400535</v>
      </c>
      <c r="C12" s="557">
        <f>C13+C31</f>
        <v>244938</v>
      </c>
      <c r="D12" s="558">
        <f t="shared" si="0"/>
        <v>61.152708252711996</v>
      </c>
      <c r="E12" s="559">
        <f>E13+E31</f>
        <v>33016</v>
      </c>
    </row>
    <row r="13" spans="1:5" s="575" customFormat="1" ht="11.25" customHeight="1">
      <c r="A13" s="593" t="s">
        <v>255</v>
      </c>
      <c r="B13" s="557">
        <f>B14+B24+B25</f>
        <v>365355</v>
      </c>
      <c r="C13" s="557">
        <f>C14+C24+C25</f>
        <v>211886</v>
      </c>
      <c r="D13" s="558">
        <f t="shared" si="0"/>
        <v>57.994553242736515</v>
      </c>
      <c r="E13" s="559">
        <f>E14+E24+E25</f>
        <v>24940</v>
      </c>
    </row>
    <row r="14" spans="1:5" s="575" customFormat="1" ht="11.25" customHeight="1">
      <c r="A14" s="610" t="s">
        <v>256</v>
      </c>
      <c r="B14" s="557">
        <f>B15+B16+B21</f>
        <v>297027</v>
      </c>
      <c r="C14" s="557">
        <f>C15+C16+C21</f>
        <v>172993</v>
      </c>
      <c r="D14" s="558">
        <f t="shared" si="0"/>
        <v>58.241506664377305</v>
      </c>
      <c r="E14" s="559">
        <f>E15+E16+E21</f>
        <v>20220</v>
      </c>
    </row>
    <row r="15" spans="1:5" ht="12">
      <c r="A15" s="596" t="s">
        <v>613</v>
      </c>
      <c r="B15" s="557">
        <v>146269</v>
      </c>
      <c r="C15" s="557">
        <v>89572</v>
      </c>
      <c r="D15" s="558">
        <f t="shared" si="0"/>
        <v>61.237856278500566</v>
      </c>
      <c r="E15" s="559">
        <v>10217</v>
      </c>
    </row>
    <row r="16" spans="1:5" ht="12">
      <c r="A16" s="596" t="s">
        <v>614</v>
      </c>
      <c r="B16" s="557">
        <v>39898</v>
      </c>
      <c r="C16" s="498">
        <v>22665</v>
      </c>
      <c r="D16" s="558">
        <f t="shared" si="0"/>
        <v>56.80735876485037</v>
      </c>
      <c r="E16" s="559">
        <v>3427</v>
      </c>
    </row>
    <row r="17" spans="1:5" ht="12" hidden="1">
      <c r="A17" s="596" t="s">
        <v>615</v>
      </c>
      <c r="B17" s="557">
        <v>39898</v>
      </c>
      <c r="C17" s="557">
        <v>22664</v>
      </c>
      <c r="D17" s="558">
        <f t="shared" si="0"/>
        <v>56.80485237355256</v>
      </c>
      <c r="E17" s="559">
        <v>3427</v>
      </c>
    </row>
    <row r="18" spans="1:5" ht="12" hidden="1">
      <c r="A18" s="596" t="s">
        <v>616</v>
      </c>
      <c r="B18" s="557">
        <v>1326</v>
      </c>
      <c r="C18" s="557">
        <v>775</v>
      </c>
      <c r="D18" s="558">
        <f t="shared" si="0"/>
        <v>58.44645550527904</v>
      </c>
      <c r="E18" s="559">
        <v>93</v>
      </c>
    </row>
    <row r="19" spans="1:5" ht="12" hidden="1">
      <c r="A19" s="596" t="s">
        <v>617</v>
      </c>
      <c r="B19" s="557">
        <v>51859</v>
      </c>
      <c r="C19" s="557">
        <v>27645</v>
      </c>
      <c r="D19" s="558">
        <f t="shared" si="0"/>
        <v>53.30800825314795</v>
      </c>
      <c r="E19" s="559">
        <v>3774</v>
      </c>
    </row>
    <row r="20" spans="1:5" ht="12" hidden="1">
      <c r="A20" s="596" t="s">
        <v>618</v>
      </c>
      <c r="B20" s="557">
        <v>55544</v>
      </c>
      <c r="C20" s="557">
        <v>31502</v>
      </c>
      <c r="D20" s="558">
        <f t="shared" si="0"/>
        <v>56.715396802534926</v>
      </c>
      <c r="E20" s="559">
        <v>2612</v>
      </c>
    </row>
    <row r="21" spans="1:5" ht="12">
      <c r="A21" s="596" t="s">
        <v>619</v>
      </c>
      <c r="B21" s="557">
        <f>SUM(B22:B23)</f>
        <v>110860</v>
      </c>
      <c r="C21" s="557">
        <f>SUM(C22:C23)</f>
        <v>60756</v>
      </c>
      <c r="D21" s="558">
        <f t="shared" si="0"/>
        <v>54.804257622226224</v>
      </c>
      <c r="E21" s="559">
        <v>6576</v>
      </c>
    </row>
    <row r="22" spans="1:5" ht="12">
      <c r="A22" s="611" t="s">
        <v>620</v>
      </c>
      <c r="B22" s="557">
        <v>107403</v>
      </c>
      <c r="C22" s="557">
        <v>59147</v>
      </c>
      <c r="D22" s="558">
        <f t="shared" si="0"/>
        <v>55.070156327104456</v>
      </c>
      <c r="E22" s="559">
        <v>6386</v>
      </c>
    </row>
    <row r="23" spans="1:5" ht="12">
      <c r="A23" s="611" t="s">
        <v>621</v>
      </c>
      <c r="B23" s="557">
        <v>3457</v>
      </c>
      <c r="C23" s="557">
        <v>1609</v>
      </c>
      <c r="D23" s="558">
        <f t="shared" si="0"/>
        <v>46.54324558866069</v>
      </c>
      <c r="E23" s="559">
        <v>190</v>
      </c>
    </row>
    <row r="24" spans="1:5" ht="12">
      <c r="A24" s="610" t="s">
        <v>622</v>
      </c>
      <c r="B24" s="557">
        <v>3868</v>
      </c>
      <c r="C24" s="557">
        <v>2168</v>
      </c>
      <c r="D24" s="558">
        <f t="shared" si="0"/>
        <v>56.04963805584281</v>
      </c>
      <c r="E24" s="559">
        <v>420</v>
      </c>
    </row>
    <row r="25" spans="1:5" ht="12">
      <c r="A25" s="610" t="s">
        <v>265</v>
      </c>
      <c r="B25" s="557">
        <f>SUM(B26:B30)</f>
        <v>64460</v>
      </c>
      <c r="C25" s="557">
        <f>SUM(C26:C30)</f>
        <v>36725</v>
      </c>
      <c r="D25" s="558">
        <f t="shared" si="0"/>
        <v>56.97331678560348</v>
      </c>
      <c r="E25" s="559">
        <f>SUM(E26:E30)</f>
        <v>4300</v>
      </c>
    </row>
    <row r="26" spans="1:5" ht="12">
      <c r="A26" s="596" t="s">
        <v>623</v>
      </c>
      <c r="B26" s="557">
        <v>547</v>
      </c>
      <c r="C26" s="557">
        <v>319</v>
      </c>
      <c r="D26" s="558">
        <f t="shared" si="0"/>
        <v>58.3180987202925</v>
      </c>
      <c r="E26" s="559">
        <v>41</v>
      </c>
    </row>
    <row r="27" spans="1:5" ht="12">
      <c r="A27" s="596" t="s">
        <v>624</v>
      </c>
      <c r="B27" s="557">
        <v>4916</v>
      </c>
      <c r="C27" s="557">
        <v>2942</v>
      </c>
      <c r="D27" s="558">
        <f t="shared" si="0"/>
        <v>59.84540276647681</v>
      </c>
      <c r="E27" s="559">
        <v>236</v>
      </c>
    </row>
    <row r="28" spans="1:5" ht="12">
      <c r="A28" s="596" t="s">
        <v>625</v>
      </c>
      <c r="B28" s="557">
        <v>26099</v>
      </c>
      <c r="C28" s="557">
        <v>14812</v>
      </c>
      <c r="D28" s="558">
        <f t="shared" si="0"/>
        <v>56.7531323039197</v>
      </c>
      <c r="E28" s="559">
        <v>2077</v>
      </c>
    </row>
    <row r="29" spans="1:5" ht="12">
      <c r="A29" s="596" t="s">
        <v>626</v>
      </c>
      <c r="B29" s="557">
        <v>16924</v>
      </c>
      <c r="C29" s="557">
        <v>9909</v>
      </c>
      <c r="D29" s="558">
        <f t="shared" si="0"/>
        <v>58.549988182462776</v>
      </c>
      <c r="E29" s="559">
        <v>1263</v>
      </c>
    </row>
    <row r="30" spans="1:5" ht="12">
      <c r="A30" s="596" t="s">
        <v>627</v>
      </c>
      <c r="B30" s="557">
        <v>15974</v>
      </c>
      <c r="C30" s="557">
        <v>8743</v>
      </c>
      <c r="D30" s="558">
        <f t="shared" si="0"/>
        <v>54.732690622261174</v>
      </c>
      <c r="E30" s="559">
        <v>683</v>
      </c>
    </row>
    <row r="31" spans="1:5" s="575" customFormat="1" ht="11.25" customHeight="1">
      <c r="A31" s="612" t="s">
        <v>628</v>
      </c>
      <c r="B31" s="557">
        <f>B32+B35</f>
        <v>35180</v>
      </c>
      <c r="C31" s="557">
        <f>C32+C35</f>
        <v>33052</v>
      </c>
      <c r="D31" s="558">
        <f t="shared" si="0"/>
        <v>93.95110858442297</v>
      </c>
      <c r="E31" s="559">
        <f>E32+E35</f>
        <v>8076</v>
      </c>
    </row>
    <row r="32" spans="1:6" s="575" customFormat="1" ht="11.25" customHeight="1">
      <c r="A32" s="596" t="s">
        <v>286</v>
      </c>
      <c r="B32" s="557">
        <v>18624</v>
      </c>
      <c r="C32" s="557">
        <v>10440</v>
      </c>
      <c r="D32" s="558">
        <f t="shared" si="0"/>
        <v>56.05670103092783</v>
      </c>
      <c r="E32" s="559">
        <v>1929</v>
      </c>
      <c r="F32" s="613"/>
    </row>
    <row r="33" spans="1:5" ht="12" hidden="1">
      <c r="A33" s="596" t="s">
        <v>286</v>
      </c>
      <c r="B33" s="557">
        <v>15521</v>
      </c>
      <c r="C33" s="557">
        <v>4904</v>
      </c>
      <c r="D33" s="558">
        <f t="shared" si="0"/>
        <v>31.595902325881063</v>
      </c>
      <c r="E33" s="559">
        <v>1389</v>
      </c>
    </row>
    <row r="34" spans="1:5" ht="12" hidden="1">
      <c r="A34" s="596" t="s">
        <v>629</v>
      </c>
      <c r="B34" s="557">
        <v>18373</v>
      </c>
      <c r="C34" s="557">
        <v>10113</v>
      </c>
      <c r="D34" s="558">
        <f t="shared" si="0"/>
        <v>55.042725738855935</v>
      </c>
      <c r="E34" s="559">
        <v>1769</v>
      </c>
    </row>
    <row r="35" spans="1:5" ht="12">
      <c r="A35" s="596" t="s">
        <v>288</v>
      </c>
      <c r="B35" s="557">
        <v>16556</v>
      </c>
      <c r="C35" s="557">
        <v>22612</v>
      </c>
      <c r="D35" s="558">
        <f t="shared" si="0"/>
        <v>136.5788837883547</v>
      </c>
      <c r="E35" s="559">
        <v>6147</v>
      </c>
    </row>
    <row r="36" spans="1:5" s="575" customFormat="1" ht="11.25" customHeight="1">
      <c r="A36" s="593" t="s">
        <v>630</v>
      </c>
      <c r="B36" s="557">
        <f>B37-B38</f>
        <v>-525</v>
      </c>
      <c r="C36" s="557">
        <f>C37-C38</f>
        <v>77</v>
      </c>
      <c r="D36" s="558">
        <f t="shared" si="0"/>
        <v>-14.666666666666666</v>
      </c>
      <c r="E36" s="559">
        <f>E37-E38</f>
        <v>196</v>
      </c>
    </row>
    <row r="37" spans="1:5" ht="12.75" customHeight="1">
      <c r="A37" s="596" t="s">
        <v>631</v>
      </c>
      <c r="B37" s="557">
        <v>48</v>
      </c>
      <c r="C37" s="557">
        <v>413</v>
      </c>
      <c r="D37" s="558">
        <f t="shared" si="0"/>
        <v>860.4166666666666</v>
      </c>
      <c r="E37" s="559">
        <v>216</v>
      </c>
    </row>
    <row r="38" spans="1:5" ht="12.75" customHeight="1">
      <c r="A38" s="598" t="s">
        <v>632</v>
      </c>
      <c r="B38" s="570">
        <v>573</v>
      </c>
      <c r="C38" s="557">
        <v>336</v>
      </c>
      <c r="D38" s="571">
        <f t="shared" si="0"/>
        <v>58.63874345549738</v>
      </c>
      <c r="E38" s="559">
        <v>20</v>
      </c>
    </row>
    <row r="39" spans="1:5" ht="12.75" customHeight="1">
      <c r="A39" s="614" t="s">
        <v>406</v>
      </c>
      <c r="B39" s="615">
        <f>B11-B12-B36</f>
        <v>4870</v>
      </c>
      <c r="C39" s="615">
        <f>C11-C12-C36</f>
        <v>-53</v>
      </c>
      <c r="D39" s="616">
        <f t="shared" si="0"/>
        <v>-1.0882956878850103</v>
      </c>
      <c r="E39" s="617">
        <f>E11-E12-E36</f>
        <v>-2681</v>
      </c>
    </row>
    <row r="40" spans="1:5" s="581" customFormat="1" ht="12">
      <c r="A40" s="618"/>
      <c r="B40" s="603"/>
      <c r="C40" s="603"/>
      <c r="D40" s="603"/>
      <c r="E40" s="603"/>
    </row>
    <row r="41" spans="1:5" s="581" customFormat="1" ht="12">
      <c r="A41" s="578"/>
      <c r="B41" s="603"/>
      <c r="C41" s="603"/>
      <c r="D41" s="603"/>
      <c r="E41" s="603"/>
    </row>
    <row r="42" spans="1:6" ht="12">
      <c r="A42" s="603"/>
      <c r="B42" s="603"/>
      <c r="C42" s="603"/>
      <c r="D42" s="603"/>
      <c r="E42" s="603"/>
      <c r="F42" s="584"/>
    </row>
    <row r="43" spans="1:5" s="581" customFormat="1" ht="12">
      <c r="A43" s="579" t="s">
        <v>581</v>
      </c>
      <c r="B43" s="579"/>
      <c r="C43" s="580"/>
      <c r="D43" s="580"/>
      <c r="E43" s="603" t="s">
        <v>539</v>
      </c>
    </row>
    <row r="44" spans="4:5" s="581" customFormat="1" ht="12">
      <c r="D44" s="603"/>
      <c r="E44" s="603"/>
    </row>
    <row r="45" spans="1:5" s="581" customFormat="1" ht="12">
      <c r="A45" s="603"/>
      <c r="B45" s="606"/>
      <c r="C45" s="606"/>
      <c r="D45" s="603"/>
      <c r="E45" s="603"/>
    </row>
    <row r="46" spans="1:5" s="581" customFormat="1" ht="12">
      <c r="A46" s="603"/>
      <c r="B46" s="606"/>
      <c r="D46" s="603"/>
      <c r="E46" s="603"/>
    </row>
    <row r="47" spans="1:5" ht="12">
      <c r="A47" s="607"/>
      <c r="B47" s="584"/>
      <c r="D47" s="603"/>
      <c r="E47" s="603"/>
    </row>
    <row r="48" spans="4:6" ht="12">
      <c r="D48" s="603"/>
      <c r="E48" s="603"/>
      <c r="F48" s="584"/>
    </row>
    <row r="49" spans="4:5" ht="12">
      <c r="D49" s="603"/>
      <c r="E49" s="603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15.08.00.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9">
      <selection activeCell="E13" sqref="E13"/>
    </sheetView>
  </sheetViews>
  <sheetFormatPr defaultColWidth="9.140625" defaultRowHeight="12.75"/>
  <cols>
    <col min="1" max="1" width="42.7109375" style="498" customWidth="1"/>
    <col min="2" max="5" width="12.28125" style="498" customWidth="1"/>
    <col min="6" max="16384" width="8.00390625" style="498" customWidth="1"/>
  </cols>
  <sheetData>
    <row r="1" spans="1:5" s="547" customFormat="1" ht="12.75">
      <c r="A1" s="496" t="s">
        <v>608</v>
      </c>
      <c r="B1" s="496"/>
      <c r="C1" s="496"/>
      <c r="D1" s="496"/>
      <c r="E1" s="496" t="s">
        <v>633</v>
      </c>
    </row>
    <row r="2" spans="1:5" s="547" customFormat="1" ht="12.75">
      <c r="A2" s="496"/>
      <c r="B2" s="496"/>
      <c r="C2" s="496"/>
      <c r="D2" s="496"/>
      <c r="E2" s="496"/>
    </row>
    <row r="4" spans="1:5" s="544" customFormat="1" ht="15.75">
      <c r="A4" s="541" t="s">
        <v>634</v>
      </c>
      <c r="B4" s="543"/>
      <c r="C4" s="543"/>
      <c r="D4" s="543"/>
      <c r="E4" s="543"/>
    </row>
    <row r="5" spans="1:5" ht="15.75">
      <c r="A5" s="541" t="s">
        <v>586</v>
      </c>
      <c r="B5" s="546"/>
      <c r="C5" s="546"/>
      <c r="D5" s="546"/>
      <c r="E5" s="546"/>
    </row>
    <row r="6" spans="1:5" ht="11.25">
      <c r="A6" s="607"/>
      <c r="B6" s="546"/>
      <c r="C6" s="546"/>
      <c r="D6" s="546"/>
      <c r="E6" s="546"/>
    </row>
    <row r="7" spans="1:5" ht="11.25">
      <c r="A7" s="607"/>
      <c r="B7" s="546"/>
      <c r="C7" s="546"/>
      <c r="D7" s="546"/>
      <c r="E7" s="546"/>
    </row>
    <row r="8" spans="4:5" s="547" customFormat="1" ht="11.25">
      <c r="D8" s="587" t="s">
        <v>635</v>
      </c>
      <c r="E8" s="587"/>
    </row>
    <row r="9" spans="1:5" s="499" customFormat="1" ht="30.75" customHeight="1">
      <c r="A9" s="591" t="s">
        <v>18</v>
      </c>
      <c r="B9" s="592" t="s">
        <v>495</v>
      </c>
      <c r="C9" s="592" t="s">
        <v>70</v>
      </c>
      <c r="D9" s="592" t="s">
        <v>547</v>
      </c>
      <c r="E9" s="552" t="s">
        <v>245</v>
      </c>
    </row>
    <row r="10" spans="1:5" s="581" customFormat="1" ht="11.25" customHeight="1">
      <c r="A10" s="619">
        <v>1</v>
      </c>
      <c r="B10" s="620">
        <v>2</v>
      </c>
      <c r="C10" s="620">
        <v>3</v>
      </c>
      <c r="D10" s="621">
        <v>4</v>
      </c>
      <c r="E10" s="622" t="s">
        <v>549</v>
      </c>
    </row>
    <row r="11" spans="1:5" s="581" customFormat="1" ht="12.75">
      <c r="A11" s="623" t="s">
        <v>636</v>
      </c>
      <c r="B11" s="557">
        <f>B12+B17</f>
        <v>50529</v>
      </c>
      <c r="C11" s="557">
        <f>C12+C17</f>
        <v>32809</v>
      </c>
      <c r="D11" s="520">
        <f aca="true" t="shared" si="0" ref="D11:D24">C11/B11*100</f>
        <v>64.93102970571356</v>
      </c>
      <c r="E11" s="559">
        <f>E12+E17</f>
        <v>4309</v>
      </c>
    </row>
    <row r="12" spans="1:5" ht="25.5">
      <c r="A12" s="623" t="s">
        <v>637</v>
      </c>
      <c r="B12" s="557">
        <f>SUM(B13:B16)</f>
        <v>46720</v>
      </c>
      <c r="C12" s="557">
        <f>SUM(C13:C16)</f>
        <v>29850</v>
      </c>
      <c r="D12" s="520">
        <f t="shared" si="0"/>
        <v>63.891267123287676</v>
      </c>
      <c r="E12" s="559">
        <f>SUM(E13:E16)</f>
        <v>4107</v>
      </c>
    </row>
    <row r="13" spans="1:5" ht="12">
      <c r="A13" s="624" t="s">
        <v>638</v>
      </c>
      <c r="B13" s="557">
        <v>13543</v>
      </c>
      <c r="C13" s="557">
        <v>11263</v>
      </c>
      <c r="D13" s="520">
        <f t="shared" si="0"/>
        <v>83.16473454921362</v>
      </c>
      <c r="E13" s="559">
        <v>985</v>
      </c>
    </row>
    <row r="14" spans="1:5" ht="12">
      <c r="A14" s="624" t="s">
        <v>639</v>
      </c>
      <c r="B14" s="557">
        <v>2178</v>
      </c>
      <c r="C14" s="557">
        <v>1241</v>
      </c>
      <c r="D14" s="520">
        <f t="shared" si="0"/>
        <v>56.978879706152426</v>
      </c>
      <c r="E14" s="559">
        <v>116</v>
      </c>
    </row>
    <row r="15" spans="1:5" ht="12">
      <c r="A15" s="624" t="s">
        <v>640</v>
      </c>
      <c r="B15" s="557">
        <v>14958</v>
      </c>
      <c r="C15" s="557">
        <v>7054</v>
      </c>
      <c r="D15" s="520">
        <f t="shared" si="0"/>
        <v>47.158711057628025</v>
      </c>
      <c r="E15" s="559">
        <v>1223</v>
      </c>
    </row>
    <row r="16" spans="1:5" ht="12">
      <c r="A16" s="624" t="s">
        <v>641</v>
      </c>
      <c r="B16" s="557">
        <v>16041</v>
      </c>
      <c r="C16" s="557">
        <v>10292</v>
      </c>
      <c r="D16" s="520">
        <f t="shared" si="0"/>
        <v>64.16058849198927</v>
      </c>
      <c r="E16" s="559">
        <v>1783</v>
      </c>
    </row>
    <row r="17" spans="1:5" ht="25.5">
      <c r="A17" s="625" t="s">
        <v>642</v>
      </c>
      <c r="B17" s="557">
        <v>3809</v>
      </c>
      <c r="C17" s="557">
        <v>2959</v>
      </c>
      <c r="D17" s="520">
        <f t="shared" si="0"/>
        <v>77.68443160934628</v>
      </c>
      <c r="E17" s="559">
        <v>202</v>
      </c>
    </row>
    <row r="18" spans="1:7" s="581" customFormat="1" ht="12.75">
      <c r="A18" s="623" t="s">
        <v>643</v>
      </c>
      <c r="B18" s="557">
        <f>B19+B24</f>
        <v>59280</v>
      </c>
      <c r="C18" s="557">
        <f>C19+C24</f>
        <v>30357</v>
      </c>
      <c r="D18" s="520">
        <f t="shared" si="0"/>
        <v>51.209514170040485</v>
      </c>
      <c r="E18" s="559">
        <f>E19+E24</f>
        <v>4948</v>
      </c>
      <c r="F18" s="498"/>
      <c r="G18" s="498"/>
    </row>
    <row r="19" spans="1:5" ht="25.5">
      <c r="A19" s="625" t="s">
        <v>644</v>
      </c>
      <c r="B19" s="557">
        <f>SUM(B20:B23)</f>
        <v>54802</v>
      </c>
      <c r="C19" s="557">
        <f>SUM(C20:C23)</f>
        <v>26268</v>
      </c>
      <c r="D19" s="520">
        <f t="shared" si="0"/>
        <v>47.93255720594139</v>
      </c>
      <c r="E19" s="559">
        <f>SUM(E20:E23)</f>
        <v>4335</v>
      </c>
    </row>
    <row r="20" spans="1:5" ht="12">
      <c r="A20" s="624" t="s">
        <v>638</v>
      </c>
      <c r="B20" s="557">
        <v>18183</v>
      </c>
      <c r="C20" s="557">
        <v>7319</v>
      </c>
      <c r="D20" s="520">
        <f t="shared" si="0"/>
        <v>40.251883627564204</v>
      </c>
      <c r="E20" s="559">
        <v>1723</v>
      </c>
    </row>
    <row r="21" spans="1:5" ht="12">
      <c r="A21" s="624" t="s">
        <v>639</v>
      </c>
      <c r="B21" s="557">
        <v>2612</v>
      </c>
      <c r="C21" s="557">
        <v>964</v>
      </c>
      <c r="D21" s="520">
        <f t="shared" si="0"/>
        <v>36.906584992343035</v>
      </c>
      <c r="E21" s="559">
        <v>191</v>
      </c>
    </row>
    <row r="22" spans="1:5" ht="12">
      <c r="A22" s="624" t="s">
        <v>640</v>
      </c>
      <c r="B22" s="557">
        <v>16488</v>
      </c>
      <c r="C22" s="557">
        <v>7188</v>
      </c>
      <c r="D22" s="520">
        <f t="shared" si="0"/>
        <v>43.595342066957784</v>
      </c>
      <c r="E22" s="559">
        <v>1081</v>
      </c>
    </row>
    <row r="23" spans="1:5" ht="12">
      <c r="A23" s="624" t="s">
        <v>641</v>
      </c>
      <c r="B23" s="557">
        <v>17519</v>
      </c>
      <c r="C23" s="557">
        <v>10797</v>
      </c>
      <c r="D23" s="520">
        <f t="shared" si="0"/>
        <v>61.630230035960956</v>
      </c>
      <c r="E23" s="559">
        <v>1340</v>
      </c>
    </row>
    <row r="24" spans="1:5" ht="25.5">
      <c r="A24" s="626" t="s">
        <v>645</v>
      </c>
      <c r="B24" s="570">
        <v>4478</v>
      </c>
      <c r="C24" s="570">
        <v>4089</v>
      </c>
      <c r="D24" s="531">
        <f t="shared" si="0"/>
        <v>91.31308619919606</v>
      </c>
      <c r="E24" s="572">
        <v>613</v>
      </c>
    </row>
    <row r="25" spans="1:5" ht="12.75">
      <c r="A25" s="627"/>
      <c r="B25" s="602"/>
      <c r="C25" s="602"/>
      <c r="D25" s="628"/>
      <c r="E25" s="602"/>
    </row>
    <row r="26" ht="11.25">
      <c r="A26" s="547" t="s">
        <v>646</v>
      </c>
    </row>
    <row r="27" spans="1:5" s="517" customFormat="1" ht="11.25">
      <c r="A27" s="607"/>
      <c r="B27" s="498"/>
      <c r="C27" s="498"/>
      <c r="D27" s="498"/>
      <c r="E27" s="498"/>
    </row>
    <row r="28" spans="1:5" s="581" customFormat="1" ht="12">
      <c r="A28" s="607"/>
      <c r="B28" s="498"/>
      <c r="C28" s="498"/>
      <c r="D28" s="498"/>
      <c r="E28" s="498"/>
    </row>
    <row r="29" spans="1:5" s="581" customFormat="1" ht="12">
      <c r="A29" s="607"/>
      <c r="B29" s="517"/>
      <c r="C29" s="606"/>
      <c r="D29" s="517"/>
      <c r="E29" s="517"/>
    </row>
    <row r="30" spans="1:5" ht="12">
      <c r="A30" s="579"/>
      <c r="E30" s="629"/>
    </row>
    <row r="31" spans="1:5" ht="12">
      <c r="A31" s="579" t="s">
        <v>581</v>
      </c>
      <c r="B31" s="579"/>
      <c r="C31" s="580"/>
      <c r="D31" s="580"/>
      <c r="E31" s="629" t="s">
        <v>539</v>
      </c>
    </row>
    <row r="32" spans="1:5" ht="12">
      <c r="A32" s="579"/>
      <c r="B32" s="579"/>
      <c r="E32" s="629"/>
    </row>
    <row r="33" ht="11.25">
      <c r="A33" s="585"/>
    </row>
    <row r="34" ht="11.25">
      <c r="A34" s="585"/>
    </row>
    <row r="35" s="499" customFormat="1" ht="12" customHeight="1">
      <c r="A35" s="577"/>
    </row>
    <row r="36" s="499" customFormat="1" ht="12" customHeight="1">
      <c r="A36" s="577"/>
    </row>
    <row r="37" ht="12.75">
      <c r="A37" s="577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15.08.00.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E13" sqref="E13"/>
    </sheetView>
  </sheetViews>
  <sheetFormatPr defaultColWidth="9.140625" defaultRowHeight="12.75"/>
  <cols>
    <col min="1" max="1" width="39.7109375" style="498" customWidth="1"/>
    <col min="2" max="5" width="12.7109375" style="498" customWidth="1"/>
    <col min="6" max="16384" width="8.00390625" style="498" customWidth="1"/>
  </cols>
  <sheetData>
    <row r="1" spans="1:5" s="547" customFormat="1" ht="12.75">
      <c r="A1" s="496" t="s">
        <v>647</v>
      </c>
      <c r="B1" s="496"/>
      <c r="C1" s="496"/>
      <c r="D1" s="496"/>
      <c r="E1" s="496" t="s">
        <v>648</v>
      </c>
    </row>
    <row r="2" spans="1:5" s="547" customFormat="1" ht="12.75">
      <c r="A2" s="496"/>
      <c r="B2" s="496"/>
      <c r="C2" s="496"/>
      <c r="D2" s="496"/>
      <c r="E2" s="497"/>
    </row>
    <row r="3" spans="4:5" ht="11.25">
      <c r="D3" s="546"/>
      <c r="E3" s="546"/>
    </row>
    <row r="4" spans="1:5" s="544" customFormat="1" ht="31.5">
      <c r="A4" s="541" t="s">
        <v>649</v>
      </c>
      <c r="B4" s="546"/>
      <c r="C4" s="546"/>
      <c r="D4" s="546"/>
      <c r="E4" s="546"/>
    </row>
    <row r="5" spans="1:5" ht="15.75">
      <c r="A5" s="541" t="s">
        <v>586</v>
      </c>
      <c r="B5" s="546"/>
      <c r="C5" s="546"/>
      <c r="D5" s="546"/>
      <c r="E5" s="546"/>
    </row>
    <row r="6" spans="1:5" ht="11.25">
      <c r="A6" s="607"/>
      <c r="B6" s="546"/>
      <c r="C6" s="546"/>
      <c r="D6" s="546"/>
      <c r="E6" s="546"/>
    </row>
    <row r="7" spans="1:5" ht="11.25">
      <c r="A7" s="607"/>
      <c r="B7" s="546"/>
      <c r="C7" s="546"/>
      <c r="D7" s="546"/>
      <c r="E7" s="546"/>
    </row>
    <row r="8" spans="2:81" s="547" customFormat="1" ht="15">
      <c r="B8" s="587"/>
      <c r="C8" s="587"/>
      <c r="D8" s="504" t="s">
        <v>650</v>
      </c>
      <c r="E8" s="549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AL8" s="498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498"/>
    </row>
    <row r="9" spans="1:254" s="499" customFormat="1" ht="33.75" customHeight="1">
      <c r="A9" s="591" t="s">
        <v>18</v>
      </c>
      <c r="B9" s="592" t="s">
        <v>495</v>
      </c>
      <c r="C9" s="592" t="s">
        <v>70</v>
      </c>
      <c r="D9" s="592" t="s">
        <v>547</v>
      </c>
      <c r="E9" s="552" t="s">
        <v>245</v>
      </c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592"/>
      <c r="CE9" s="552"/>
      <c r="CF9" s="591"/>
      <c r="CG9" s="592"/>
      <c r="CH9" s="592"/>
      <c r="CI9" s="592"/>
      <c r="CJ9" s="552"/>
      <c r="CK9" s="591"/>
      <c r="CL9" s="592"/>
      <c r="CM9" s="592"/>
      <c r="CN9" s="592"/>
      <c r="CO9" s="552"/>
      <c r="CP9" s="591"/>
      <c r="CQ9" s="592"/>
      <c r="CR9" s="592"/>
      <c r="CS9" s="592"/>
      <c r="CT9" s="552"/>
      <c r="CU9" s="591"/>
      <c r="CV9" s="592"/>
      <c r="CW9" s="592"/>
      <c r="CX9" s="592"/>
      <c r="CY9" s="552"/>
      <c r="CZ9" s="591"/>
      <c r="DA9" s="592"/>
      <c r="DB9" s="592"/>
      <c r="DC9" s="592"/>
      <c r="DD9" s="552"/>
      <c r="DE9" s="591"/>
      <c r="DF9" s="592"/>
      <c r="DG9" s="592"/>
      <c r="DH9" s="592"/>
      <c r="DI9" s="552"/>
      <c r="DJ9" s="591"/>
      <c r="DK9" s="592"/>
      <c r="DL9" s="592"/>
      <c r="DM9" s="592"/>
      <c r="DN9" s="552"/>
      <c r="DO9" s="591"/>
      <c r="DP9" s="592"/>
      <c r="DQ9" s="592"/>
      <c r="DR9" s="592"/>
      <c r="DS9" s="552"/>
      <c r="DT9" s="591"/>
      <c r="DU9" s="592"/>
      <c r="DV9" s="592"/>
      <c r="DW9" s="592"/>
      <c r="DX9" s="552"/>
      <c r="DY9" s="591"/>
      <c r="DZ9" s="592"/>
      <c r="EA9" s="592"/>
      <c r="EB9" s="592"/>
      <c r="EC9" s="552"/>
      <c r="ED9" s="591"/>
      <c r="EE9" s="592"/>
      <c r="EF9" s="592"/>
      <c r="EG9" s="592"/>
      <c r="EH9" s="552"/>
      <c r="EI9" s="591"/>
      <c r="EJ9" s="592"/>
      <c r="EK9" s="592"/>
      <c r="EL9" s="592"/>
      <c r="EM9" s="552"/>
      <c r="EN9" s="591"/>
      <c r="EO9" s="592"/>
      <c r="EP9" s="592"/>
      <c r="EQ9" s="592"/>
      <c r="ER9" s="552"/>
      <c r="ES9" s="591"/>
      <c r="ET9" s="592"/>
      <c r="EU9" s="592"/>
      <c r="EV9" s="592"/>
      <c r="EW9" s="552"/>
      <c r="EX9" s="591"/>
      <c r="EY9" s="592"/>
      <c r="EZ9" s="592"/>
      <c r="FA9" s="592"/>
      <c r="FB9" s="552"/>
      <c r="FC9" s="591"/>
      <c r="FD9" s="592"/>
      <c r="FE9" s="592"/>
      <c r="FF9" s="592"/>
      <c r="FG9" s="552"/>
      <c r="FH9" s="591"/>
      <c r="FI9" s="592"/>
      <c r="FJ9" s="592"/>
      <c r="FK9" s="592"/>
      <c r="FL9" s="552"/>
      <c r="FM9" s="591"/>
      <c r="FN9" s="592"/>
      <c r="FO9" s="592"/>
      <c r="FP9" s="592"/>
      <c r="FQ9" s="552"/>
      <c r="FR9" s="591"/>
      <c r="FS9" s="592"/>
      <c r="FT9" s="592"/>
      <c r="FU9" s="592"/>
      <c r="FV9" s="552"/>
      <c r="FW9" s="591"/>
      <c r="FX9" s="592"/>
      <c r="FY9" s="592"/>
      <c r="FZ9" s="592"/>
      <c r="GA9" s="552"/>
      <c r="GB9" s="591"/>
      <c r="GC9" s="592"/>
      <c r="GD9" s="592"/>
      <c r="GE9" s="592"/>
      <c r="GF9" s="552"/>
      <c r="GG9" s="591"/>
      <c r="GH9" s="592"/>
      <c r="GI9" s="592"/>
      <c r="GJ9" s="592"/>
      <c r="GK9" s="552"/>
      <c r="GL9" s="591"/>
      <c r="GM9" s="592"/>
      <c r="GN9" s="592"/>
      <c r="GO9" s="592"/>
      <c r="GP9" s="552"/>
      <c r="GQ9" s="591"/>
      <c r="GR9" s="592"/>
      <c r="GS9" s="592"/>
      <c r="GT9" s="592"/>
      <c r="GU9" s="552"/>
      <c r="GV9" s="591"/>
      <c r="GW9" s="592"/>
      <c r="GX9" s="592"/>
      <c r="GY9" s="592"/>
      <c r="GZ9" s="552"/>
      <c r="HA9" s="591"/>
      <c r="HB9" s="592"/>
      <c r="HC9" s="592"/>
      <c r="HD9" s="592"/>
      <c r="HE9" s="552"/>
      <c r="HF9" s="591"/>
      <c r="HG9" s="592"/>
      <c r="HH9" s="592"/>
      <c r="HI9" s="592"/>
      <c r="HJ9" s="552"/>
      <c r="HK9" s="591"/>
      <c r="HL9" s="592"/>
      <c r="HM9" s="592"/>
      <c r="HN9" s="592"/>
      <c r="HO9" s="552"/>
      <c r="HP9" s="591"/>
      <c r="HQ9" s="592"/>
      <c r="HR9" s="592"/>
      <c r="HS9" s="592"/>
      <c r="HT9" s="552"/>
      <c r="HU9" s="591"/>
      <c r="HV9" s="592"/>
      <c r="HW9" s="592"/>
      <c r="HX9" s="592"/>
      <c r="HY9" s="552"/>
      <c r="HZ9" s="591"/>
      <c r="IA9" s="592"/>
      <c r="IB9" s="592"/>
      <c r="IC9" s="592"/>
      <c r="ID9" s="552"/>
      <c r="IE9" s="591"/>
      <c r="IF9" s="592"/>
      <c r="IG9" s="592"/>
      <c r="IH9" s="592"/>
      <c r="II9" s="552"/>
      <c r="IJ9" s="591"/>
      <c r="IK9" s="592"/>
      <c r="IL9" s="592"/>
      <c r="IM9" s="592"/>
      <c r="IN9" s="552"/>
      <c r="IO9" s="591"/>
      <c r="IP9" s="592"/>
      <c r="IQ9" s="592"/>
      <c r="IR9" s="592"/>
      <c r="IS9" s="552"/>
      <c r="IT9" s="591"/>
    </row>
    <row r="10" spans="1:5" ht="11.25">
      <c r="A10" s="619">
        <v>1</v>
      </c>
      <c r="B10" s="620">
        <v>2</v>
      </c>
      <c r="C10" s="620">
        <v>3</v>
      </c>
      <c r="D10" s="621">
        <v>4</v>
      </c>
      <c r="E10" s="622">
        <v>5</v>
      </c>
    </row>
    <row r="11" spans="1:5" s="499" customFormat="1" ht="12.75" customHeight="1">
      <c r="A11" s="560" t="s">
        <v>247</v>
      </c>
      <c r="B11" s="557">
        <v>50529</v>
      </c>
      <c r="C11" s="557">
        <v>32809</v>
      </c>
      <c r="D11" s="520">
        <f aca="true" t="shared" si="0" ref="D11:D40">C11/B11*100</f>
        <v>64.93102970571356</v>
      </c>
      <c r="E11" s="559">
        <v>4309</v>
      </c>
    </row>
    <row r="12" spans="1:5" s="499" customFormat="1" ht="12.75">
      <c r="A12" s="560" t="s">
        <v>612</v>
      </c>
      <c r="B12" s="557">
        <f>B13+B32</f>
        <v>61887</v>
      </c>
      <c r="C12" s="557">
        <f>C13+C32</f>
        <v>27831</v>
      </c>
      <c r="D12" s="520">
        <f t="shared" si="0"/>
        <v>44.97067235445247</v>
      </c>
      <c r="E12" s="559">
        <f>E13+E32</f>
        <v>4221</v>
      </c>
    </row>
    <row r="13" spans="1:5" s="575" customFormat="1" ht="11.25" customHeight="1">
      <c r="A13" s="593" t="s">
        <v>255</v>
      </c>
      <c r="B13" s="557">
        <f>B14+B25+B26</f>
        <v>44617</v>
      </c>
      <c r="C13" s="557">
        <f>C14+C25+C26</f>
        <v>19719</v>
      </c>
      <c r="D13" s="520">
        <f t="shared" si="0"/>
        <v>44.19615841495394</v>
      </c>
      <c r="E13" s="559">
        <f>E14+E25+E26</f>
        <v>2943</v>
      </c>
    </row>
    <row r="14" spans="1:5" s="575" customFormat="1" ht="11.25" customHeight="1">
      <c r="A14" s="610" t="s">
        <v>256</v>
      </c>
      <c r="B14" s="557">
        <f>B16+B17+B22</f>
        <v>26701</v>
      </c>
      <c r="C14" s="557">
        <f>C16+C17+C22</f>
        <v>13847</v>
      </c>
      <c r="D14" s="520">
        <f t="shared" si="0"/>
        <v>51.85948091831767</v>
      </c>
      <c r="E14" s="559">
        <f>E16+E17+E22</f>
        <v>1957</v>
      </c>
    </row>
    <row r="15" spans="1:5" s="575" customFormat="1" ht="11.25" customHeight="1" hidden="1">
      <c r="A15" s="596" t="s">
        <v>651</v>
      </c>
      <c r="B15" s="557">
        <v>2937</v>
      </c>
      <c r="C15" s="557">
        <v>1664</v>
      </c>
      <c r="D15" s="520">
        <f t="shared" si="0"/>
        <v>56.65645216207014</v>
      </c>
      <c r="E15" s="559">
        <v>252</v>
      </c>
    </row>
    <row r="16" spans="1:5" ht="12">
      <c r="A16" s="596" t="s">
        <v>613</v>
      </c>
      <c r="B16" s="557">
        <v>2937</v>
      </c>
      <c r="C16" s="557">
        <v>1663</v>
      </c>
      <c r="D16" s="520">
        <f t="shared" si="0"/>
        <v>56.62240381341505</v>
      </c>
      <c r="E16" s="559">
        <v>252</v>
      </c>
    </row>
    <row r="17" spans="1:5" ht="12">
      <c r="A17" s="596" t="s">
        <v>614</v>
      </c>
      <c r="B17" s="557">
        <v>784</v>
      </c>
      <c r="C17" s="557">
        <v>393</v>
      </c>
      <c r="D17" s="520">
        <f t="shared" si="0"/>
        <v>50.12755102040817</v>
      </c>
      <c r="E17" s="559">
        <v>50</v>
      </c>
    </row>
    <row r="18" spans="1:5" ht="12" hidden="1">
      <c r="A18" s="596" t="s">
        <v>615</v>
      </c>
      <c r="B18" s="557">
        <v>20211</v>
      </c>
      <c r="C18" s="557">
        <v>10453</v>
      </c>
      <c r="D18" s="520">
        <f t="shared" si="0"/>
        <v>51.71936074414922</v>
      </c>
      <c r="E18" s="559">
        <v>1480</v>
      </c>
    </row>
    <row r="19" spans="1:5" ht="12" hidden="1">
      <c r="A19" s="596" t="s">
        <v>616</v>
      </c>
      <c r="B19" s="557">
        <v>2412</v>
      </c>
      <c r="C19" s="557">
        <v>1179</v>
      </c>
      <c r="D19" s="520">
        <f t="shared" si="0"/>
        <v>48.88059701492538</v>
      </c>
      <c r="E19" s="559">
        <v>149</v>
      </c>
    </row>
    <row r="20" spans="1:5" ht="12" hidden="1">
      <c r="A20" s="596" t="s">
        <v>617</v>
      </c>
      <c r="B20" s="557">
        <v>71</v>
      </c>
      <c r="C20" s="557">
        <v>27</v>
      </c>
      <c r="D20" s="520">
        <f t="shared" si="0"/>
        <v>38.028169014084504</v>
      </c>
      <c r="E20" s="559">
        <v>4</v>
      </c>
    </row>
    <row r="21" spans="1:5" ht="12" hidden="1">
      <c r="A21" s="596" t="s">
        <v>618</v>
      </c>
      <c r="B21" s="557">
        <v>37</v>
      </c>
      <c r="C21" s="557">
        <v>33</v>
      </c>
      <c r="D21" s="520">
        <f t="shared" si="0"/>
        <v>89.1891891891892</v>
      </c>
      <c r="E21" s="559">
        <v>12</v>
      </c>
    </row>
    <row r="22" spans="1:5" ht="12">
      <c r="A22" s="596" t="s">
        <v>619</v>
      </c>
      <c r="B22" s="557">
        <f>SUM(B23:B24)</f>
        <v>22980</v>
      </c>
      <c r="C22" s="557">
        <f>SUM(C23:C24)</f>
        <v>11791</v>
      </c>
      <c r="D22" s="520">
        <f t="shared" si="0"/>
        <v>51.30983463881636</v>
      </c>
      <c r="E22" s="559">
        <f>SUM(E23:E24)</f>
        <v>1655</v>
      </c>
    </row>
    <row r="23" spans="1:5" ht="12">
      <c r="A23" s="611" t="s">
        <v>620</v>
      </c>
      <c r="B23" s="557">
        <v>22623</v>
      </c>
      <c r="C23" s="557">
        <v>11632</v>
      </c>
      <c r="D23" s="520">
        <f t="shared" si="0"/>
        <v>51.41669981876851</v>
      </c>
      <c r="E23" s="559">
        <v>1629</v>
      </c>
    </row>
    <row r="24" spans="1:5" ht="12">
      <c r="A24" s="611" t="s">
        <v>652</v>
      </c>
      <c r="B24" s="557">
        <v>357</v>
      </c>
      <c r="C24" s="557">
        <v>159</v>
      </c>
      <c r="D24" s="520">
        <f t="shared" si="0"/>
        <v>44.537815126050425</v>
      </c>
      <c r="E24" s="559">
        <v>26</v>
      </c>
    </row>
    <row r="25" spans="1:5" ht="12">
      <c r="A25" s="610" t="s">
        <v>622</v>
      </c>
      <c r="B25" s="557">
        <v>37</v>
      </c>
      <c r="C25" s="557">
        <v>33</v>
      </c>
      <c r="D25" s="520">
        <f t="shared" si="0"/>
        <v>89.1891891891892</v>
      </c>
      <c r="E25" s="559">
        <v>13</v>
      </c>
    </row>
    <row r="26" spans="1:5" ht="12">
      <c r="A26" s="610" t="s">
        <v>265</v>
      </c>
      <c r="B26" s="557">
        <f>SUM(B27:B31)</f>
        <v>17879</v>
      </c>
      <c r="C26" s="557">
        <f>SUM(C27:C31)</f>
        <v>5839</v>
      </c>
      <c r="D26" s="520">
        <f t="shared" si="0"/>
        <v>32.65842608647016</v>
      </c>
      <c r="E26" s="559">
        <f>SUM(E27:E31)</f>
        <v>973</v>
      </c>
    </row>
    <row r="27" spans="1:5" ht="12">
      <c r="A27" s="596" t="s">
        <v>623</v>
      </c>
      <c r="B27" s="557">
        <v>130</v>
      </c>
      <c r="C27" s="557">
        <v>85</v>
      </c>
      <c r="D27" s="520">
        <f t="shared" si="0"/>
        <v>65.38461538461539</v>
      </c>
      <c r="E27" s="559">
        <v>10</v>
      </c>
    </row>
    <row r="28" spans="1:5" ht="12">
      <c r="A28" s="596" t="s">
        <v>624</v>
      </c>
      <c r="B28" s="557">
        <v>260</v>
      </c>
      <c r="C28" s="557">
        <v>21</v>
      </c>
      <c r="D28" s="520">
        <f t="shared" si="0"/>
        <v>8.076923076923077</v>
      </c>
      <c r="E28" s="559">
        <v>6</v>
      </c>
    </row>
    <row r="29" spans="1:6" ht="12">
      <c r="A29" s="596" t="s">
        <v>625</v>
      </c>
      <c r="B29" s="557">
        <v>305</v>
      </c>
      <c r="C29" s="557">
        <v>170</v>
      </c>
      <c r="D29" s="520">
        <f t="shared" si="0"/>
        <v>55.73770491803278</v>
      </c>
      <c r="E29" s="559">
        <v>11</v>
      </c>
      <c r="F29" s="630"/>
    </row>
    <row r="30" spans="1:5" ht="12">
      <c r="A30" s="596" t="s">
        <v>626</v>
      </c>
      <c r="B30" s="557">
        <v>14632</v>
      </c>
      <c r="C30" s="557">
        <v>4151</v>
      </c>
      <c r="D30" s="520">
        <f t="shared" si="0"/>
        <v>28.369327501366865</v>
      </c>
      <c r="E30" s="559">
        <v>731</v>
      </c>
    </row>
    <row r="31" spans="1:5" ht="12">
      <c r="A31" s="596" t="s">
        <v>627</v>
      </c>
      <c r="B31" s="557">
        <v>2552</v>
      </c>
      <c r="C31" s="557">
        <v>1412</v>
      </c>
      <c r="D31" s="520">
        <f t="shared" si="0"/>
        <v>55.32915360501567</v>
      </c>
      <c r="E31" s="559">
        <v>215</v>
      </c>
    </row>
    <row r="32" spans="1:7" s="575" customFormat="1" ht="11.25" customHeight="1">
      <c r="A32" s="593" t="s">
        <v>628</v>
      </c>
      <c r="B32" s="557">
        <f>B33+B36</f>
        <v>17270</v>
      </c>
      <c r="C32" s="557">
        <f>C33+C36</f>
        <v>8112</v>
      </c>
      <c r="D32" s="520">
        <f t="shared" si="0"/>
        <v>46.971627099015635</v>
      </c>
      <c r="E32" s="559">
        <f>E33+E36</f>
        <v>1278</v>
      </c>
      <c r="G32" s="498"/>
    </row>
    <row r="33" spans="1:7" s="575" customFormat="1" ht="11.25" customHeight="1">
      <c r="A33" s="631" t="s">
        <v>286</v>
      </c>
      <c r="B33" s="557">
        <v>15657</v>
      </c>
      <c r="C33" s="557">
        <v>7730</v>
      </c>
      <c r="D33" s="520">
        <f t="shared" si="0"/>
        <v>49.37088842051479</v>
      </c>
      <c r="E33" s="559">
        <v>1246</v>
      </c>
      <c r="F33" s="498"/>
      <c r="G33" s="498"/>
    </row>
    <row r="34" spans="1:5" ht="12" hidden="1">
      <c r="A34" s="632" t="s">
        <v>286</v>
      </c>
      <c r="B34" s="557">
        <v>859</v>
      </c>
      <c r="C34" s="557">
        <v>694</v>
      </c>
      <c r="D34" s="520">
        <f t="shared" si="0"/>
        <v>80.79161816065192</v>
      </c>
      <c r="E34" s="559">
        <v>62</v>
      </c>
    </row>
    <row r="35" spans="1:5" ht="12" hidden="1">
      <c r="A35" s="596" t="s">
        <v>629</v>
      </c>
      <c r="B35" s="557">
        <v>400010</v>
      </c>
      <c r="C35" s="557">
        <v>245015</v>
      </c>
      <c r="D35" s="520">
        <f t="shared" si="0"/>
        <v>61.25221869453264</v>
      </c>
      <c r="E35" s="559">
        <v>33211</v>
      </c>
    </row>
    <row r="36" spans="1:5" ht="12">
      <c r="A36" s="631" t="s">
        <v>288</v>
      </c>
      <c r="B36" s="557">
        <v>1613</v>
      </c>
      <c r="C36" s="557">
        <v>382</v>
      </c>
      <c r="D36" s="520">
        <f t="shared" si="0"/>
        <v>23.682579045257285</v>
      </c>
      <c r="E36" s="559">
        <v>32</v>
      </c>
    </row>
    <row r="37" spans="1:7" s="575" customFormat="1" ht="11.25" customHeight="1">
      <c r="A37" s="593" t="s">
        <v>630</v>
      </c>
      <c r="B37" s="557">
        <f>B38-B39</f>
        <v>-2607</v>
      </c>
      <c r="C37" s="557">
        <f>C38-C39</f>
        <v>2526</v>
      </c>
      <c r="D37" s="520">
        <f t="shared" si="0"/>
        <v>-96.89298043728424</v>
      </c>
      <c r="E37" s="559">
        <f>E38-E39</f>
        <v>727</v>
      </c>
      <c r="G37" s="498"/>
    </row>
    <row r="38" spans="1:5" ht="12.75" customHeight="1">
      <c r="A38" s="596" t="s">
        <v>631</v>
      </c>
      <c r="B38" s="557">
        <v>3601</v>
      </c>
      <c r="C38" s="557">
        <v>3313</v>
      </c>
      <c r="D38" s="520">
        <f t="shared" si="0"/>
        <v>92.0022216051097</v>
      </c>
      <c r="E38" s="559">
        <v>892</v>
      </c>
    </row>
    <row r="39" spans="1:5" ht="12.75" customHeight="1">
      <c r="A39" s="598" t="s">
        <v>632</v>
      </c>
      <c r="B39" s="557">
        <v>6208</v>
      </c>
      <c r="C39" s="570">
        <v>787</v>
      </c>
      <c r="D39" s="531">
        <f t="shared" si="0"/>
        <v>12.677190721649485</v>
      </c>
      <c r="E39" s="572">
        <v>165</v>
      </c>
    </row>
    <row r="40" spans="1:5" ht="12.75" customHeight="1">
      <c r="A40" s="633" t="s">
        <v>406</v>
      </c>
      <c r="B40" s="615">
        <f>B11-B12-B37</f>
        <v>-8751</v>
      </c>
      <c r="C40" s="615">
        <f>C11-C12-C37</f>
        <v>2452</v>
      </c>
      <c r="D40" s="634">
        <f t="shared" si="0"/>
        <v>-28.019654896583248</v>
      </c>
      <c r="E40" s="617">
        <f>E11-E12-E37</f>
        <v>-639</v>
      </c>
    </row>
    <row r="41" spans="1:4" ht="12">
      <c r="A41" s="582"/>
      <c r="B41" s="602"/>
      <c r="C41" s="602"/>
      <c r="D41" s="635"/>
    </row>
    <row r="42" ht="11.25">
      <c r="A42" s="607"/>
    </row>
    <row r="43" spans="1:7" s="581" customFormat="1" ht="12">
      <c r="A43" s="607"/>
      <c r="B43" s="498"/>
      <c r="C43" s="498"/>
      <c r="D43" s="498"/>
      <c r="E43" s="498"/>
      <c r="F43" s="498"/>
      <c r="G43" s="498"/>
    </row>
    <row r="44" spans="1:7" s="581" customFormat="1" ht="12">
      <c r="A44" s="582"/>
      <c r="B44" s="498"/>
      <c r="C44" s="498"/>
      <c r="D44" s="498"/>
      <c r="E44" s="498"/>
      <c r="F44" s="498"/>
      <c r="G44" s="498"/>
    </row>
    <row r="45" spans="1:254" s="499" customFormat="1" ht="12.75">
      <c r="A45" s="579" t="s">
        <v>581</v>
      </c>
      <c r="B45" s="579"/>
      <c r="C45" s="580"/>
      <c r="D45" s="636"/>
      <c r="E45" s="629" t="s">
        <v>539</v>
      </c>
      <c r="F45" s="498"/>
      <c r="G45" s="498"/>
      <c r="H45" s="606"/>
      <c r="I45" s="637"/>
      <c r="J45" s="637"/>
      <c r="K45" s="638"/>
      <c r="L45" s="498"/>
      <c r="M45" s="579"/>
      <c r="N45" s="579"/>
      <c r="O45" s="581"/>
      <c r="P45" s="581"/>
      <c r="Q45" s="581"/>
      <c r="R45" s="581"/>
      <c r="S45" s="498"/>
      <c r="T45" s="579"/>
      <c r="U45" s="579"/>
      <c r="V45" s="606"/>
      <c r="W45" s="639"/>
      <c r="X45" s="639"/>
      <c r="Y45" s="638"/>
      <c r="Z45" s="498"/>
      <c r="AA45" s="579"/>
      <c r="AB45" s="579"/>
      <c r="AC45" s="606"/>
      <c r="AD45" s="639"/>
      <c r="AE45" s="639"/>
      <c r="AF45" s="638"/>
      <c r="AG45" s="498"/>
      <c r="AH45" s="579"/>
      <c r="AI45" s="579"/>
      <c r="AJ45" s="606"/>
      <c r="AK45" s="639"/>
      <c r="AL45" s="639"/>
      <c r="AM45" s="638"/>
      <c r="AN45" s="498"/>
      <c r="AO45" s="579"/>
      <c r="AP45" s="579"/>
      <c r="AQ45" s="606"/>
      <c r="AR45" s="639"/>
      <c r="AS45" s="639"/>
      <c r="AT45" s="638"/>
      <c r="AU45" s="498"/>
      <c r="AV45" s="579"/>
      <c r="AW45" s="579"/>
      <c r="AX45" s="606"/>
      <c r="AY45" s="639"/>
      <c r="AZ45" s="639"/>
      <c r="BA45" s="638"/>
      <c r="BB45" s="498"/>
      <c r="BC45" s="579"/>
      <c r="BD45" s="579"/>
      <c r="BE45" s="606"/>
      <c r="BF45" s="639"/>
      <c r="BG45" s="639"/>
      <c r="BH45" s="638"/>
      <c r="BI45" s="498"/>
      <c r="BJ45" s="579"/>
      <c r="BK45" s="579"/>
      <c r="BL45" s="606"/>
      <c r="BM45" s="639"/>
      <c r="BN45" s="639"/>
      <c r="BO45" s="638"/>
      <c r="BP45" s="498"/>
      <c r="BQ45" s="579"/>
      <c r="BR45" s="579"/>
      <c r="BS45" s="606"/>
      <c r="BT45" s="639"/>
      <c r="BU45" s="639"/>
      <c r="BV45" s="638"/>
      <c r="BW45" s="498"/>
      <c r="BX45" s="579"/>
      <c r="BY45" s="579"/>
      <c r="BZ45" s="606"/>
      <c r="CA45" s="639"/>
      <c r="CB45" s="639"/>
      <c r="CC45" s="638"/>
      <c r="CD45" s="498"/>
      <c r="CE45" s="579"/>
      <c r="CF45" s="579"/>
      <c r="CG45" s="606"/>
      <c r="CH45" s="639"/>
      <c r="CI45" s="639"/>
      <c r="CJ45" s="638"/>
      <c r="CK45" s="498"/>
      <c r="CL45" s="579"/>
      <c r="CM45" s="579"/>
      <c r="CN45" s="606"/>
      <c r="CO45" s="639"/>
      <c r="CP45" s="639"/>
      <c r="CQ45" s="638"/>
      <c r="CR45" s="498"/>
      <c r="CS45" s="579"/>
      <c r="CT45" s="579"/>
      <c r="CU45" s="606"/>
      <c r="CV45" s="639"/>
      <c r="CW45" s="639"/>
      <c r="CX45" s="638"/>
      <c r="CY45" s="498"/>
      <c r="CZ45" s="579"/>
      <c r="DA45" s="579"/>
      <c r="DB45" s="606"/>
      <c r="DC45" s="639"/>
      <c r="DD45" s="639"/>
      <c r="DE45" s="638"/>
      <c r="DF45" s="498"/>
      <c r="DG45" s="579"/>
      <c r="DH45" s="579"/>
      <c r="DI45" s="606"/>
      <c r="DJ45" s="639"/>
      <c r="DK45" s="639"/>
      <c r="DL45" s="638"/>
      <c r="DM45" s="498"/>
      <c r="DN45" s="579"/>
      <c r="DO45" s="579"/>
      <c r="DP45" s="606"/>
      <c r="DQ45" s="639"/>
      <c r="DR45" s="639"/>
      <c r="DS45" s="638"/>
      <c r="DT45" s="498"/>
      <c r="DU45" s="579"/>
      <c r="DV45" s="579"/>
      <c r="DW45" s="606"/>
      <c r="DX45" s="639"/>
      <c r="DY45" s="639"/>
      <c r="DZ45" s="638"/>
      <c r="EA45" s="498"/>
      <c r="EB45" s="579"/>
      <c r="EC45" s="579"/>
      <c r="ED45" s="606"/>
      <c r="EE45" s="639"/>
      <c r="EF45" s="639"/>
      <c r="EG45" s="638"/>
      <c r="EH45" s="498"/>
      <c r="EI45" s="579"/>
      <c r="EJ45" s="579"/>
      <c r="EK45" s="606"/>
      <c r="EL45" s="639"/>
      <c r="EM45" s="639"/>
      <c r="EN45" s="638"/>
      <c r="EO45" s="498"/>
      <c r="EP45" s="579"/>
      <c r="EQ45" s="579"/>
      <c r="ER45" s="606"/>
      <c r="ES45" s="639"/>
      <c r="ET45" s="639"/>
      <c r="EU45" s="638"/>
      <c r="EV45" s="498"/>
      <c r="EW45" s="579"/>
      <c r="EX45" s="579"/>
      <c r="EY45" s="606"/>
      <c r="EZ45" s="639"/>
      <c r="FA45" s="639"/>
      <c r="FB45" s="638"/>
      <c r="FC45" s="498"/>
      <c r="FD45" s="579"/>
      <c r="FE45" s="579"/>
      <c r="FF45" s="606"/>
      <c r="FG45" s="639"/>
      <c r="FH45" s="639"/>
      <c r="FI45" s="638"/>
      <c r="FJ45" s="498"/>
      <c r="FK45" s="579"/>
      <c r="FL45" s="579"/>
      <c r="FM45" s="606"/>
      <c r="FN45" s="639"/>
      <c r="FO45" s="639"/>
      <c r="FP45" s="638"/>
      <c r="FQ45" s="498"/>
      <c r="FR45" s="579"/>
      <c r="FS45" s="579"/>
      <c r="FT45" s="606"/>
      <c r="FU45" s="639"/>
      <c r="FV45" s="639"/>
      <c r="FW45" s="638"/>
      <c r="FX45" s="498"/>
      <c r="FY45" s="579"/>
      <c r="FZ45" s="579"/>
      <c r="GA45" s="606"/>
      <c r="GB45" s="639"/>
      <c r="GC45" s="639"/>
      <c r="GD45" s="638"/>
      <c r="GE45" s="498"/>
      <c r="GF45" s="579"/>
      <c r="GG45" s="579"/>
      <c r="GH45" s="606"/>
      <c r="GI45" s="639"/>
      <c r="GJ45" s="639"/>
      <c r="GK45" s="638"/>
      <c r="GL45" s="498"/>
      <c r="GM45" s="579"/>
      <c r="GN45" s="579"/>
      <c r="GO45" s="606"/>
      <c r="GP45" s="639"/>
      <c r="GQ45" s="639"/>
      <c r="GR45" s="638"/>
      <c r="GS45" s="498"/>
      <c r="GT45" s="579"/>
      <c r="GU45" s="579"/>
      <c r="GV45" s="606"/>
      <c r="GW45" s="639"/>
      <c r="GX45" s="639"/>
      <c r="GY45" s="638"/>
      <c r="GZ45" s="498"/>
      <c r="HA45" s="579"/>
      <c r="HB45" s="579"/>
      <c r="HC45" s="606"/>
      <c r="HD45" s="639"/>
      <c r="HE45" s="639"/>
      <c r="HF45" s="638"/>
      <c r="HG45" s="498"/>
      <c r="HH45" s="579"/>
      <c r="HI45" s="579"/>
      <c r="HJ45" s="606"/>
      <c r="HK45" s="639"/>
      <c r="HL45" s="639"/>
      <c r="HM45" s="638"/>
      <c r="HN45" s="498"/>
      <c r="HO45" s="579"/>
      <c r="HP45" s="579"/>
      <c r="HQ45" s="606"/>
      <c r="HR45" s="639"/>
      <c r="HS45" s="639"/>
      <c r="HT45" s="638"/>
      <c r="HU45" s="498"/>
      <c r="HV45" s="579"/>
      <c r="HW45" s="579"/>
      <c r="HX45" s="606"/>
      <c r="HY45" s="639"/>
      <c r="HZ45" s="639"/>
      <c r="IA45" s="638"/>
      <c r="IB45" s="498"/>
      <c r="IC45" s="579"/>
      <c r="ID45" s="579"/>
      <c r="IE45" s="606"/>
      <c r="IF45" s="639"/>
      <c r="IG45" s="639"/>
      <c r="IH45" s="638"/>
      <c r="II45" s="498"/>
      <c r="IJ45" s="579"/>
      <c r="IK45" s="579"/>
      <c r="IL45" s="606"/>
      <c r="IM45" s="639"/>
      <c r="IN45" s="639"/>
      <c r="IO45" s="638"/>
      <c r="IP45" s="498"/>
      <c r="IQ45" s="579"/>
      <c r="IR45" s="579"/>
      <c r="IS45" s="606"/>
      <c r="IT45" s="639"/>
    </row>
    <row r="46" spans="2:253" s="579" customFormat="1" ht="16.5" customHeight="1">
      <c r="B46" s="574"/>
      <c r="C46" s="574"/>
      <c r="D46" s="498"/>
      <c r="E46" s="498"/>
      <c r="F46" s="498"/>
      <c r="G46" s="498"/>
      <c r="H46" s="606"/>
      <c r="I46" s="581"/>
      <c r="J46" s="606"/>
      <c r="K46" s="606"/>
      <c r="M46" s="581"/>
      <c r="O46" s="606"/>
      <c r="P46" s="581"/>
      <c r="Q46" s="606"/>
      <c r="R46" s="606"/>
      <c r="T46" s="581"/>
      <c r="V46" s="606"/>
      <c r="W46" s="581"/>
      <c r="X46" s="606"/>
      <c r="Y46" s="606"/>
      <c r="AA46" s="581"/>
      <c r="AC46" s="606"/>
      <c r="AD46" s="581"/>
      <c r="AE46" s="606"/>
      <c r="AF46" s="606"/>
      <c r="AH46" s="581"/>
      <c r="AJ46" s="606"/>
      <c r="AK46" s="581"/>
      <c r="AL46" s="606"/>
      <c r="AM46" s="606"/>
      <c r="AO46" s="581"/>
      <c r="AQ46" s="606"/>
      <c r="AR46" s="581"/>
      <c r="AS46" s="606"/>
      <c r="AT46" s="606"/>
      <c r="AV46" s="581"/>
      <c r="AX46" s="606"/>
      <c r="AY46" s="581"/>
      <c r="AZ46" s="606"/>
      <c r="BA46" s="606"/>
      <c r="BC46" s="581"/>
      <c r="BE46" s="606"/>
      <c r="BF46" s="581"/>
      <c r="BG46" s="606"/>
      <c r="BH46" s="606"/>
      <c r="BJ46" s="581"/>
      <c r="BL46" s="606"/>
      <c r="BM46" s="581"/>
      <c r="BN46" s="606"/>
      <c r="BO46" s="606"/>
      <c r="BQ46" s="581"/>
      <c r="BS46" s="606"/>
      <c r="BT46" s="581"/>
      <c r="BU46" s="606"/>
      <c r="BV46" s="606"/>
      <c r="BX46" s="581"/>
      <c r="BZ46" s="606"/>
      <c r="CA46" s="581"/>
      <c r="CB46" s="606"/>
      <c r="CC46" s="606"/>
      <c r="CE46" s="581"/>
      <c r="CG46" s="606"/>
      <c r="CH46" s="581"/>
      <c r="CI46" s="606"/>
      <c r="CJ46" s="606"/>
      <c r="CL46" s="581"/>
      <c r="CN46" s="606"/>
      <c r="CO46" s="581"/>
      <c r="CP46" s="606"/>
      <c r="CQ46" s="606"/>
      <c r="CS46" s="581"/>
      <c r="CU46" s="606"/>
      <c r="CV46" s="581"/>
      <c r="CW46" s="606"/>
      <c r="CX46" s="606"/>
      <c r="CZ46" s="581"/>
      <c r="DB46" s="606"/>
      <c r="DC46" s="581"/>
      <c r="DD46" s="606"/>
      <c r="DE46" s="606"/>
      <c r="DG46" s="581"/>
      <c r="DI46" s="606"/>
      <c r="DJ46" s="581"/>
      <c r="DK46" s="606"/>
      <c r="DL46" s="606"/>
      <c r="DN46" s="581"/>
      <c r="DP46" s="606"/>
      <c r="DQ46" s="581"/>
      <c r="DR46" s="606"/>
      <c r="DS46" s="606"/>
      <c r="DU46" s="581"/>
      <c r="DW46" s="606"/>
      <c r="DX46" s="581"/>
      <c r="DY46" s="606"/>
      <c r="DZ46" s="606"/>
      <c r="EB46" s="581"/>
      <c r="ED46" s="606"/>
      <c r="EE46" s="581"/>
      <c r="EF46" s="606"/>
      <c r="EG46" s="606"/>
      <c r="EI46" s="581"/>
      <c r="EK46" s="606"/>
      <c r="EL46" s="581"/>
      <c r="EM46" s="606"/>
      <c r="EN46" s="606"/>
      <c r="EP46" s="581"/>
      <c r="ER46" s="606"/>
      <c r="ES46" s="581"/>
      <c r="ET46" s="606"/>
      <c r="EU46" s="606"/>
      <c r="EW46" s="581"/>
      <c r="EY46" s="606"/>
      <c r="EZ46" s="581"/>
      <c r="FA46" s="606"/>
      <c r="FB46" s="606"/>
      <c r="FD46" s="581"/>
      <c r="FF46" s="606"/>
      <c r="FG46" s="581"/>
      <c r="FH46" s="606"/>
      <c r="FI46" s="606"/>
      <c r="FK46" s="581"/>
      <c r="FM46" s="606"/>
      <c r="FN46" s="581"/>
      <c r="FO46" s="606"/>
      <c r="FP46" s="606"/>
      <c r="FR46" s="581"/>
      <c r="FT46" s="606"/>
      <c r="FU46" s="581"/>
      <c r="FV46" s="606"/>
      <c r="FW46" s="606"/>
      <c r="FY46" s="581"/>
      <c r="GA46" s="606"/>
      <c r="GB46" s="581"/>
      <c r="GC46" s="606"/>
      <c r="GD46" s="606"/>
      <c r="GF46" s="581"/>
      <c r="GH46" s="606"/>
      <c r="GI46" s="581"/>
      <c r="GJ46" s="606"/>
      <c r="GK46" s="606"/>
      <c r="GM46" s="581"/>
      <c r="GO46" s="606"/>
      <c r="GP46" s="581"/>
      <c r="GQ46" s="606"/>
      <c r="GR46" s="606"/>
      <c r="GT46" s="581"/>
      <c r="GV46" s="606"/>
      <c r="GW46" s="581"/>
      <c r="GX46" s="606"/>
      <c r="GY46" s="606"/>
      <c r="HA46" s="581"/>
      <c r="HC46" s="606"/>
      <c r="HD46" s="581"/>
      <c r="HE46" s="606"/>
      <c r="HF46" s="606"/>
      <c r="HH46" s="581"/>
      <c r="HJ46" s="606"/>
      <c r="HK46" s="581"/>
      <c r="HL46" s="606"/>
      <c r="HM46" s="606"/>
      <c r="HO46" s="581"/>
      <c r="HQ46" s="606"/>
      <c r="HR46" s="581"/>
      <c r="HS46" s="606"/>
      <c r="HT46" s="606"/>
      <c r="HV46" s="581"/>
      <c r="HX46" s="606"/>
      <c r="HY46" s="581"/>
      <c r="HZ46" s="606"/>
      <c r="IA46" s="606"/>
      <c r="IC46" s="581"/>
      <c r="IE46" s="606"/>
      <c r="IF46" s="581"/>
      <c r="IG46" s="606"/>
      <c r="IH46" s="606"/>
      <c r="IJ46" s="581"/>
      <c r="IL46" s="606"/>
      <c r="IM46" s="581"/>
      <c r="IN46" s="606"/>
      <c r="IO46" s="606"/>
      <c r="IQ46" s="581"/>
      <c r="IS46" s="606"/>
    </row>
    <row r="47" spans="1:7" s="581" customFormat="1" ht="12.75">
      <c r="A47" s="607"/>
      <c r="B47" s="640"/>
      <c r="C47" s="640"/>
      <c r="D47" s="498"/>
      <c r="E47" s="498"/>
      <c r="F47" s="498"/>
      <c r="G47" s="498"/>
    </row>
    <row r="48" spans="1:7" s="499" customFormat="1" ht="12.75">
      <c r="A48" s="641"/>
      <c r="D48" s="498"/>
      <c r="E48" s="498"/>
      <c r="F48" s="498"/>
      <c r="G48" s="498"/>
    </row>
    <row r="49" spans="1:7" s="499" customFormat="1" ht="12.75">
      <c r="A49" s="577"/>
      <c r="B49" s="577"/>
      <c r="C49" s="577"/>
      <c r="D49" s="498"/>
      <c r="E49" s="498"/>
      <c r="F49" s="498"/>
      <c r="G49" s="498"/>
    </row>
    <row r="57" spans="4:7" ht="11.25">
      <c r="D57" s="498">
        <v>0</v>
      </c>
      <c r="E57" s="498">
        <v>0</v>
      </c>
      <c r="F57" s="498">
        <v>0</v>
      </c>
      <c r="G57" s="498">
        <v>0</v>
      </c>
    </row>
    <row r="58" spans="4:7" ht="11.25">
      <c r="D58" s="498">
        <v>0</v>
      </c>
      <c r="E58" s="498">
        <v>0</v>
      </c>
      <c r="F58" s="498">
        <v>0</v>
      </c>
      <c r="G58" s="498">
        <v>0</v>
      </c>
    </row>
    <row r="59" spans="4:7" ht="11.25">
      <c r="D59" s="498">
        <v>0</v>
      </c>
      <c r="E59" s="498">
        <v>0</v>
      </c>
      <c r="F59" s="498">
        <v>0</v>
      </c>
      <c r="G59" s="498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15.08.00.
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E33">
      <selection activeCell="E13" sqref="E13"/>
    </sheetView>
  </sheetViews>
  <sheetFormatPr defaultColWidth="9.140625" defaultRowHeight="12.75"/>
  <cols>
    <col min="1" max="1" width="17.7109375" style="538" customWidth="1"/>
    <col min="2" max="2" width="8.8515625" style="498" customWidth="1"/>
    <col min="3" max="3" width="8.421875" style="498" customWidth="1"/>
    <col min="4" max="4" width="8.8515625" style="498" customWidth="1"/>
    <col min="5" max="5" width="8.57421875" style="498" customWidth="1"/>
    <col min="6" max="6" width="6.8515625" style="498" customWidth="1"/>
    <col min="7" max="7" width="8.421875" style="498" customWidth="1"/>
    <col min="8" max="8" width="11.28125" style="498" customWidth="1"/>
    <col min="9" max="9" width="10.140625" style="498" customWidth="1"/>
    <col min="10" max="10" width="8.57421875" style="498" customWidth="1"/>
    <col min="11" max="11" width="8.00390625" style="498" customWidth="1"/>
    <col min="12" max="13" width="7.57421875" style="498" customWidth="1"/>
    <col min="14" max="14" width="7.140625" style="498" customWidth="1"/>
    <col min="15" max="16" width="9.28125" style="498" customWidth="1"/>
    <col min="17" max="16384" width="8.00390625" style="498" customWidth="1"/>
  </cols>
  <sheetData>
    <row r="1" spans="1:16" ht="12.75">
      <c r="A1" s="533"/>
      <c r="B1" s="499"/>
      <c r="C1" s="499"/>
      <c r="D1" s="499"/>
      <c r="E1" s="499"/>
      <c r="F1" s="499" t="s">
        <v>653</v>
      </c>
      <c r="G1" s="499"/>
      <c r="H1" s="499"/>
      <c r="I1" s="499"/>
      <c r="J1" s="499"/>
      <c r="K1" s="499"/>
      <c r="L1" s="499"/>
      <c r="M1" s="499"/>
      <c r="N1" s="496"/>
      <c r="O1" s="496"/>
      <c r="P1" s="496" t="s">
        <v>654</v>
      </c>
    </row>
    <row r="2" spans="14:15" ht="12">
      <c r="N2" s="642"/>
      <c r="O2" s="546"/>
    </row>
    <row r="3" spans="1:16" s="499" customFormat="1" ht="12.75">
      <c r="A3" s="533"/>
      <c r="N3" s="496"/>
      <c r="O3" s="496"/>
      <c r="P3" s="496"/>
    </row>
    <row r="4" spans="1:16" s="544" customFormat="1" ht="15.75">
      <c r="A4" s="643" t="s">
        <v>655</v>
      </c>
      <c r="B4" s="6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</row>
    <row r="5" spans="1:16" s="645" customFormat="1" ht="15.75">
      <c r="A5" s="500" t="s">
        <v>586</v>
      </c>
      <c r="B5" s="500"/>
      <c r="C5" s="500"/>
      <c r="D5" s="500"/>
      <c r="E5" s="644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</row>
    <row r="6" spans="1:16" s="645" customFormat="1" ht="15.75">
      <c r="A6" s="500"/>
      <c r="B6" s="500"/>
      <c r="C6" s="500"/>
      <c r="D6" s="500"/>
      <c r="E6" s="644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</row>
    <row r="7" spans="1:16" s="547" customFormat="1" ht="11.25">
      <c r="A7" s="646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 t="s">
        <v>656</v>
      </c>
      <c r="N7" s="587"/>
      <c r="O7" s="549"/>
      <c r="P7" s="587"/>
    </row>
    <row r="8" spans="1:16" s="499" customFormat="1" ht="12.75">
      <c r="A8" s="647"/>
      <c r="B8" s="648" t="s">
        <v>323</v>
      </c>
      <c r="C8" s="648"/>
      <c r="D8" s="648"/>
      <c r="E8" s="649" t="s">
        <v>657</v>
      </c>
      <c r="F8" s="648"/>
      <c r="G8" s="648"/>
      <c r="H8" s="650"/>
      <c r="I8" s="650"/>
      <c r="J8" s="651" t="s">
        <v>658</v>
      </c>
      <c r="K8" s="648"/>
      <c r="L8" s="648"/>
      <c r="M8" s="652"/>
      <c r="N8" s="648"/>
      <c r="O8" s="653"/>
      <c r="P8" s="654"/>
    </row>
    <row r="9" spans="1:16" ht="11.25">
      <c r="A9" s="655"/>
      <c r="B9" s="590"/>
      <c r="C9" s="656"/>
      <c r="D9" s="656"/>
      <c r="E9" s="656"/>
      <c r="F9" s="656"/>
      <c r="G9" s="656"/>
      <c r="H9" s="656"/>
      <c r="I9" s="656"/>
      <c r="J9" s="656"/>
      <c r="K9" s="656"/>
      <c r="L9" s="657" t="s">
        <v>659</v>
      </c>
      <c r="M9" s="657"/>
      <c r="N9" s="590"/>
      <c r="O9" s="656"/>
      <c r="P9" s="658"/>
    </row>
    <row r="10" spans="1:16" s="665" customFormat="1" ht="45">
      <c r="A10" s="659" t="s">
        <v>660</v>
      </c>
      <c r="B10" s="660" t="s">
        <v>661</v>
      </c>
      <c r="C10" s="661" t="s">
        <v>662</v>
      </c>
      <c r="D10" s="662" t="s">
        <v>663</v>
      </c>
      <c r="E10" s="662" t="s">
        <v>664</v>
      </c>
      <c r="F10" s="662" t="s">
        <v>665</v>
      </c>
      <c r="G10" s="662" t="s">
        <v>666</v>
      </c>
      <c r="H10" s="662" t="s">
        <v>667</v>
      </c>
      <c r="I10" s="662" t="s">
        <v>668</v>
      </c>
      <c r="J10" s="662" t="s">
        <v>43</v>
      </c>
      <c r="K10" s="662" t="s">
        <v>669</v>
      </c>
      <c r="L10" s="662" t="s">
        <v>670</v>
      </c>
      <c r="M10" s="662" t="s">
        <v>671</v>
      </c>
      <c r="N10" s="662" t="s">
        <v>672</v>
      </c>
      <c r="O10" s="663" t="s">
        <v>54</v>
      </c>
      <c r="P10" s="664" t="s">
        <v>673</v>
      </c>
    </row>
    <row r="11" spans="1:16" s="547" customFormat="1" ht="11.25">
      <c r="A11" s="666">
        <v>1</v>
      </c>
      <c r="B11" s="667">
        <v>2</v>
      </c>
      <c r="C11" s="667">
        <v>3</v>
      </c>
      <c r="D11" s="667">
        <v>4</v>
      </c>
      <c r="E11" s="667">
        <v>5</v>
      </c>
      <c r="F11" s="667">
        <v>6</v>
      </c>
      <c r="G11" s="667">
        <v>7</v>
      </c>
      <c r="H11" s="667">
        <v>8</v>
      </c>
      <c r="I11" s="667">
        <v>9</v>
      </c>
      <c r="J11" s="667">
        <v>10</v>
      </c>
      <c r="K11" s="667">
        <v>11</v>
      </c>
      <c r="L11" s="667">
        <v>12</v>
      </c>
      <c r="M11" s="667">
        <v>13</v>
      </c>
      <c r="N11" s="667">
        <v>14</v>
      </c>
      <c r="O11" s="667">
        <v>15</v>
      </c>
      <c r="P11" s="668">
        <v>16</v>
      </c>
    </row>
    <row r="12" spans="1:16" ht="12.75">
      <c r="A12" s="669" t="s">
        <v>674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>
        <v>0</v>
      </c>
      <c r="L12" s="670">
        <v>0</v>
      </c>
      <c r="M12" s="670"/>
      <c r="N12" s="670"/>
      <c r="O12" s="670"/>
      <c r="P12" s="671">
        <v>0</v>
      </c>
    </row>
    <row r="13" spans="1:16" ht="12">
      <c r="A13" s="563" t="s">
        <v>675</v>
      </c>
      <c r="B13" s="672">
        <v>68246431</v>
      </c>
      <c r="C13" s="672">
        <v>14760625</v>
      </c>
      <c r="D13" s="672">
        <v>83007056</v>
      </c>
      <c r="E13" s="672">
        <v>76158994</v>
      </c>
      <c r="F13" s="672">
        <v>10397644</v>
      </c>
      <c r="G13" s="672">
        <v>86556638</v>
      </c>
      <c r="H13" s="672">
        <v>-3549582</v>
      </c>
      <c r="I13" s="672">
        <v>3549582</v>
      </c>
      <c r="J13" s="672">
        <v>-1500000</v>
      </c>
      <c r="K13" s="672">
        <v>1434190</v>
      </c>
      <c r="L13" s="672">
        <v>5649964</v>
      </c>
      <c r="M13" s="672">
        <v>4215774</v>
      </c>
      <c r="N13" s="672">
        <v>-4300000</v>
      </c>
      <c r="O13" s="672">
        <v>8106718</v>
      </c>
      <c r="P13" s="673">
        <v>-191326</v>
      </c>
    </row>
    <row r="14" spans="1:16" ht="12">
      <c r="A14" s="674" t="s">
        <v>676</v>
      </c>
      <c r="B14" s="672">
        <v>5744555</v>
      </c>
      <c r="C14" s="672">
        <v>2572395</v>
      </c>
      <c r="D14" s="672">
        <v>8316950</v>
      </c>
      <c r="E14" s="672">
        <v>9146709</v>
      </c>
      <c r="F14" s="672">
        <v>5174</v>
      </c>
      <c r="G14" s="672">
        <v>9151883</v>
      </c>
      <c r="H14" s="672">
        <v>-834933</v>
      </c>
      <c r="I14" s="672">
        <v>834933</v>
      </c>
      <c r="J14" s="672">
        <v>400000</v>
      </c>
      <c r="K14" s="672">
        <v>-47077</v>
      </c>
      <c r="L14" s="672">
        <v>70515</v>
      </c>
      <c r="M14" s="672">
        <v>117592</v>
      </c>
      <c r="N14" s="672">
        <v>-18750</v>
      </c>
      <c r="O14" s="672">
        <v>500760</v>
      </c>
      <c r="P14" s="673">
        <v>0</v>
      </c>
    </row>
    <row r="15" spans="1:16" ht="12">
      <c r="A15" s="674" t="s">
        <v>677</v>
      </c>
      <c r="B15" s="672">
        <v>3786753</v>
      </c>
      <c r="C15" s="672">
        <v>2000362</v>
      </c>
      <c r="D15" s="672">
        <v>5787115</v>
      </c>
      <c r="E15" s="672">
        <v>5078041</v>
      </c>
      <c r="F15" s="672">
        <v>38432</v>
      </c>
      <c r="G15" s="672">
        <v>5116473</v>
      </c>
      <c r="H15" s="672">
        <v>670642</v>
      </c>
      <c r="I15" s="672">
        <v>-670642</v>
      </c>
      <c r="J15" s="672">
        <v>-550000</v>
      </c>
      <c r="K15" s="672">
        <v>-217332</v>
      </c>
      <c r="L15" s="672">
        <v>44232</v>
      </c>
      <c r="M15" s="672">
        <v>261564</v>
      </c>
      <c r="N15" s="672">
        <v>0</v>
      </c>
      <c r="O15" s="672">
        <v>46000</v>
      </c>
      <c r="P15" s="673">
        <v>51000</v>
      </c>
    </row>
    <row r="16" spans="1:16" ht="12">
      <c r="A16" s="674" t="s">
        <v>678</v>
      </c>
      <c r="B16" s="672">
        <v>4284098</v>
      </c>
      <c r="C16" s="672">
        <v>1105028</v>
      </c>
      <c r="D16" s="672">
        <v>5389126</v>
      </c>
      <c r="E16" s="672">
        <v>5100738</v>
      </c>
      <c r="F16" s="672">
        <v>189111</v>
      </c>
      <c r="G16" s="672">
        <v>5289849</v>
      </c>
      <c r="H16" s="672">
        <v>99277</v>
      </c>
      <c r="I16" s="672">
        <v>-99277</v>
      </c>
      <c r="J16" s="672">
        <v>210971</v>
      </c>
      <c r="K16" s="672">
        <v>-310248</v>
      </c>
      <c r="L16" s="672">
        <v>51094</v>
      </c>
      <c r="M16" s="672">
        <v>361342</v>
      </c>
      <c r="N16" s="672">
        <v>0</v>
      </c>
      <c r="O16" s="672">
        <v>0</v>
      </c>
      <c r="P16" s="673">
        <v>0</v>
      </c>
    </row>
    <row r="17" spans="1:16" ht="12">
      <c r="A17" s="674" t="s">
        <v>679</v>
      </c>
      <c r="B17" s="672">
        <v>5526085</v>
      </c>
      <c r="C17" s="672">
        <v>2359747</v>
      </c>
      <c r="D17" s="672">
        <v>7885832</v>
      </c>
      <c r="E17" s="672">
        <v>7623601</v>
      </c>
      <c r="F17" s="672">
        <v>187545</v>
      </c>
      <c r="G17" s="672">
        <v>7811146</v>
      </c>
      <c r="H17" s="672">
        <v>74686</v>
      </c>
      <c r="I17" s="672">
        <v>-74686</v>
      </c>
      <c r="J17" s="672">
        <v>0</v>
      </c>
      <c r="K17" s="672">
        <v>-107781</v>
      </c>
      <c r="L17" s="672">
        <v>415621</v>
      </c>
      <c r="M17" s="672">
        <v>523402</v>
      </c>
      <c r="N17" s="672">
        <v>0</v>
      </c>
      <c r="O17" s="672">
        <v>33095</v>
      </c>
      <c r="P17" s="673">
        <v>0</v>
      </c>
    </row>
    <row r="18" spans="1:16" ht="12">
      <c r="A18" s="674" t="s">
        <v>680</v>
      </c>
      <c r="B18" s="672">
        <v>1954878</v>
      </c>
      <c r="C18" s="672">
        <v>1076888</v>
      </c>
      <c r="D18" s="672">
        <v>3031766</v>
      </c>
      <c r="E18" s="672">
        <v>3078261</v>
      </c>
      <c r="F18" s="672">
        <v>5128</v>
      </c>
      <c r="G18" s="672">
        <v>3083389</v>
      </c>
      <c r="H18" s="672">
        <v>-51000</v>
      </c>
      <c r="I18" s="672">
        <v>51000</v>
      </c>
      <c r="J18" s="672">
        <v>0</v>
      </c>
      <c r="K18" s="672">
        <v>51623</v>
      </c>
      <c r="L18" s="672">
        <v>90589</v>
      </c>
      <c r="M18" s="672">
        <v>38966</v>
      </c>
      <c r="N18" s="672">
        <v>0</v>
      </c>
      <c r="O18" s="672">
        <v>0</v>
      </c>
      <c r="P18" s="673">
        <v>0</v>
      </c>
    </row>
    <row r="19" spans="1:16" ht="12">
      <c r="A19" s="674" t="s">
        <v>681</v>
      </c>
      <c r="B19" s="672">
        <v>6130990</v>
      </c>
      <c r="C19" s="672">
        <v>823720</v>
      </c>
      <c r="D19" s="672">
        <v>6954710</v>
      </c>
      <c r="E19" s="672">
        <v>5287855</v>
      </c>
      <c r="F19" s="672">
        <v>1515651</v>
      </c>
      <c r="G19" s="672">
        <v>6803506</v>
      </c>
      <c r="H19" s="672">
        <v>151204</v>
      </c>
      <c r="I19" s="672">
        <v>-151204</v>
      </c>
      <c r="J19" s="672">
        <v>0</v>
      </c>
      <c r="K19" s="672">
        <v>-151204</v>
      </c>
      <c r="L19" s="672">
        <v>972974</v>
      </c>
      <c r="M19" s="672">
        <v>1124178</v>
      </c>
      <c r="N19" s="672">
        <v>0</v>
      </c>
      <c r="O19" s="672">
        <v>0</v>
      </c>
      <c r="P19" s="673">
        <v>0</v>
      </c>
    </row>
    <row r="20" spans="1:16" ht="12.75">
      <c r="A20" s="669" t="s">
        <v>682</v>
      </c>
      <c r="B20" s="672">
        <f aca="true" t="shared" si="0" ref="B20:P20">SUM(B13:B19)</f>
        <v>95673790</v>
      </c>
      <c r="C20" s="672">
        <f t="shared" si="0"/>
        <v>24698765</v>
      </c>
      <c r="D20" s="672">
        <f t="shared" si="0"/>
        <v>120372555</v>
      </c>
      <c r="E20" s="672">
        <f t="shared" si="0"/>
        <v>111474199</v>
      </c>
      <c r="F20" s="672">
        <f t="shared" si="0"/>
        <v>12338685</v>
      </c>
      <c r="G20" s="672">
        <f t="shared" si="0"/>
        <v>123812884</v>
      </c>
      <c r="H20" s="672">
        <f t="shared" si="0"/>
        <v>-3439706</v>
      </c>
      <c r="I20" s="672">
        <f t="shared" si="0"/>
        <v>3439706</v>
      </c>
      <c r="J20" s="672">
        <f t="shared" si="0"/>
        <v>-1439029</v>
      </c>
      <c r="K20" s="672">
        <f t="shared" si="0"/>
        <v>652171</v>
      </c>
      <c r="L20" s="672">
        <f t="shared" si="0"/>
        <v>7294989</v>
      </c>
      <c r="M20" s="672">
        <f t="shared" si="0"/>
        <v>6642818</v>
      </c>
      <c r="N20" s="672">
        <f t="shared" si="0"/>
        <v>-4318750</v>
      </c>
      <c r="O20" s="672">
        <f t="shared" si="0"/>
        <v>8686573</v>
      </c>
      <c r="P20" s="673">
        <f t="shared" si="0"/>
        <v>-140326</v>
      </c>
    </row>
    <row r="21" spans="1:16" s="675" customFormat="1" ht="12.75">
      <c r="A21" s="669" t="s">
        <v>683</v>
      </c>
      <c r="B21" s="672"/>
      <c r="C21" s="672"/>
      <c r="D21" s="672"/>
      <c r="E21" s="672"/>
      <c r="F21" s="672"/>
      <c r="G21" s="672"/>
      <c r="H21" s="672"/>
      <c r="I21" s="672"/>
      <c r="J21" s="672">
        <v>0</v>
      </c>
      <c r="K21" s="672">
        <v>0</v>
      </c>
      <c r="L21" s="672">
        <v>0</v>
      </c>
      <c r="M21" s="672"/>
      <c r="N21" s="672"/>
      <c r="O21" s="672"/>
      <c r="P21" s="673"/>
    </row>
    <row r="22" spans="1:16" ht="12">
      <c r="A22" s="674" t="s">
        <v>684</v>
      </c>
      <c r="B22" s="672">
        <v>2165596</v>
      </c>
      <c r="C22" s="672">
        <v>2214641</v>
      </c>
      <c r="D22" s="672">
        <v>4380237</v>
      </c>
      <c r="E22" s="672">
        <v>4182651</v>
      </c>
      <c r="F22" s="672">
        <v>247717</v>
      </c>
      <c r="G22" s="672">
        <v>4430368</v>
      </c>
      <c r="H22" s="672">
        <v>-50131</v>
      </c>
      <c r="I22" s="672">
        <v>50131</v>
      </c>
      <c r="J22" s="672">
        <v>49640</v>
      </c>
      <c r="K22" s="672">
        <v>-79166</v>
      </c>
      <c r="L22" s="672">
        <v>517917</v>
      </c>
      <c r="M22" s="672">
        <v>597083</v>
      </c>
      <c r="N22" s="672">
        <v>-12000</v>
      </c>
      <c r="O22" s="672">
        <v>-10425</v>
      </c>
      <c r="P22" s="673">
        <v>102608</v>
      </c>
    </row>
    <row r="23" spans="1:16" ht="12">
      <c r="A23" s="674" t="s">
        <v>685</v>
      </c>
      <c r="B23" s="672">
        <v>1104071</v>
      </c>
      <c r="C23" s="672">
        <v>1611940</v>
      </c>
      <c r="D23" s="672">
        <v>2716011</v>
      </c>
      <c r="E23" s="672">
        <v>2487216</v>
      </c>
      <c r="F23" s="672">
        <v>67182</v>
      </c>
      <c r="G23" s="672">
        <v>2554398</v>
      </c>
      <c r="H23" s="672">
        <v>161613</v>
      </c>
      <c r="I23" s="672">
        <v>-161613</v>
      </c>
      <c r="J23" s="672">
        <v>54195</v>
      </c>
      <c r="K23" s="672">
        <v>-209990</v>
      </c>
      <c r="L23" s="672">
        <v>80951</v>
      </c>
      <c r="M23" s="672">
        <v>290941</v>
      </c>
      <c r="N23" s="672">
        <v>0</v>
      </c>
      <c r="O23" s="672">
        <v>-4684</v>
      </c>
      <c r="P23" s="673">
        <v>-1134</v>
      </c>
    </row>
    <row r="24" spans="1:16" ht="12">
      <c r="A24" s="674" t="s">
        <v>686</v>
      </c>
      <c r="B24" s="672">
        <v>1004934</v>
      </c>
      <c r="C24" s="672">
        <v>1992413</v>
      </c>
      <c r="D24" s="672">
        <v>2997347</v>
      </c>
      <c r="E24" s="672">
        <v>2787552</v>
      </c>
      <c r="F24" s="672">
        <v>67181</v>
      </c>
      <c r="G24" s="672">
        <v>2854733</v>
      </c>
      <c r="H24" s="672">
        <v>142000</v>
      </c>
      <c r="I24" s="672">
        <v>-142000</v>
      </c>
      <c r="J24" s="672">
        <v>4138</v>
      </c>
      <c r="K24" s="672">
        <v>-143723</v>
      </c>
      <c r="L24" s="672">
        <v>98384</v>
      </c>
      <c r="M24" s="672">
        <v>242107</v>
      </c>
      <c r="N24" s="672">
        <v>0</v>
      </c>
      <c r="O24" s="672">
        <v>-3029</v>
      </c>
      <c r="P24" s="673">
        <v>0</v>
      </c>
    </row>
    <row r="25" spans="1:16" ht="12">
      <c r="A25" s="674" t="s">
        <v>687</v>
      </c>
      <c r="B25" s="672">
        <v>2261687</v>
      </c>
      <c r="C25" s="672">
        <v>2777140</v>
      </c>
      <c r="D25" s="672">
        <v>5038827</v>
      </c>
      <c r="E25" s="672">
        <v>4631641</v>
      </c>
      <c r="F25" s="672">
        <v>288539</v>
      </c>
      <c r="G25" s="672">
        <v>4920180</v>
      </c>
      <c r="H25" s="672">
        <v>118647</v>
      </c>
      <c r="I25" s="672">
        <v>-118647</v>
      </c>
      <c r="J25" s="672">
        <v>16003</v>
      </c>
      <c r="K25" s="672">
        <v>-158097</v>
      </c>
      <c r="L25" s="672">
        <v>242344</v>
      </c>
      <c r="M25" s="672">
        <v>400441</v>
      </c>
      <c r="N25" s="672">
        <v>35729</v>
      </c>
      <c r="O25" s="672">
        <v>-1245</v>
      </c>
      <c r="P25" s="673">
        <v>-11037</v>
      </c>
    </row>
    <row r="26" spans="1:16" ht="12">
      <c r="A26" s="674" t="s">
        <v>688</v>
      </c>
      <c r="B26" s="672">
        <v>3454780</v>
      </c>
      <c r="C26" s="672">
        <v>3428578</v>
      </c>
      <c r="D26" s="672">
        <v>6883358</v>
      </c>
      <c r="E26" s="672">
        <v>6490863</v>
      </c>
      <c r="F26" s="672">
        <v>289028</v>
      </c>
      <c r="G26" s="672">
        <v>6779891</v>
      </c>
      <c r="H26" s="672">
        <v>103467</v>
      </c>
      <c r="I26" s="672">
        <v>-103467</v>
      </c>
      <c r="J26" s="672">
        <v>168800</v>
      </c>
      <c r="K26" s="672">
        <v>-255953</v>
      </c>
      <c r="L26" s="672">
        <v>184737</v>
      </c>
      <c r="M26" s="672">
        <v>440690</v>
      </c>
      <c r="N26" s="672">
        <v>-1186</v>
      </c>
      <c r="O26" s="672">
        <v>0</v>
      </c>
      <c r="P26" s="673">
        <v>-15128</v>
      </c>
    </row>
    <row r="27" spans="1:16" ht="12">
      <c r="A27" s="674" t="s">
        <v>689</v>
      </c>
      <c r="B27" s="672">
        <v>1713056</v>
      </c>
      <c r="C27" s="672">
        <v>2535618</v>
      </c>
      <c r="D27" s="672">
        <v>4248674</v>
      </c>
      <c r="E27" s="672">
        <v>3845142</v>
      </c>
      <c r="F27" s="672">
        <v>215070</v>
      </c>
      <c r="G27" s="672">
        <v>4060212</v>
      </c>
      <c r="H27" s="672">
        <v>188462</v>
      </c>
      <c r="I27" s="672">
        <v>-188462</v>
      </c>
      <c r="J27" s="672">
        <v>176179</v>
      </c>
      <c r="K27" s="672">
        <v>-356898</v>
      </c>
      <c r="L27" s="672">
        <v>220219</v>
      </c>
      <c r="M27" s="672">
        <v>577117</v>
      </c>
      <c r="N27" s="672">
        <v>-1169</v>
      </c>
      <c r="O27" s="672">
        <v>0</v>
      </c>
      <c r="P27" s="673">
        <v>-6574</v>
      </c>
    </row>
    <row r="28" spans="1:16" ht="12">
      <c r="A28" s="674" t="s">
        <v>690</v>
      </c>
      <c r="B28" s="672">
        <v>1892924</v>
      </c>
      <c r="C28" s="672">
        <v>2051102</v>
      </c>
      <c r="D28" s="672">
        <v>3944026</v>
      </c>
      <c r="E28" s="672">
        <v>3590094</v>
      </c>
      <c r="F28" s="672">
        <v>229710</v>
      </c>
      <c r="G28" s="672">
        <v>3819804</v>
      </c>
      <c r="H28" s="672">
        <v>124222</v>
      </c>
      <c r="I28" s="672">
        <v>-124222</v>
      </c>
      <c r="J28" s="672">
        <v>15750</v>
      </c>
      <c r="K28" s="672">
        <v>-137249</v>
      </c>
      <c r="L28" s="672">
        <v>161601</v>
      </c>
      <c r="M28" s="672">
        <v>298850</v>
      </c>
      <c r="N28" s="672">
        <v>0</v>
      </c>
      <c r="O28" s="672">
        <v>0</v>
      </c>
      <c r="P28" s="673">
        <v>-2723</v>
      </c>
    </row>
    <row r="29" spans="1:16" ht="12">
      <c r="A29" s="674" t="s">
        <v>691</v>
      </c>
      <c r="B29" s="672">
        <v>1261880</v>
      </c>
      <c r="C29" s="672">
        <v>1516825</v>
      </c>
      <c r="D29" s="672">
        <v>2778705</v>
      </c>
      <c r="E29" s="672">
        <v>2506734</v>
      </c>
      <c r="F29" s="672">
        <v>71460</v>
      </c>
      <c r="G29" s="672">
        <v>2578194</v>
      </c>
      <c r="H29" s="672">
        <v>200511</v>
      </c>
      <c r="I29" s="672">
        <v>-200511</v>
      </c>
      <c r="J29" s="672">
        <v>5585</v>
      </c>
      <c r="K29" s="672">
        <v>-149323</v>
      </c>
      <c r="L29" s="672">
        <v>286223</v>
      </c>
      <c r="M29" s="672">
        <v>435546</v>
      </c>
      <c r="N29" s="672">
        <v>0</v>
      </c>
      <c r="O29" s="672">
        <v>0</v>
      </c>
      <c r="P29" s="673">
        <v>-56773</v>
      </c>
    </row>
    <row r="30" spans="1:16" ht="12">
      <c r="A30" s="674" t="s">
        <v>692</v>
      </c>
      <c r="B30" s="672">
        <v>1662169</v>
      </c>
      <c r="C30" s="672">
        <v>1755432</v>
      </c>
      <c r="D30" s="672">
        <v>3417601</v>
      </c>
      <c r="E30" s="672">
        <v>3231749</v>
      </c>
      <c r="F30" s="672">
        <v>189504</v>
      </c>
      <c r="G30" s="672">
        <v>3421253</v>
      </c>
      <c r="H30" s="672">
        <v>-3652</v>
      </c>
      <c r="I30" s="672">
        <v>3652</v>
      </c>
      <c r="J30" s="672">
        <v>229491</v>
      </c>
      <c r="K30" s="672">
        <v>-107189</v>
      </c>
      <c r="L30" s="672">
        <v>80112</v>
      </c>
      <c r="M30" s="672">
        <v>187301</v>
      </c>
      <c r="N30" s="672">
        <v>-119000</v>
      </c>
      <c r="O30" s="672">
        <v>-50</v>
      </c>
      <c r="P30" s="673">
        <v>0</v>
      </c>
    </row>
    <row r="31" spans="1:16" ht="12">
      <c r="A31" s="674" t="s">
        <v>693</v>
      </c>
      <c r="B31" s="672">
        <v>2196864</v>
      </c>
      <c r="C31" s="672">
        <v>2789631</v>
      </c>
      <c r="D31" s="672">
        <v>4986495</v>
      </c>
      <c r="E31" s="672">
        <v>4824496</v>
      </c>
      <c r="F31" s="672">
        <v>124516</v>
      </c>
      <c r="G31" s="672">
        <v>4949012</v>
      </c>
      <c r="H31" s="672">
        <v>37000</v>
      </c>
      <c r="I31" s="672">
        <v>-37483</v>
      </c>
      <c r="J31" s="672">
        <v>12605</v>
      </c>
      <c r="K31" s="672">
        <v>-49329</v>
      </c>
      <c r="L31" s="672">
        <v>518900</v>
      </c>
      <c r="M31" s="672">
        <v>568229</v>
      </c>
      <c r="N31" s="672">
        <v>0</v>
      </c>
      <c r="O31" s="672">
        <v>179</v>
      </c>
      <c r="P31" s="673">
        <v>-938</v>
      </c>
    </row>
    <row r="32" spans="1:16" ht="12">
      <c r="A32" s="674" t="s">
        <v>694</v>
      </c>
      <c r="B32" s="672">
        <v>1130709</v>
      </c>
      <c r="C32" s="672">
        <v>2052715</v>
      </c>
      <c r="D32" s="672">
        <v>3183424</v>
      </c>
      <c r="E32" s="672">
        <v>2911634</v>
      </c>
      <c r="F32" s="672">
        <v>113771</v>
      </c>
      <c r="G32" s="672">
        <v>3025405</v>
      </c>
      <c r="H32" s="672">
        <v>158019</v>
      </c>
      <c r="I32" s="672">
        <v>-158019</v>
      </c>
      <c r="J32" s="672">
        <v>114876</v>
      </c>
      <c r="K32" s="672">
        <v>-270895</v>
      </c>
      <c r="L32" s="672">
        <v>78840</v>
      </c>
      <c r="M32" s="672">
        <v>349735</v>
      </c>
      <c r="N32" s="672">
        <v>-2000</v>
      </c>
      <c r="O32" s="672">
        <v>0</v>
      </c>
      <c r="P32" s="673">
        <v>0</v>
      </c>
    </row>
    <row r="33" spans="1:16" ht="12">
      <c r="A33" s="674" t="s">
        <v>695</v>
      </c>
      <c r="B33" s="672">
        <v>2097626</v>
      </c>
      <c r="C33" s="672">
        <v>2408217</v>
      </c>
      <c r="D33" s="672">
        <v>4505843</v>
      </c>
      <c r="E33" s="672">
        <v>4143076</v>
      </c>
      <c r="F33" s="672">
        <v>132077</v>
      </c>
      <c r="G33" s="672">
        <v>4275153</v>
      </c>
      <c r="H33" s="672">
        <v>230690</v>
      </c>
      <c r="I33" s="672">
        <v>-230690</v>
      </c>
      <c r="J33" s="672">
        <v>-7550</v>
      </c>
      <c r="K33" s="672">
        <v>-199935</v>
      </c>
      <c r="L33" s="672">
        <v>293631</v>
      </c>
      <c r="M33" s="672">
        <v>493566</v>
      </c>
      <c r="N33" s="672">
        <v>0</v>
      </c>
      <c r="O33" s="672">
        <v>0</v>
      </c>
      <c r="P33" s="673">
        <v>-23205</v>
      </c>
    </row>
    <row r="34" spans="1:16" ht="12">
      <c r="A34" s="674" t="s">
        <v>696</v>
      </c>
      <c r="B34" s="672">
        <v>1992950</v>
      </c>
      <c r="C34" s="672">
        <v>2403142</v>
      </c>
      <c r="D34" s="672">
        <v>4396092</v>
      </c>
      <c r="E34" s="672">
        <v>4209937</v>
      </c>
      <c r="F34" s="672">
        <v>103977</v>
      </c>
      <c r="G34" s="672">
        <v>4313914</v>
      </c>
      <c r="H34" s="672">
        <v>82178</v>
      </c>
      <c r="I34" s="672">
        <v>-82178</v>
      </c>
      <c r="J34" s="672">
        <v>44843</v>
      </c>
      <c r="K34" s="672">
        <v>-112735</v>
      </c>
      <c r="L34" s="672">
        <v>163151</v>
      </c>
      <c r="M34" s="672">
        <v>275886</v>
      </c>
      <c r="N34" s="672">
        <v>0</v>
      </c>
      <c r="O34" s="672">
        <v>-9712</v>
      </c>
      <c r="P34" s="673">
        <v>-4574</v>
      </c>
    </row>
    <row r="35" spans="1:16" ht="12">
      <c r="A35" s="674" t="s">
        <v>697</v>
      </c>
      <c r="B35" s="672">
        <v>2077094</v>
      </c>
      <c r="C35" s="672">
        <v>1979802</v>
      </c>
      <c r="D35" s="672">
        <v>4056896</v>
      </c>
      <c r="E35" s="672">
        <v>3997123</v>
      </c>
      <c r="F35" s="672">
        <v>272595</v>
      </c>
      <c r="G35" s="672">
        <v>4269718</v>
      </c>
      <c r="H35" s="672">
        <v>-212822</v>
      </c>
      <c r="I35" s="672">
        <v>212822</v>
      </c>
      <c r="J35" s="672">
        <v>480726</v>
      </c>
      <c r="K35" s="672">
        <v>-256609</v>
      </c>
      <c r="L35" s="672">
        <v>278002</v>
      </c>
      <c r="M35" s="672">
        <v>534611</v>
      </c>
      <c r="N35" s="672">
        <v>-10563</v>
      </c>
      <c r="O35" s="672">
        <v>0</v>
      </c>
      <c r="P35" s="673">
        <v>-732</v>
      </c>
    </row>
    <row r="36" spans="1:16" ht="12">
      <c r="A36" s="674" t="s">
        <v>698</v>
      </c>
      <c r="B36" s="672">
        <v>1124203</v>
      </c>
      <c r="C36" s="672">
        <v>1773985</v>
      </c>
      <c r="D36" s="672">
        <v>2898188</v>
      </c>
      <c r="E36" s="672">
        <v>2745311</v>
      </c>
      <c r="F36" s="672">
        <v>106004</v>
      </c>
      <c r="G36" s="672">
        <v>2851315</v>
      </c>
      <c r="H36" s="672">
        <v>46873</v>
      </c>
      <c r="I36" s="672">
        <v>-46873</v>
      </c>
      <c r="J36" s="672">
        <v>198481</v>
      </c>
      <c r="K36" s="672">
        <v>-248376</v>
      </c>
      <c r="L36" s="672">
        <v>266422</v>
      </c>
      <c r="M36" s="672">
        <v>514798</v>
      </c>
      <c r="N36" s="672">
        <v>5000</v>
      </c>
      <c r="O36" s="672">
        <v>0</v>
      </c>
      <c r="P36" s="673">
        <v>-1508</v>
      </c>
    </row>
    <row r="37" spans="1:16" ht="12">
      <c r="A37" s="674" t="s">
        <v>699</v>
      </c>
      <c r="B37" s="672">
        <v>1988285</v>
      </c>
      <c r="C37" s="672">
        <v>2511453</v>
      </c>
      <c r="D37" s="672">
        <v>4499738</v>
      </c>
      <c r="E37" s="672">
        <v>4263529</v>
      </c>
      <c r="F37" s="672">
        <v>218585</v>
      </c>
      <c r="G37" s="672">
        <v>4482114</v>
      </c>
      <c r="H37" s="672">
        <v>17624</v>
      </c>
      <c r="I37" s="672">
        <v>-17624</v>
      </c>
      <c r="J37" s="672">
        <v>130874</v>
      </c>
      <c r="K37" s="672">
        <v>-143138</v>
      </c>
      <c r="L37" s="672">
        <v>213638</v>
      </c>
      <c r="M37" s="672">
        <v>356776</v>
      </c>
      <c r="N37" s="672">
        <v>1831</v>
      </c>
      <c r="O37" s="672">
        <v>-7191</v>
      </c>
      <c r="P37" s="673">
        <v>0</v>
      </c>
    </row>
    <row r="38" spans="1:16" ht="12">
      <c r="A38" s="674" t="s">
        <v>700</v>
      </c>
      <c r="B38" s="672">
        <v>3531020</v>
      </c>
      <c r="C38" s="672">
        <v>2326824</v>
      </c>
      <c r="D38" s="672">
        <v>5857844</v>
      </c>
      <c r="E38" s="672">
        <v>5520501</v>
      </c>
      <c r="F38" s="672">
        <v>346561</v>
      </c>
      <c r="G38" s="672">
        <v>5867062</v>
      </c>
      <c r="H38" s="672">
        <v>-9218</v>
      </c>
      <c r="I38" s="672">
        <v>9218</v>
      </c>
      <c r="J38" s="672">
        <v>-49567</v>
      </c>
      <c r="K38" s="672">
        <v>88528</v>
      </c>
      <c r="L38" s="672">
        <v>346403</v>
      </c>
      <c r="M38" s="672">
        <v>257875</v>
      </c>
      <c r="N38" s="672">
        <v>-5096</v>
      </c>
      <c r="O38" s="672">
        <v>-13000</v>
      </c>
      <c r="P38" s="673">
        <v>-11647</v>
      </c>
    </row>
    <row r="39" spans="1:16" ht="12">
      <c r="A39" s="674" t="s">
        <v>701</v>
      </c>
      <c r="B39" s="672">
        <v>1333537</v>
      </c>
      <c r="C39" s="672">
        <v>2504022</v>
      </c>
      <c r="D39" s="672">
        <v>3837559</v>
      </c>
      <c r="E39" s="672">
        <v>3502836</v>
      </c>
      <c r="F39" s="672">
        <v>85994</v>
      </c>
      <c r="G39" s="672">
        <v>3588830</v>
      </c>
      <c r="H39" s="672">
        <v>248729</v>
      </c>
      <c r="I39" s="672">
        <v>-248729</v>
      </c>
      <c r="J39" s="672">
        <v>-20294</v>
      </c>
      <c r="K39" s="672">
        <v>-241092</v>
      </c>
      <c r="L39" s="672">
        <v>131553</v>
      </c>
      <c r="M39" s="672">
        <v>372645</v>
      </c>
      <c r="N39" s="672">
        <v>-14451</v>
      </c>
      <c r="O39" s="672">
        <v>30089</v>
      </c>
      <c r="P39" s="673">
        <v>-2981</v>
      </c>
    </row>
    <row r="40" spans="1:16" ht="12">
      <c r="A40" s="674" t="s">
        <v>702</v>
      </c>
      <c r="B40" s="672">
        <v>1148485</v>
      </c>
      <c r="C40" s="672">
        <v>2659691</v>
      </c>
      <c r="D40" s="672">
        <v>3808176</v>
      </c>
      <c r="E40" s="672">
        <v>3656623</v>
      </c>
      <c r="F40" s="672">
        <v>144614</v>
      </c>
      <c r="G40" s="672">
        <v>3801237</v>
      </c>
      <c r="H40" s="672">
        <v>6939</v>
      </c>
      <c r="I40" s="672">
        <v>-6939</v>
      </c>
      <c r="J40" s="672">
        <v>-23746</v>
      </c>
      <c r="K40" s="672">
        <v>-7081</v>
      </c>
      <c r="L40" s="672">
        <v>154522</v>
      </c>
      <c r="M40" s="672">
        <v>161603</v>
      </c>
      <c r="N40" s="672">
        <v>-1503</v>
      </c>
      <c r="O40" s="672">
        <v>0</v>
      </c>
      <c r="P40" s="673">
        <v>25391</v>
      </c>
    </row>
    <row r="41" spans="1:16" ht="12">
      <c r="A41" s="674" t="s">
        <v>703</v>
      </c>
      <c r="B41" s="672">
        <v>10574196</v>
      </c>
      <c r="C41" s="672">
        <v>4737088</v>
      </c>
      <c r="D41" s="672">
        <v>15311284</v>
      </c>
      <c r="E41" s="672">
        <v>14227469</v>
      </c>
      <c r="F41" s="672">
        <v>1725838</v>
      </c>
      <c r="G41" s="672">
        <v>15953307</v>
      </c>
      <c r="H41" s="672">
        <v>-642023</v>
      </c>
      <c r="I41" s="672">
        <v>642023</v>
      </c>
      <c r="J41" s="672">
        <v>654864</v>
      </c>
      <c r="K41" s="672">
        <v>-317169</v>
      </c>
      <c r="L41" s="672">
        <v>1222971</v>
      </c>
      <c r="M41" s="672">
        <v>1540140</v>
      </c>
      <c r="N41" s="672">
        <v>72000</v>
      </c>
      <c r="O41" s="672">
        <v>0</v>
      </c>
      <c r="P41" s="673">
        <v>232328</v>
      </c>
    </row>
    <row r="42" spans="1:16" ht="12">
      <c r="A42" s="674" t="s">
        <v>704</v>
      </c>
      <c r="B42" s="672">
        <v>2155023</v>
      </c>
      <c r="C42" s="672">
        <v>2228000</v>
      </c>
      <c r="D42" s="672">
        <v>4383000</v>
      </c>
      <c r="E42" s="672">
        <v>4114605</v>
      </c>
      <c r="F42" s="672">
        <v>170550</v>
      </c>
      <c r="G42" s="672">
        <v>4285155</v>
      </c>
      <c r="H42" s="672">
        <v>98424</v>
      </c>
      <c r="I42" s="672">
        <v>-98424</v>
      </c>
      <c r="J42" s="672">
        <v>92622</v>
      </c>
      <c r="K42" s="672">
        <v>-140779</v>
      </c>
      <c r="L42" s="672">
        <v>177036</v>
      </c>
      <c r="M42" s="672">
        <v>317815</v>
      </c>
      <c r="N42" s="672">
        <v>0</v>
      </c>
      <c r="O42" s="672">
        <v>0</v>
      </c>
      <c r="P42" s="673">
        <v>-50267</v>
      </c>
    </row>
    <row r="43" spans="1:16" ht="12">
      <c r="A43" s="674" t="s">
        <v>705</v>
      </c>
      <c r="B43" s="672">
        <v>2379304</v>
      </c>
      <c r="C43" s="672">
        <v>2594155</v>
      </c>
      <c r="D43" s="672">
        <v>4973459</v>
      </c>
      <c r="E43" s="672">
        <v>4870787</v>
      </c>
      <c r="F43" s="672">
        <v>122528</v>
      </c>
      <c r="G43" s="672">
        <v>4993315</v>
      </c>
      <c r="H43" s="672">
        <v>-19856</v>
      </c>
      <c r="I43" s="672">
        <v>19856</v>
      </c>
      <c r="J43" s="672">
        <v>122870</v>
      </c>
      <c r="K43" s="672">
        <v>-71165</v>
      </c>
      <c r="L43" s="672">
        <v>369908</v>
      </c>
      <c r="M43" s="672">
        <v>441073</v>
      </c>
      <c r="N43" s="672">
        <v>-7715</v>
      </c>
      <c r="O43" s="672">
        <v>-6000</v>
      </c>
      <c r="P43" s="673">
        <v>-18134</v>
      </c>
    </row>
    <row r="44" spans="1:16" ht="12">
      <c r="A44" s="674" t="s">
        <v>706</v>
      </c>
      <c r="B44" s="672">
        <v>2817616</v>
      </c>
      <c r="C44" s="672">
        <v>3667602</v>
      </c>
      <c r="D44" s="672">
        <v>6485218</v>
      </c>
      <c r="E44" s="672">
        <v>5938030</v>
      </c>
      <c r="F44" s="672">
        <v>522215</v>
      </c>
      <c r="G44" s="672">
        <v>6460245</v>
      </c>
      <c r="H44" s="672">
        <v>24973</v>
      </c>
      <c r="I44" s="672">
        <v>-24973</v>
      </c>
      <c r="J44" s="672">
        <v>259436</v>
      </c>
      <c r="K44" s="672">
        <v>-285206</v>
      </c>
      <c r="L44" s="672">
        <v>380587</v>
      </c>
      <c r="M44" s="672">
        <v>665793</v>
      </c>
      <c r="N44" s="672">
        <v>-3701</v>
      </c>
      <c r="O44" s="672">
        <v>4880</v>
      </c>
      <c r="P44" s="673">
        <v>-382</v>
      </c>
    </row>
    <row r="45" spans="1:16" ht="12">
      <c r="A45" s="674" t="s">
        <v>707</v>
      </c>
      <c r="B45" s="672">
        <v>1813477</v>
      </c>
      <c r="C45" s="672">
        <v>1559506</v>
      </c>
      <c r="D45" s="672">
        <v>3372983</v>
      </c>
      <c r="E45" s="672">
        <v>2969054</v>
      </c>
      <c r="F45" s="672">
        <v>184076</v>
      </c>
      <c r="G45" s="672">
        <v>3153130</v>
      </c>
      <c r="H45" s="672">
        <v>219853</v>
      </c>
      <c r="I45" s="672">
        <v>-219853</v>
      </c>
      <c r="J45" s="672">
        <v>-18872</v>
      </c>
      <c r="K45" s="672">
        <v>-146510</v>
      </c>
      <c r="L45" s="672">
        <v>129885</v>
      </c>
      <c r="M45" s="672">
        <v>276395</v>
      </c>
      <c r="N45" s="672">
        <v>-1528</v>
      </c>
      <c r="O45" s="672">
        <v>-1279</v>
      </c>
      <c r="P45" s="673">
        <v>-51664</v>
      </c>
    </row>
    <row r="46" spans="1:16" ht="12">
      <c r="A46" s="674" t="s">
        <v>708</v>
      </c>
      <c r="B46" s="672">
        <v>5080036</v>
      </c>
      <c r="C46" s="672">
        <v>3132764</v>
      </c>
      <c r="D46" s="672">
        <v>8212800</v>
      </c>
      <c r="E46" s="672">
        <v>7594251</v>
      </c>
      <c r="F46" s="672">
        <v>384533</v>
      </c>
      <c r="G46" s="672">
        <v>7978784</v>
      </c>
      <c r="H46" s="672">
        <v>234016</v>
      </c>
      <c r="I46" s="672">
        <v>-234016</v>
      </c>
      <c r="J46" s="672">
        <v>15047</v>
      </c>
      <c r="K46" s="672">
        <v>-229581</v>
      </c>
      <c r="L46" s="672">
        <v>198330</v>
      </c>
      <c r="M46" s="672">
        <v>427911</v>
      </c>
      <c r="N46" s="672">
        <v>-27739</v>
      </c>
      <c r="O46" s="672">
        <v>41877</v>
      </c>
      <c r="P46" s="673">
        <v>-33620</v>
      </c>
    </row>
    <row r="47" spans="1:16" ht="12">
      <c r="A47" s="674" t="s">
        <v>709</v>
      </c>
      <c r="B47" s="672">
        <v>860556</v>
      </c>
      <c r="C47" s="672">
        <v>662719</v>
      </c>
      <c r="D47" s="672">
        <v>1523275</v>
      </c>
      <c r="E47" s="672">
        <v>1480000</v>
      </c>
      <c r="F47" s="672">
        <v>55469</v>
      </c>
      <c r="G47" s="672">
        <v>1534952</v>
      </c>
      <c r="H47" s="672">
        <v>-12000</v>
      </c>
      <c r="I47" s="672">
        <v>11677</v>
      </c>
      <c r="J47" s="672">
        <v>177100</v>
      </c>
      <c r="K47" s="672">
        <v>-165423</v>
      </c>
      <c r="L47" s="672">
        <v>61596</v>
      </c>
      <c r="M47" s="672">
        <v>227019</v>
      </c>
      <c r="N47" s="672">
        <v>0</v>
      </c>
      <c r="O47" s="672">
        <v>0</v>
      </c>
      <c r="P47" s="673">
        <v>0</v>
      </c>
    </row>
    <row r="48" spans="1:16" ht="12.75">
      <c r="A48" s="669" t="s">
        <v>710</v>
      </c>
      <c r="B48" s="672">
        <f aca="true" t="shared" si="1" ref="B48:P48">SUM(B22:B47)</f>
        <v>60822078</v>
      </c>
      <c r="C48" s="672">
        <f t="shared" si="1"/>
        <v>61875005</v>
      </c>
      <c r="D48" s="672">
        <f t="shared" si="1"/>
        <v>122697060</v>
      </c>
      <c r="E48" s="672">
        <f t="shared" si="1"/>
        <v>114722904</v>
      </c>
      <c r="F48" s="672">
        <f t="shared" si="1"/>
        <v>6479294</v>
      </c>
      <c r="G48" s="672">
        <f t="shared" si="1"/>
        <v>121201681</v>
      </c>
      <c r="H48" s="672">
        <f t="shared" si="1"/>
        <v>1494538</v>
      </c>
      <c r="I48" s="672">
        <f t="shared" si="1"/>
        <v>-1495344</v>
      </c>
      <c r="J48" s="672">
        <f t="shared" si="1"/>
        <v>2904096</v>
      </c>
      <c r="K48" s="672">
        <f t="shared" si="1"/>
        <v>-4394083</v>
      </c>
      <c r="L48" s="672">
        <f t="shared" si="1"/>
        <v>6857863</v>
      </c>
      <c r="M48" s="672">
        <f t="shared" si="1"/>
        <v>11251946</v>
      </c>
      <c r="N48" s="672">
        <f t="shared" si="1"/>
        <v>-93091</v>
      </c>
      <c r="O48" s="672">
        <f t="shared" si="1"/>
        <v>20410</v>
      </c>
      <c r="P48" s="673">
        <f t="shared" si="1"/>
        <v>67306</v>
      </c>
    </row>
    <row r="49" spans="1:16" ht="12.75">
      <c r="A49" s="676" t="s">
        <v>711</v>
      </c>
      <c r="B49" s="677">
        <f aca="true" t="shared" si="2" ref="B49:P49">B48+B20</f>
        <v>156495868</v>
      </c>
      <c r="C49" s="677">
        <f t="shared" si="2"/>
        <v>86573770</v>
      </c>
      <c r="D49" s="677">
        <f t="shared" si="2"/>
        <v>243069615</v>
      </c>
      <c r="E49" s="677">
        <f t="shared" si="2"/>
        <v>226197103</v>
      </c>
      <c r="F49" s="677">
        <f t="shared" si="2"/>
        <v>18817979</v>
      </c>
      <c r="G49" s="677">
        <f t="shared" si="2"/>
        <v>245014565</v>
      </c>
      <c r="H49" s="677">
        <f t="shared" si="2"/>
        <v>-1945168</v>
      </c>
      <c r="I49" s="677">
        <f t="shared" si="2"/>
        <v>1944362</v>
      </c>
      <c r="J49" s="677">
        <f t="shared" si="2"/>
        <v>1465067</v>
      </c>
      <c r="K49" s="677">
        <f t="shared" si="2"/>
        <v>-3741912</v>
      </c>
      <c r="L49" s="677">
        <f t="shared" si="2"/>
        <v>14152852</v>
      </c>
      <c r="M49" s="677">
        <f t="shared" si="2"/>
        <v>17894764</v>
      </c>
      <c r="N49" s="677">
        <f t="shared" si="2"/>
        <v>-4411841</v>
      </c>
      <c r="O49" s="677">
        <f t="shared" si="2"/>
        <v>8706983</v>
      </c>
      <c r="P49" s="678">
        <f t="shared" si="2"/>
        <v>-73020</v>
      </c>
    </row>
    <row r="50" spans="1:7" s="680" customFormat="1" ht="12">
      <c r="A50" s="679" t="s">
        <v>712</v>
      </c>
      <c r="G50" s="680" t="s">
        <v>584</v>
      </c>
    </row>
    <row r="51" s="680" customFormat="1" ht="12">
      <c r="A51" s="679" t="s">
        <v>713</v>
      </c>
    </row>
    <row r="52" spans="1:11" s="680" customFormat="1" ht="12">
      <c r="A52" s="681"/>
      <c r="B52" s="629"/>
      <c r="C52" s="629"/>
      <c r="D52" s="629"/>
      <c r="E52" s="629"/>
      <c r="F52" s="629"/>
      <c r="G52" s="629"/>
      <c r="H52" s="629"/>
      <c r="I52" s="629"/>
      <c r="J52" s="629"/>
      <c r="K52" s="629"/>
    </row>
    <row r="53" s="680" customFormat="1" ht="12">
      <c r="A53" s="637"/>
    </row>
    <row r="54" spans="1:12" s="680" customFormat="1" ht="12">
      <c r="A54" s="682"/>
      <c r="B54" s="682"/>
      <c r="C54" s="581"/>
      <c r="D54" s="581"/>
      <c r="E54" s="581"/>
      <c r="F54" s="581"/>
      <c r="H54" s="683"/>
      <c r="I54" s="683"/>
      <c r="J54" s="683"/>
      <c r="K54" s="683"/>
      <c r="L54" s="683"/>
    </row>
    <row r="55" s="685" customFormat="1" ht="11.25">
      <c r="A55" s="684"/>
    </row>
    <row r="58" spans="1:11" s="581" customFormat="1" ht="11.25" customHeight="1">
      <c r="A58" s="686" t="s">
        <v>714</v>
      </c>
      <c r="H58" s="581" t="s">
        <v>715</v>
      </c>
      <c r="K58" s="581" t="s">
        <v>716</v>
      </c>
    </row>
    <row r="59" ht="11.25">
      <c r="A59" s="584"/>
    </row>
    <row r="67" s="547" customFormat="1" ht="11.25">
      <c r="A67" s="590" t="s">
        <v>540</v>
      </c>
    </row>
    <row r="68" ht="11.25">
      <c r="A68" s="537" t="s">
        <v>541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E1">
      <selection activeCell="E13" sqref="E13"/>
    </sheetView>
  </sheetViews>
  <sheetFormatPr defaultColWidth="9.140625" defaultRowHeight="12.75"/>
  <cols>
    <col min="1" max="1" width="20.421875" style="538" customWidth="1"/>
    <col min="2" max="2" width="9.7109375" style="498" customWidth="1"/>
    <col min="3" max="3" width="9.57421875" style="498" customWidth="1"/>
    <col min="4" max="4" width="14.8515625" style="498" customWidth="1"/>
    <col min="5" max="9" width="10.57421875" style="498" customWidth="1"/>
    <col min="10" max="10" width="11.8515625" style="498" customWidth="1"/>
    <col min="11" max="12" width="11.00390625" style="498" customWidth="1"/>
    <col min="13" max="16" width="7.140625" style="498" customWidth="1"/>
    <col min="17" max="16384" width="8.00390625" style="498" customWidth="1"/>
  </cols>
  <sheetData>
    <row r="1" spans="1:12" s="547" customFormat="1" ht="12.75">
      <c r="A1" s="496" t="s">
        <v>717</v>
      </c>
      <c r="B1" s="496"/>
      <c r="C1" s="496"/>
      <c r="D1" s="496"/>
      <c r="E1" s="496"/>
      <c r="F1" s="496"/>
      <c r="G1" s="496"/>
      <c r="H1" s="496"/>
      <c r="I1" s="496"/>
      <c r="J1" s="496"/>
      <c r="K1" s="587"/>
      <c r="L1" s="640" t="s">
        <v>718</v>
      </c>
    </row>
    <row r="2" spans="1:12" s="547" customFormat="1" ht="12.75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587"/>
      <c r="L2" s="640"/>
    </row>
    <row r="3" spans="1:12" s="499" customFormat="1" ht="12.75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640"/>
    </row>
    <row r="4" spans="1:16" s="645" customFormat="1" ht="15.75">
      <c r="A4" s="500" t="s">
        <v>719</v>
      </c>
      <c r="B4" s="500"/>
      <c r="C4" s="500"/>
      <c r="D4" s="543"/>
      <c r="E4" s="500"/>
      <c r="F4" s="500"/>
      <c r="G4" s="500"/>
      <c r="H4" s="500"/>
      <c r="I4" s="500"/>
      <c r="J4" s="500"/>
      <c r="K4" s="500"/>
      <c r="L4" s="500"/>
      <c r="M4" s="687"/>
      <c r="N4" s="687"/>
      <c r="O4" s="687"/>
      <c r="P4" s="687"/>
    </row>
    <row r="5" spans="1:16" s="645" customFormat="1" ht="15.75">
      <c r="A5" s="500" t="s">
        <v>586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687"/>
      <c r="N5" s="687"/>
      <c r="O5" s="687"/>
      <c r="P5" s="687"/>
    </row>
    <row r="6" spans="1:16" ht="12.75">
      <c r="A6" s="688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</row>
    <row r="7" spans="1:16" s="547" customFormat="1" ht="11.25">
      <c r="A7" s="646"/>
      <c r="B7" s="587"/>
      <c r="C7" s="587"/>
      <c r="D7" s="587"/>
      <c r="E7" s="587"/>
      <c r="F7" s="587"/>
      <c r="G7" s="587"/>
      <c r="H7" s="587"/>
      <c r="I7" s="587"/>
      <c r="J7" s="587"/>
      <c r="K7" s="587" t="s">
        <v>720</v>
      </c>
      <c r="L7" s="587"/>
      <c r="N7" s="587"/>
      <c r="O7" s="587"/>
      <c r="P7" s="587"/>
    </row>
    <row r="8" spans="1:16" s="499" customFormat="1" ht="12.75">
      <c r="A8" s="689"/>
      <c r="B8" s="690"/>
      <c r="C8" s="690"/>
      <c r="D8" s="691"/>
      <c r="E8" s="691"/>
      <c r="F8" s="692" t="s">
        <v>721</v>
      </c>
      <c r="G8" s="653"/>
      <c r="H8" s="653"/>
      <c r="I8" s="693"/>
      <c r="J8" s="653"/>
      <c r="K8" s="653"/>
      <c r="L8" s="694"/>
      <c r="N8" s="496"/>
      <c r="O8" s="496"/>
      <c r="P8" s="496"/>
    </row>
    <row r="9" spans="1:12" s="584" customFormat="1" ht="11.25">
      <c r="A9" s="695"/>
      <c r="B9" s="696"/>
      <c r="C9" s="696"/>
      <c r="D9" s="656"/>
      <c r="E9" s="656"/>
      <c r="F9" s="656"/>
      <c r="G9" s="656"/>
      <c r="H9" s="697" t="s">
        <v>659</v>
      </c>
      <c r="I9" s="698"/>
      <c r="J9" s="656"/>
      <c r="K9" s="656"/>
      <c r="L9" s="699"/>
    </row>
    <row r="10" spans="1:16" ht="45">
      <c r="A10" s="695" t="s">
        <v>722</v>
      </c>
      <c r="B10" s="700" t="s">
        <v>723</v>
      </c>
      <c r="C10" s="700" t="s">
        <v>724</v>
      </c>
      <c r="D10" s="700" t="s">
        <v>725</v>
      </c>
      <c r="E10" s="700" t="s">
        <v>726</v>
      </c>
      <c r="F10" s="700" t="s">
        <v>43</v>
      </c>
      <c r="G10" s="700" t="s">
        <v>727</v>
      </c>
      <c r="H10" s="700" t="s">
        <v>670</v>
      </c>
      <c r="I10" s="700" t="s">
        <v>671</v>
      </c>
      <c r="J10" s="700" t="s">
        <v>52</v>
      </c>
      <c r="K10" s="700" t="s">
        <v>54</v>
      </c>
      <c r="L10" s="701" t="s">
        <v>728</v>
      </c>
      <c r="M10" s="606"/>
      <c r="N10" s="546"/>
      <c r="O10" s="546"/>
      <c r="P10" s="546"/>
    </row>
    <row r="11" spans="1:16" s="547" customFormat="1" ht="11.25">
      <c r="A11" s="508">
        <v>1</v>
      </c>
      <c r="B11" s="702">
        <v>2</v>
      </c>
      <c r="C11" s="702">
        <v>3</v>
      </c>
      <c r="D11" s="702">
        <v>4</v>
      </c>
      <c r="E11" s="702">
        <v>5</v>
      </c>
      <c r="F11" s="702">
        <v>6</v>
      </c>
      <c r="G11" s="702">
        <v>7</v>
      </c>
      <c r="H11" s="702">
        <v>8</v>
      </c>
      <c r="I11" s="702">
        <v>9</v>
      </c>
      <c r="J11" s="702">
        <v>10</v>
      </c>
      <c r="K11" s="702">
        <v>11</v>
      </c>
      <c r="L11" s="703">
        <v>12</v>
      </c>
      <c r="M11" s="590"/>
      <c r="N11" s="587"/>
      <c r="O11" s="587"/>
      <c r="P11" s="587"/>
    </row>
    <row r="12" spans="1:13" ht="12">
      <c r="A12" s="704" t="s">
        <v>675</v>
      </c>
      <c r="B12" s="672">
        <v>13035978</v>
      </c>
      <c r="C12" s="672">
        <v>8663606</v>
      </c>
      <c r="D12" s="672">
        <v>4372372</v>
      </c>
      <c r="E12" s="672">
        <v>-4372372</v>
      </c>
      <c r="F12" s="672">
        <v>0</v>
      </c>
      <c r="G12" s="672">
        <v>-4372372</v>
      </c>
      <c r="H12" s="672">
        <v>5081264</v>
      </c>
      <c r="I12" s="672">
        <v>9453636</v>
      </c>
      <c r="J12" s="672">
        <v>0</v>
      </c>
      <c r="K12" s="672">
        <v>0</v>
      </c>
      <c r="L12" s="673">
        <v>0</v>
      </c>
      <c r="M12" s="705"/>
    </row>
    <row r="13" spans="1:13" ht="12">
      <c r="A13" s="704" t="s">
        <v>676</v>
      </c>
      <c r="B13" s="672">
        <v>857301</v>
      </c>
      <c r="C13" s="672">
        <v>835578</v>
      </c>
      <c r="D13" s="672">
        <v>21723</v>
      </c>
      <c r="E13" s="672">
        <v>-21723</v>
      </c>
      <c r="F13" s="672">
        <v>0</v>
      </c>
      <c r="G13" s="672">
        <v>-21723</v>
      </c>
      <c r="H13" s="672">
        <v>74146</v>
      </c>
      <c r="I13" s="672">
        <v>95869</v>
      </c>
      <c r="J13" s="672">
        <v>0</v>
      </c>
      <c r="K13" s="672">
        <v>0</v>
      </c>
      <c r="L13" s="673">
        <v>0</v>
      </c>
      <c r="M13" s="705"/>
    </row>
    <row r="14" spans="1:13" ht="12">
      <c r="A14" s="704" t="s">
        <v>677</v>
      </c>
      <c r="B14" s="672">
        <v>512971</v>
      </c>
      <c r="C14" s="672">
        <v>398938</v>
      </c>
      <c r="D14" s="672">
        <v>114033</v>
      </c>
      <c r="E14" s="672">
        <v>-114033</v>
      </c>
      <c r="F14" s="672">
        <v>0</v>
      </c>
      <c r="G14" s="672">
        <v>-114033</v>
      </c>
      <c r="H14" s="672">
        <v>103943</v>
      </c>
      <c r="I14" s="672">
        <v>217976</v>
      </c>
      <c r="J14" s="672">
        <v>0</v>
      </c>
      <c r="K14" s="672">
        <v>0</v>
      </c>
      <c r="L14" s="673">
        <v>0</v>
      </c>
      <c r="M14" s="705">
        <v>0</v>
      </c>
    </row>
    <row r="15" spans="1:13" ht="12">
      <c r="A15" s="704" t="s">
        <v>678</v>
      </c>
      <c r="B15" s="672">
        <v>1280884</v>
      </c>
      <c r="C15" s="672">
        <v>1305734</v>
      </c>
      <c r="D15" s="672">
        <v>-24850</v>
      </c>
      <c r="E15" s="672">
        <v>24850</v>
      </c>
      <c r="F15" s="672">
        <v>0</v>
      </c>
      <c r="G15" s="672">
        <v>24850</v>
      </c>
      <c r="H15" s="672">
        <v>148982</v>
      </c>
      <c r="I15" s="672">
        <v>124132</v>
      </c>
      <c r="J15" s="672">
        <v>0</v>
      </c>
      <c r="K15" s="672">
        <v>0</v>
      </c>
      <c r="L15" s="673">
        <v>0</v>
      </c>
      <c r="M15" s="705">
        <v>0</v>
      </c>
    </row>
    <row r="16" spans="1:13" ht="12">
      <c r="A16" s="704" t="s">
        <v>679</v>
      </c>
      <c r="B16" s="672">
        <v>865655</v>
      </c>
      <c r="C16" s="672">
        <v>668359</v>
      </c>
      <c r="D16" s="672">
        <v>197296</v>
      </c>
      <c r="E16" s="672">
        <v>-197296</v>
      </c>
      <c r="F16" s="672">
        <v>0</v>
      </c>
      <c r="G16" s="672">
        <v>-197296</v>
      </c>
      <c r="H16" s="672">
        <v>311894</v>
      </c>
      <c r="I16" s="672">
        <v>509190</v>
      </c>
      <c r="J16" s="672">
        <v>0</v>
      </c>
      <c r="K16" s="672">
        <v>0</v>
      </c>
      <c r="L16" s="673">
        <v>0</v>
      </c>
      <c r="M16" s="705">
        <v>0</v>
      </c>
    </row>
    <row r="17" spans="1:13" ht="12">
      <c r="A17" s="704" t="s">
        <v>680</v>
      </c>
      <c r="B17" s="672">
        <v>174004</v>
      </c>
      <c r="C17" s="672">
        <v>172510</v>
      </c>
      <c r="D17" s="672">
        <v>1494</v>
      </c>
      <c r="E17" s="672">
        <v>-1494</v>
      </c>
      <c r="F17" s="672">
        <v>0</v>
      </c>
      <c r="G17" s="672">
        <v>-1494</v>
      </c>
      <c r="H17" s="672">
        <v>56674</v>
      </c>
      <c r="I17" s="672">
        <v>58168</v>
      </c>
      <c r="J17" s="672">
        <v>0</v>
      </c>
      <c r="K17" s="672">
        <v>0</v>
      </c>
      <c r="L17" s="673">
        <v>0</v>
      </c>
      <c r="M17" s="705">
        <v>0</v>
      </c>
    </row>
    <row r="18" spans="1:13" ht="12">
      <c r="A18" s="704" t="s">
        <v>681</v>
      </c>
      <c r="B18" s="672">
        <v>4557915</v>
      </c>
      <c r="C18" s="672">
        <v>7380444</v>
      </c>
      <c r="D18" s="672">
        <v>-2822529</v>
      </c>
      <c r="E18" s="672">
        <v>2822529</v>
      </c>
      <c r="F18" s="672">
        <v>1607665</v>
      </c>
      <c r="G18" s="672">
        <v>1214864</v>
      </c>
      <c r="H18" s="672">
        <v>1678980</v>
      </c>
      <c r="I18" s="672">
        <v>464116</v>
      </c>
      <c r="J18" s="672">
        <v>0</v>
      </c>
      <c r="K18" s="672">
        <v>0</v>
      </c>
      <c r="L18" s="673">
        <v>0</v>
      </c>
      <c r="M18" s="685">
        <v>0</v>
      </c>
    </row>
    <row r="19" spans="1:16" s="708" customFormat="1" ht="12.75">
      <c r="A19" s="706" t="s">
        <v>682</v>
      </c>
      <c r="B19" s="672">
        <f aca="true" t="shared" si="0" ref="B19:L19">SUM(B12:B18)</f>
        <v>21284708</v>
      </c>
      <c r="C19" s="672">
        <f t="shared" si="0"/>
        <v>19425169</v>
      </c>
      <c r="D19" s="672">
        <f t="shared" si="0"/>
        <v>1859539</v>
      </c>
      <c r="E19" s="672">
        <f t="shared" si="0"/>
        <v>-1859539</v>
      </c>
      <c r="F19" s="672">
        <f t="shared" si="0"/>
        <v>1607665</v>
      </c>
      <c r="G19" s="672">
        <f t="shared" si="0"/>
        <v>-3467204</v>
      </c>
      <c r="H19" s="672">
        <f t="shared" si="0"/>
        <v>7455883</v>
      </c>
      <c r="I19" s="672">
        <f t="shared" si="0"/>
        <v>10923087</v>
      </c>
      <c r="J19" s="672">
        <f t="shared" si="0"/>
        <v>0</v>
      </c>
      <c r="K19" s="672">
        <f t="shared" si="0"/>
        <v>0</v>
      </c>
      <c r="L19" s="673">
        <f t="shared" si="0"/>
        <v>0</v>
      </c>
      <c r="M19" s="707">
        <v>0</v>
      </c>
      <c r="N19" s="707"/>
      <c r="O19" s="707"/>
      <c r="P19" s="707"/>
    </row>
    <row r="20" spans="1:13" ht="12">
      <c r="A20" s="704" t="s">
        <v>684</v>
      </c>
      <c r="B20" s="672">
        <v>239851</v>
      </c>
      <c r="C20" s="672">
        <v>224938</v>
      </c>
      <c r="D20" s="672">
        <v>14913</v>
      </c>
      <c r="E20" s="672">
        <v>-14913</v>
      </c>
      <c r="F20" s="672">
        <v>1850</v>
      </c>
      <c r="G20" s="672">
        <v>-16763</v>
      </c>
      <c r="H20" s="672">
        <v>114183</v>
      </c>
      <c r="I20" s="672">
        <v>130946</v>
      </c>
      <c r="J20" s="672">
        <v>0</v>
      </c>
      <c r="K20" s="672">
        <v>0</v>
      </c>
      <c r="L20" s="673">
        <v>0</v>
      </c>
      <c r="M20" s="705">
        <v>0</v>
      </c>
    </row>
    <row r="21" spans="1:13" ht="12">
      <c r="A21" s="704" t="s">
        <v>685</v>
      </c>
      <c r="B21" s="672">
        <v>300277</v>
      </c>
      <c r="C21" s="672">
        <v>311633</v>
      </c>
      <c r="D21" s="672">
        <v>-11356</v>
      </c>
      <c r="E21" s="672">
        <v>11356</v>
      </c>
      <c r="F21" s="672">
        <v>-3787</v>
      </c>
      <c r="G21" s="672">
        <v>15143</v>
      </c>
      <c r="H21" s="672">
        <v>150094</v>
      </c>
      <c r="I21" s="672">
        <v>134951</v>
      </c>
      <c r="J21" s="672">
        <v>0</v>
      </c>
      <c r="K21" s="672">
        <v>0</v>
      </c>
      <c r="L21" s="673">
        <v>0</v>
      </c>
      <c r="M21" s="705"/>
    </row>
    <row r="22" spans="1:13" ht="12">
      <c r="A22" s="704" t="s">
        <v>686</v>
      </c>
      <c r="B22" s="672">
        <v>277402</v>
      </c>
      <c r="C22" s="672">
        <v>260502</v>
      </c>
      <c r="D22" s="672">
        <v>16900</v>
      </c>
      <c r="E22" s="672">
        <v>-16900</v>
      </c>
      <c r="F22" s="672">
        <v>-2550</v>
      </c>
      <c r="G22" s="672">
        <v>-14350</v>
      </c>
      <c r="H22" s="672">
        <v>71508</v>
      </c>
      <c r="I22" s="672">
        <v>85858</v>
      </c>
      <c r="J22" s="672">
        <v>0</v>
      </c>
      <c r="K22" s="672">
        <v>0</v>
      </c>
      <c r="L22" s="673">
        <v>0</v>
      </c>
      <c r="M22" s="705"/>
    </row>
    <row r="23" spans="1:13" ht="12">
      <c r="A23" s="704" t="s">
        <v>687</v>
      </c>
      <c r="B23" s="672">
        <v>431128</v>
      </c>
      <c r="C23" s="672">
        <v>358050</v>
      </c>
      <c r="D23" s="672">
        <v>73078</v>
      </c>
      <c r="E23" s="672">
        <v>-73078</v>
      </c>
      <c r="F23" s="672">
        <v>0</v>
      </c>
      <c r="G23" s="672">
        <v>-73078</v>
      </c>
      <c r="H23" s="672">
        <v>99663</v>
      </c>
      <c r="I23" s="672">
        <v>172741</v>
      </c>
      <c r="J23" s="672">
        <v>0</v>
      </c>
      <c r="K23" s="672">
        <v>0</v>
      </c>
      <c r="L23" s="673">
        <v>0</v>
      </c>
      <c r="M23" s="705"/>
    </row>
    <row r="24" spans="1:13" ht="12">
      <c r="A24" s="704" t="s">
        <v>688</v>
      </c>
      <c r="B24" s="672">
        <v>539086</v>
      </c>
      <c r="C24" s="672">
        <v>489523</v>
      </c>
      <c r="D24" s="672">
        <v>49563</v>
      </c>
      <c r="E24" s="672">
        <v>-49563</v>
      </c>
      <c r="F24" s="672">
        <v>-2250</v>
      </c>
      <c r="G24" s="672">
        <v>-47313</v>
      </c>
      <c r="H24" s="672">
        <v>125613</v>
      </c>
      <c r="I24" s="672">
        <v>172926</v>
      </c>
      <c r="J24" s="672">
        <v>0</v>
      </c>
      <c r="K24" s="672">
        <v>0</v>
      </c>
      <c r="L24" s="673">
        <v>0</v>
      </c>
      <c r="M24" s="705"/>
    </row>
    <row r="25" spans="1:13" ht="12">
      <c r="A25" s="704" t="s">
        <v>689</v>
      </c>
      <c r="B25" s="672">
        <v>408330</v>
      </c>
      <c r="C25" s="672">
        <v>414040</v>
      </c>
      <c r="D25" s="672">
        <v>-5710</v>
      </c>
      <c r="E25" s="672">
        <v>5710</v>
      </c>
      <c r="F25" s="672">
        <v>0</v>
      </c>
      <c r="G25" s="672">
        <v>5710</v>
      </c>
      <c r="H25" s="672">
        <v>79454</v>
      </c>
      <c r="I25" s="672">
        <v>73744</v>
      </c>
      <c r="J25" s="672">
        <v>0</v>
      </c>
      <c r="K25" s="672">
        <v>0</v>
      </c>
      <c r="L25" s="673">
        <v>0</v>
      </c>
      <c r="M25" s="705"/>
    </row>
    <row r="26" spans="1:13" ht="12">
      <c r="A26" s="704" t="s">
        <v>690</v>
      </c>
      <c r="B26" s="672">
        <v>587434</v>
      </c>
      <c r="C26" s="672">
        <v>541574</v>
      </c>
      <c r="D26" s="672">
        <v>45860</v>
      </c>
      <c r="E26" s="672">
        <v>-45860</v>
      </c>
      <c r="F26" s="672">
        <v>0</v>
      </c>
      <c r="G26" s="672">
        <v>-45860</v>
      </c>
      <c r="H26" s="672">
        <v>60260</v>
      </c>
      <c r="I26" s="672">
        <v>106120</v>
      </c>
      <c r="J26" s="672">
        <v>0</v>
      </c>
      <c r="K26" s="672">
        <v>0</v>
      </c>
      <c r="L26" s="673">
        <v>0</v>
      </c>
      <c r="M26" s="705"/>
    </row>
    <row r="27" spans="1:13" ht="12">
      <c r="A27" s="704" t="s">
        <v>691</v>
      </c>
      <c r="B27" s="672">
        <v>244132</v>
      </c>
      <c r="C27" s="672">
        <v>248569</v>
      </c>
      <c r="D27" s="672">
        <v>-4437</v>
      </c>
      <c r="E27" s="672">
        <v>4437</v>
      </c>
      <c r="F27" s="672">
        <v>1724</v>
      </c>
      <c r="G27" s="672">
        <v>2713</v>
      </c>
      <c r="H27" s="672">
        <v>68808</v>
      </c>
      <c r="I27" s="672">
        <v>66095</v>
      </c>
      <c r="J27" s="672">
        <v>0</v>
      </c>
      <c r="K27" s="672">
        <v>0</v>
      </c>
      <c r="L27" s="673">
        <v>0</v>
      </c>
      <c r="M27" s="705"/>
    </row>
    <row r="28" spans="1:13" ht="12">
      <c r="A28" s="704" t="s">
        <v>692</v>
      </c>
      <c r="B28" s="672">
        <v>461280</v>
      </c>
      <c r="C28" s="672">
        <v>368762</v>
      </c>
      <c r="D28" s="672">
        <v>92518</v>
      </c>
      <c r="E28" s="672">
        <v>-92518</v>
      </c>
      <c r="F28" s="672">
        <v>0</v>
      </c>
      <c r="G28" s="672">
        <v>-65916</v>
      </c>
      <c r="H28" s="672">
        <v>110754</v>
      </c>
      <c r="I28" s="672">
        <v>176670</v>
      </c>
      <c r="J28" s="672">
        <v>-26602</v>
      </c>
      <c r="K28" s="672">
        <v>0</v>
      </c>
      <c r="L28" s="673">
        <v>0</v>
      </c>
      <c r="M28" s="705"/>
    </row>
    <row r="29" spans="1:13" ht="12">
      <c r="A29" s="704" t="s">
        <v>693</v>
      </c>
      <c r="B29" s="672">
        <v>606348</v>
      </c>
      <c r="C29" s="672">
        <v>526751</v>
      </c>
      <c r="D29" s="672">
        <v>79597</v>
      </c>
      <c r="E29" s="672">
        <v>-79597</v>
      </c>
      <c r="F29" s="672">
        <v>800</v>
      </c>
      <c r="G29" s="672">
        <v>-80397</v>
      </c>
      <c r="H29" s="672">
        <v>101304</v>
      </c>
      <c r="I29" s="672">
        <v>181701</v>
      </c>
      <c r="J29" s="672">
        <v>0</v>
      </c>
      <c r="K29" s="672">
        <v>0</v>
      </c>
      <c r="L29" s="673">
        <v>0</v>
      </c>
      <c r="M29" s="705"/>
    </row>
    <row r="30" spans="1:13" ht="12">
      <c r="A30" s="704" t="s">
        <v>694</v>
      </c>
      <c r="B30" s="672">
        <v>423819</v>
      </c>
      <c r="C30" s="672">
        <v>397145</v>
      </c>
      <c r="D30" s="672">
        <v>26674</v>
      </c>
      <c r="E30" s="672">
        <v>-26674</v>
      </c>
      <c r="F30" s="672">
        <v>11700</v>
      </c>
      <c r="G30" s="672">
        <v>-38374</v>
      </c>
      <c r="H30" s="672">
        <v>100139</v>
      </c>
      <c r="I30" s="672">
        <v>138513</v>
      </c>
      <c r="J30" s="672">
        <v>0</v>
      </c>
      <c r="K30" s="672">
        <v>0</v>
      </c>
      <c r="L30" s="673">
        <v>0</v>
      </c>
      <c r="M30" s="705"/>
    </row>
    <row r="31" spans="1:13" ht="12">
      <c r="A31" s="704" t="s">
        <v>695</v>
      </c>
      <c r="B31" s="672">
        <v>727868</v>
      </c>
      <c r="C31" s="672">
        <v>643213</v>
      </c>
      <c r="D31" s="672">
        <v>84655</v>
      </c>
      <c r="E31" s="672">
        <v>-84655</v>
      </c>
      <c r="F31" s="672">
        <v>0</v>
      </c>
      <c r="G31" s="672">
        <v>-84655</v>
      </c>
      <c r="H31" s="672">
        <v>138343</v>
      </c>
      <c r="I31" s="672">
        <v>222998</v>
      </c>
      <c r="J31" s="672">
        <v>0</v>
      </c>
      <c r="K31" s="672">
        <v>0</v>
      </c>
      <c r="L31" s="673">
        <v>0</v>
      </c>
      <c r="M31" s="705"/>
    </row>
    <row r="32" spans="1:13" ht="12">
      <c r="A32" s="704" t="s">
        <v>696</v>
      </c>
      <c r="B32" s="672">
        <v>649749</v>
      </c>
      <c r="C32" s="672">
        <v>622735</v>
      </c>
      <c r="D32" s="672">
        <v>27014</v>
      </c>
      <c r="E32" s="672">
        <v>-27014</v>
      </c>
      <c r="F32" s="672">
        <v>600</v>
      </c>
      <c r="G32" s="672">
        <v>-51345</v>
      </c>
      <c r="H32" s="672">
        <v>147994</v>
      </c>
      <c r="I32" s="672">
        <v>199339</v>
      </c>
      <c r="J32" s="672">
        <v>29731</v>
      </c>
      <c r="K32" s="672">
        <v>-6000</v>
      </c>
      <c r="L32" s="673">
        <v>0</v>
      </c>
      <c r="M32" s="705"/>
    </row>
    <row r="33" spans="1:13" ht="12">
      <c r="A33" s="704" t="s">
        <v>697</v>
      </c>
      <c r="B33" s="672">
        <v>440212</v>
      </c>
      <c r="C33" s="672">
        <v>397324</v>
      </c>
      <c r="D33" s="672">
        <v>42888</v>
      </c>
      <c r="E33" s="672">
        <v>-42888</v>
      </c>
      <c r="F33" s="672">
        <v>0</v>
      </c>
      <c r="G33" s="672">
        <v>-42888</v>
      </c>
      <c r="H33" s="672">
        <v>125828</v>
      </c>
      <c r="I33" s="672">
        <v>168716</v>
      </c>
      <c r="J33" s="672">
        <v>0</v>
      </c>
      <c r="K33" s="672">
        <v>0</v>
      </c>
      <c r="L33" s="673">
        <v>0</v>
      </c>
      <c r="M33" s="705"/>
    </row>
    <row r="34" spans="1:13" ht="12">
      <c r="A34" s="704" t="s">
        <v>698</v>
      </c>
      <c r="B34" s="672">
        <v>304769</v>
      </c>
      <c r="C34" s="672">
        <v>302863</v>
      </c>
      <c r="D34" s="672">
        <v>1906</v>
      </c>
      <c r="E34" s="672">
        <v>-1906</v>
      </c>
      <c r="F34" s="672">
        <v>83</v>
      </c>
      <c r="G34" s="672">
        <v>-1989</v>
      </c>
      <c r="H34" s="672">
        <v>151361</v>
      </c>
      <c r="I34" s="672">
        <v>153350</v>
      </c>
      <c r="J34" s="672">
        <v>0</v>
      </c>
      <c r="K34" s="672">
        <v>0</v>
      </c>
      <c r="L34" s="673">
        <v>0</v>
      </c>
      <c r="M34" s="705"/>
    </row>
    <row r="35" spans="1:13" ht="12">
      <c r="A35" s="704" t="s">
        <v>699</v>
      </c>
      <c r="B35" s="672">
        <v>416517</v>
      </c>
      <c r="C35" s="672">
        <v>419283</v>
      </c>
      <c r="D35" s="672">
        <v>-2766</v>
      </c>
      <c r="E35" s="672">
        <v>2766</v>
      </c>
      <c r="F35" s="672">
        <v>-2500</v>
      </c>
      <c r="G35" s="672">
        <v>5266</v>
      </c>
      <c r="H35" s="672">
        <v>150132</v>
      </c>
      <c r="I35" s="672">
        <v>144866</v>
      </c>
      <c r="J35" s="672">
        <v>0</v>
      </c>
      <c r="K35" s="672">
        <v>0</v>
      </c>
      <c r="L35" s="673">
        <v>0</v>
      </c>
      <c r="M35" s="705"/>
    </row>
    <row r="36" spans="1:13" ht="12">
      <c r="A36" s="704" t="s">
        <v>700</v>
      </c>
      <c r="B36" s="672">
        <v>469216</v>
      </c>
      <c r="C36" s="672">
        <v>473710</v>
      </c>
      <c r="D36" s="672">
        <v>-4494</v>
      </c>
      <c r="E36" s="672">
        <v>4494</v>
      </c>
      <c r="F36" s="672">
        <v>0</v>
      </c>
      <c r="G36" s="672">
        <v>-9006</v>
      </c>
      <c r="H36" s="672">
        <v>191208</v>
      </c>
      <c r="I36" s="672">
        <v>200214</v>
      </c>
      <c r="J36" s="672">
        <v>0</v>
      </c>
      <c r="K36" s="672">
        <v>13500</v>
      </c>
      <c r="L36" s="673">
        <v>0</v>
      </c>
      <c r="M36" s="705"/>
    </row>
    <row r="37" spans="1:13" ht="12">
      <c r="A37" s="704" t="s">
        <v>701</v>
      </c>
      <c r="B37" s="672">
        <v>542183</v>
      </c>
      <c r="C37" s="672">
        <v>553414</v>
      </c>
      <c r="D37" s="672">
        <v>-11231</v>
      </c>
      <c r="E37" s="672">
        <v>11231</v>
      </c>
      <c r="F37" s="672">
        <v>-1308</v>
      </c>
      <c r="G37" s="672">
        <v>12539</v>
      </c>
      <c r="H37" s="672">
        <v>75076</v>
      </c>
      <c r="I37" s="672">
        <v>62537</v>
      </c>
      <c r="J37" s="672">
        <v>0</v>
      </c>
      <c r="K37" s="672">
        <v>0</v>
      </c>
      <c r="L37" s="673">
        <v>0</v>
      </c>
      <c r="M37" s="705"/>
    </row>
    <row r="38" spans="1:13" ht="12">
      <c r="A38" s="704" t="s">
        <v>702</v>
      </c>
      <c r="B38" s="672">
        <v>241682</v>
      </c>
      <c r="C38" s="672">
        <v>218744</v>
      </c>
      <c r="D38" s="672">
        <v>22938</v>
      </c>
      <c r="E38" s="672">
        <v>-22938</v>
      </c>
      <c r="F38" s="672">
        <v>0</v>
      </c>
      <c r="G38" s="672">
        <v>-22938</v>
      </c>
      <c r="H38" s="672">
        <v>125828</v>
      </c>
      <c r="I38" s="672">
        <v>148766</v>
      </c>
      <c r="J38" s="672">
        <v>0</v>
      </c>
      <c r="K38" s="672">
        <v>0</v>
      </c>
      <c r="L38" s="673">
        <v>0</v>
      </c>
      <c r="M38" s="705"/>
    </row>
    <row r="39" spans="1:13" ht="12">
      <c r="A39" s="704" t="s">
        <v>703</v>
      </c>
      <c r="B39" s="672">
        <v>1145948</v>
      </c>
      <c r="C39" s="672">
        <v>1043867</v>
      </c>
      <c r="D39" s="672">
        <v>102081</v>
      </c>
      <c r="E39" s="672">
        <v>-102081</v>
      </c>
      <c r="F39" s="672">
        <v>0</v>
      </c>
      <c r="G39" s="672">
        <v>-102081</v>
      </c>
      <c r="H39" s="672">
        <v>364045</v>
      </c>
      <c r="I39" s="672">
        <v>466126</v>
      </c>
      <c r="J39" s="672">
        <v>0</v>
      </c>
      <c r="K39" s="672">
        <v>0</v>
      </c>
      <c r="L39" s="673">
        <v>0</v>
      </c>
      <c r="M39" s="705"/>
    </row>
    <row r="40" spans="1:13" ht="12">
      <c r="A40" s="704" t="s">
        <v>704</v>
      </c>
      <c r="B40" s="672">
        <v>259834</v>
      </c>
      <c r="C40" s="672">
        <v>307988</v>
      </c>
      <c r="D40" s="672">
        <v>-48154</v>
      </c>
      <c r="E40" s="672">
        <v>48154</v>
      </c>
      <c r="F40" s="672">
        <v>-2100</v>
      </c>
      <c r="G40" s="672">
        <v>50254</v>
      </c>
      <c r="H40" s="672">
        <v>193711</v>
      </c>
      <c r="I40" s="672">
        <v>143457</v>
      </c>
      <c r="J40" s="672">
        <v>0</v>
      </c>
      <c r="K40" s="672">
        <v>0</v>
      </c>
      <c r="L40" s="673">
        <v>0</v>
      </c>
      <c r="M40" s="705"/>
    </row>
    <row r="41" spans="1:13" ht="12">
      <c r="A41" s="704" t="s">
        <v>705</v>
      </c>
      <c r="B41" s="672">
        <v>336873</v>
      </c>
      <c r="C41" s="672">
        <v>336913</v>
      </c>
      <c r="D41" s="672">
        <v>-40</v>
      </c>
      <c r="E41" s="672">
        <v>40</v>
      </c>
      <c r="F41" s="672">
        <v>0</v>
      </c>
      <c r="G41" s="672">
        <v>40</v>
      </c>
      <c r="H41" s="672">
        <v>180663</v>
      </c>
      <c r="I41" s="672">
        <v>180623</v>
      </c>
      <c r="J41" s="672">
        <v>0</v>
      </c>
      <c r="K41" s="672">
        <v>0</v>
      </c>
      <c r="L41" s="673">
        <v>0</v>
      </c>
      <c r="M41" s="705"/>
    </row>
    <row r="42" spans="1:13" ht="12">
      <c r="A42" s="704" t="s">
        <v>706</v>
      </c>
      <c r="B42" s="672">
        <v>509834</v>
      </c>
      <c r="C42" s="672">
        <v>558942</v>
      </c>
      <c r="D42" s="672">
        <v>-49108</v>
      </c>
      <c r="E42" s="672">
        <v>49108</v>
      </c>
      <c r="F42" s="672">
        <v>0</v>
      </c>
      <c r="G42" s="672">
        <v>50168</v>
      </c>
      <c r="H42" s="672">
        <v>329438</v>
      </c>
      <c r="I42" s="672">
        <v>279270</v>
      </c>
      <c r="J42" s="672">
        <v>0</v>
      </c>
      <c r="K42" s="672">
        <v>-1060</v>
      </c>
      <c r="L42" s="673">
        <v>0</v>
      </c>
      <c r="M42" s="705"/>
    </row>
    <row r="43" spans="1:13" ht="12">
      <c r="A43" s="704" t="s">
        <v>707</v>
      </c>
      <c r="B43" s="672">
        <v>252543</v>
      </c>
      <c r="C43" s="672">
        <v>231508</v>
      </c>
      <c r="D43" s="672">
        <v>21035</v>
      </c>
      <c r="E43" s="672">
        <v>-21035</v>
      </c>
      <c r="F43" s="672">
        <v>-945</v>
      </c>
      <c r="G43" s="672">
        <v>-20090</v>
      </c>
      <c r="H43" s="672">
        <v>93591</v>
      </c>
      <c r="I43" s="672">
        <v>113681</v>
      </c>
      <c r="J43" s="672">
        <v>0</v>
      </c>
      <c r="K43" s="672">
        <v>0</v>
      </c>
      <c r="L43" s="673">
        <v>0</v>
      </c>
      <c r="M43" s="705"/>
    </row>
    <row r="44" spans="1:13" ht="12">
      <c r="A44" s="704" t="s">
        <v>708</v>
      </c>
      <c r="B44" s="672">
        <v>455758</v>
      </c>
      <c r="C44" s="672">
        <v>417178</v>
      </c>
      <c r="D44" s="672">
        <v>38580</v>
      </c>
      <c r="E44" s="672">
        <v>-38580</v>
      </c>
      <c r="F44" s="672">
        <v>0</v>
      </c>
      <c r="G44" s="672">
        <v>-38580</v>
      </c>
      <c r="H44" s="672">
        <v>158959</v>
      </c>
      <c r="I44" s="672">
        <v>197539</v>
      </c>
      <c r="J44" s="672">
        <v>0</v>
      </c>
      <c r="K44" s="672">
        <v>0</v>
      </c>
      <c r="L44" s="673">
        <v>0</v>
      </c>
      <c r="M44" s="705"/>
    </row>
    <row r="45" spans="1:13" ht="12">
      <c r="A45" s="704" t="s">
        <v>709</v>
      </c>
      <c r="B45" s="672">
        <v>251749</v>
      </c>
      <c r="C45" s="672">
        <v>262872</v>
      </c>
      <c r="D45" s="672">
        <v>-11123</v>
      </c>
      <c r="E45" s="672">
        <v>11123</v>
      </c>
      <c r="F45" s="672">
        <v>0</v>
      </c>
      <c r="G45" s="672">
        <v>11123</v>
      </c>
      <c r="H45" s="672">
        <v>142100</v>
      </c>
      <c r="I45" s="672">
        <v>130977</v>
      </c>
      <c r="J45" s="672">
        <v>0</v>
      </c>
      <c r="K45" s="672">
        <v>0</v>
      </c>
      <c r="L45" s="673">
        <v>0</v>
      </c>
      <c r="M45" s="705"/>
    </row>
    <row r="46" spans="1:12" ht="12.75">
      <c r="A46" s="706" t="s">
        <v>710</v>
      </c>
      <c r="B46" s="672">
        <f aca="true" t="shared" si="1" ref="B46:L46">SUM(B20:B45)</f>
        <v>11523822</v>
      </c>
      <c r="C46" s="672">
        <f t="shared" si="1"/>
        <v>10932041</v>
      </c>
      <c r="D46" s="672">
        <f t="shared" si="1"/>
        <v>591781</v>
      </c>
      <c r="E46" s="672">
        <f t="shared" si="1"/>
        <v>-591781</v>
      </c>
      <c r="F46" s="672">
        <f t="shared" si="1"/>
        <v>1317</v>
      </c>
      <c r="G46" s="672">
        <f t="shared" si="1"/>
        <v>-602667</v>
      </c>
      <c r="H46" s="672">
        <f t="shared" si="1"/>
        <v>3650057</v>
      </c>
      <c r="I46" s="672">
        <f t="shared" si="1"/>
        <v>4252724</v>
      </c>
      <c r="J46" s="672">
        <f t="shared" si="1"/>
        <v>3129</v>
      </c>
      <c r="K46" s="672">
        <f t="shared" si="1"/>
        <v>6440</v>
      </c>
      <c r="L46" s="673">
        <f t="shared" si="1"/>
        <v>0</v>
      </c>
    </row>
    <row r="47" spans="1:12" ht="12.75">
      <c r="A47" s="709" t="s">
        <v>711</v>
      </c>
      <c r="B47" s="677">
        <f aca="true" t="shared" si="2" ref="B47:L47">SUM(B46,B19)</f>
        <v>32808530</v>
      </c>
      <c r="C47" s="677">
        <f t="shared" si="2"/>
        <v>30357210</v>
      </c>
      <c r="D47" s="677">
        <f t="shared" si="2"/>
        <v>2451320</v>
      </c>
      <c r="E47" s="677">
        <f t="shared" si="2"/>
        <v>-2451320</v>
      </c>
      <c r="F47" s="677">
        <f t="shared" si="2"/>
        <v>1608982</v>
      </c>
      <c r="G47" s="677">
        <f t="shared" si="2"/>
        <v>-4069871</v>
      </c>
      <c r="H47" s="677">
        <f t="shared" si="2"/>
        <v>11105940</v>
      </c>
      <c r="I47" s="677">
        <f t="shared" si="2"/>
        <v>15175811</v>
      </c>
      <c r="J47" s="677">
        <f t="shared" si="2"/>
        <v>3129</v>
      </c>
      <c r="K47" s="677">
        <f t="shared" si="2"/>
        <v>6440</v>
      </c>
      <c r="L47" s="678">
        <f t="shared" si="2"/>
        <v>0</v>
      </c>
    </row>
    <row r="48" spans="1:12" ht="12.75">
      <c r="A48" s="710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</row>
    <row r="49" s="680" customFormat="1" ht="12">
      <c r="A49" s="679" t="s">
        <v>729</v>
      </c>
    </row>
    <row r="54" spans="1:11" s="581" customFormat="1" ht="11.25" customHeight="1">
      <c r="A54" s="686" t="s">
        <v>581</v>
      </c>
      <c r="H54" s="581" t="s">
        <v>715</v>
      </c>
      <c r="K54" s="581" t="s">
        <v>539</v>
      </c>
    </row>
    <row r="55" spans="1:16" s="680" customFormat="1" ht="12">
      <c r="A55" s="712"/>
      <c r="B55" s="602"/>
      <c r="C55" s="581"/>
      <c r="D55" s="602"/>
      <c r="E55" s="602"/>
      <c r="F55" s="602"/>
      <c r="G55" s="581"/>
      <c r="H55" s="683"/>
      <c r="I55" s="602"/>
      <c r="J55" s="602"/>
      <c r="K55" s="602"/>
      <c r="L55" s="602"/>
      <c r="M55" s="602"/>
      <c r="N55" s="602"/>
      <c r="O55" s="602"/>
      <c r="P55" s="602"/>
    </row>
    <row r="56" spans="1:8" s="716" customFormat="1" ht="11.25">
      <c r="A56" s="713"/>
      <c r="B56" s="714"/>
      <c r="C56" s="498"/>
      <c r="D56" s="715"/>
      <c r="E56" s="498"/>
      <c r="F56" s="715"/>
      <c r="G56" s="715"/>
      <c r="H56" s="498"/>
    </row>
    <row r="57" spans="1:9" s="685" customFormat="1" ht="12.75">
      <c r="A57" s="637"/>
      <c r="B57" s="717"/>
      <c r="C57" s="498"/>
      <c r="D57" s="718"/>
      <c r="E57" s="718"/>
      <c r="G57" s="719"/>
      <c r="I57" s="680"/>
    </row>
    <row r="58" spans="1:16" s="680" customFormat="1" ht="12">
      <c r="A58" s="712"/>
      <c r="B58" s="602"/>
      <c r="C58" s="581"/>
      <c r="D58" s="602"/>
      <c r="E58" s="602"/>
      <c r="F58" s="602"/>
      <c r="G58" s="581"/>
      <c r="H58" s="683"/>
      <c r="I58" s="602"/>
      <c r="J58" s="602"/>
      <c r="K58" s="602"/>
      <c r="L58" s="602"/>
      <c r="M58" s="602"/>
      <c r="N58" s="602"/>
      <c r="O58" s="602"/>
      <c r="P58" s="602"/>
    </row>
    <row r="59" s="685" customFormat="1" ht="11.25">
      <c r="A59" s="684"/>
    </row>
    <row r="60" spans="1:6" s="685" customFormat="1" ht="11.25">
      <c r="A60" s="684"/>
      <c r="B60" s="498"/>
      <c r="C60" s="498"/>
      <c r="D60" s="498"/>
      <c r="E60" s="498"/>
      <c r="F60" s="498"/>
    </row>
    <row r="67" ht="11.25">
      <c r="A67" s="590" t="s">
        <v>540</v>
      </c>
    </row>
    <row r="68" s="590" customFormat="1" ht="11.25">
      <c r="A68" s="537" t="s">
        <v>541</v>
      </c>
    </row>
    <row r="69" ht="11.25">
      <c r="A69" s="537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L81"/>
  <sheetViews>
    <sheetView workbookViewId="0" topLeftCell="F1">
      <selection activeCell="F4" sqref="F4:J4"/>
    </sheetView>
  </sheetViews>
  <sheetFormatPr defaultColWidth="9.140625" defaultRowHeight="12.75"/>
  <cols>
    <col min="1" max="1" width="47.421875" style="43" hidden="1" customWidth="1"/>
    <col min="2" max="2" width="13.28125" style="189" hidden="1" customWidth="1"/>
    <col min="3" max="3" width="12.7109375" style="43" hidden="1" customWidth="1"/>
    <col min="4" max="4" width="7.57421875" style="43" hidden="1" customWidth="1"/>
    <col min="5" max="5" width="3.8515625" style="43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11" max="12" width="0" style="0" hidden="1" customWidth="1"/>
    <col min="143" max="16384" width="9.140625" style="43" customWidth="1"/>
  </cols>
  <sheetData>
    <row r="1" spans="5:10" ht="12.75">
      <c r="E1" s="43" t="s">
        <v>162</v>
      </c>
      <c r="F1" s="43"/>
      <c r="G1" s="189"/>
      <c r="H1" s="43"/>
      <c r="I1" s="43"/>
      <c r="J1" s="43" t="s">
        <v>162</v>
      </c>
    </row>
    <row r="2" spans="1:10" ht="18" customHeight="1">
      <c r="A2" s="32" t="s">
        <v>163</v>
      </c>
      <c r="B2" s="190"/>
      <c r="C2" s="32"/>
      <c r="D2" s="32"/>
      <c r="E2" s="32"/>
      <c r="F2" s="32" t="s">
        <v>163</v>
      </c>
      <c r="G2" s="190"/>
      <c r="H2" s="32"/>
      <c r="I2" s="32"/>
      <c r="J2" s="32"/>
    </row>
    <row r="3" spans="6:10" ht="20.25" customHeight="1">
      <c r="F3" s="43"/>
      <c r="G3" s="189"/>
      <c r="H3" s="43"/>
      <c r="I3" s="43"/>
      <c r="J3" s="43"/>
    </row>
    <row r="4" spans="1:10" ht="18.75" customHeight="1">
      <c r="A4" s="767" t="s">
        <v>164</v>
      </c>
      <c r="B4" s="767"/>
      <c r="C4" s="767"/>
      <c r="D4" s="767"/>
      <c r="E4" s="767"/>
      <c r="F4" s="767" t="s">
        <v>165</v>
      </c>
      <c r="G4" s="767"/>
      <c r="H4" s="767"/>
      <c r="I4" s="767"/>
      <c r="J4" s="767"/>
    </row>
    <row r="5" spans="1:10" ht="18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.75" customHeight="1">
      <c r="A6" s="191"/>
      <c r="B6" s="190"/>
      <c r="C6" s="32"/>
      <c r="D6" s="39"/>
      <c r="E6" s="39"/>
      <c r="F6" s="191"/>
      <c r="G6" s="190"/>
      <c r="H6" s="32"/>
      <c r="I6" s="39"/>
      <c r="J6" s="39" t="s">
        <v>67</v>
      </c>
    </row>
    <row r="7" spans="1:10" ht="56.25">
      <c r="A7" s="5" t="s">
        <v>18</v>
      </c>
      <c r="B7" s="192" t="s">
        <v>68</v>
      </c>
      <c r="C7" s="5" t="s">
        <v>70</v>
      </c>
      <c r="D7" s="5" t="s">
        <v>166</v>
      </c>
      <c r="E7" s="5" t="s">
        <v>167</v>
      </c>
      <c r="F7" s="5" t="s">
        <v>18</v>
      </c>
      <c r="G7" s="192" t="s">
        <v>68</v>
      </c>
      <c r="H7" s="5" t="s">
        <v>70</v>
      </c>
      <c r="I7" s="5" t="s">
        <v>166</v>
      </c>
      <c r="J7" s="5" t="s">
        <v>168</v>
      </c>
    </row>
    <row r="8" spans="1:10" ht="12.75">
      <c r="A8" s="5">
        <v>1</v>
      </c>
      <c r="B8" s="192">
        <v>2</v>
      </c>
      <c r="C8" s="5">
        <v>3</v>
      </c>
      <c r="D8" s="5">
        <v>4</v>
      </c>
      <c r="E8" s="5">
        <v>5</v>
      </c>
      <c r="F8" s="5">
        <v>1</v>
      </c>
      <c r="G8" s="192">
        <v>2</v>
      </c>
      <c r="H8" s="5">
        <v>3</v>
      </c>
      <c r="I8" s="5">
        <v>4</v>
      </c>
      <c r="J8" s="5">
        <v>5</v>
      </c>
    </row>
    <row r="9" spans="1:10" ht="25.5" customHeight="1">
      <c r="A9" s="26" t="s">
        <v>169</v>
      </c>
      <c r="B9" s="193">
        <f>SUM(B23,B32)</f>
        <v>1373743104</v>
      </c>
      <c r="C9" s="193">
        <f>SUM(C23,C32)</f>
        <v>0</v>
      </c>
      <c r="D9" s="77">
        <f>IF(ISERROR(C9/B9)," ",(C9/B9))</f>
        <v>0</v>
      </c>
      <c r="E9" s="193">
        <f>C9</f>
        <v>0</v>
      </c>
      <c r="F9" s="26" t="s">
        <v>169</v>
      </c>
      <c r="G9" s="194">
        <f>SUM(G23,G32)</f>
        <v>1373743</v>
      </c>
      <c r="H9" s="194">
        <f>SUM(H23,H32)</f>
        <v>742296</v>
      </c>
      <c r="I9" s="195">
        <f>IF(ISERROR(H9/G9)," ",(H9/G9))</f>
        <v>0.5403456104962864</v>
      </c>
      <c r="J9" s="194">
        <f>H9-'[3]Junijs'!H9</f>
        <v>105867</v>
      </c>
    </row>
    <row r="10" spans="1:10" ht="25.5" customHeight="1">
      <c r="A10" s="67" t="s">
        <v>170</v>
      </c>
      <c r="B10" s="193">
        <f>SUM(B11,B19,B20,B21)</f>
        <v>737531269</v>
      </c>
      <c r="C10" s="193">
        <f>SUM(C11,C19,C20)</f>
        <v>0</v>
      </c>
      <c r="D10" s="77">
        <f aca="true" t="shared" si="0" ref="D10:D69">IF(ISERROR(C10/B10)," ",(C10/B10))</f>
        <v>0</v>
      </c>
      <c r="E10" s="193">
        <f aca="true" t="shared" si="1" ref="E10:E69">C10</f>
        <v>0</v>
      </c>
      <c r="F10" s="67" t="s">
        <v>170</v>
      </c>
      <c r="G10" s="194">
        <f>SUM(G11,G19,G20,G21)</f>
        <v>737531</v>
      </c>
      <c r="H10" s="194">
        <f>SUM(H11,H19,H20,H21)</f>
        <v>388842</v>
      </c>
      <c r="I10" s="195">
        <f aca="true" t="shared" si="2" ref="I10:I69">IF(ISERROR(H10/G10)," ",(H10/G10))</f>
        <v>0.5272212286669984</v>
      </c>
      <c r="J10" s="194">
        <f>H10-'[3]Junijs'!H10</f>
        <v>53084</v>
      </c>
    </row>
    <row r="11" spans="1:10" ht="19.5" customHeight="1">
      <c r="A11" s="54" t="s">
        <v>171</v>
      </c>
      <c r="B11" s="196">
        <f>SUM(B12,B14,B18)</f>
        <v>587500000</v>
      </c>
      <c r="C11" s="196">
        <f>SUM(C12,C14,C18)</f>
        <v>0</v>
      </c>
      <c r="D11" s="63">
        <f t="shared" si="0"/>
        <v>0</v>
      </c>
      <c r="E11" s="193">
        <f t="shared" si="1"/>
        <v>0</v>
      </c>
      <c r="F11" s="54" t="s">
        <v>171</v>
      </c>
      <c r="G11" s="197">
        <f>SUM(G12,G14,G18)</f>
        <v>587500</v>
      </c>
      <c r="H11" s="197">
        <f>SUM(H12,H14,H18)</f>
        <v>318173</v>
      </c>
      <c r="I11" s="198">
        <f t="shared" si="2"/>
        <v>0.5415710638297873</v>
      </c>
      <c r="J11" s="197">
        <f>H11-'[3]Junijs'!H11</f>
        <v>40245</v>
      </c>
    </row>
    <row r="12" spans="1:10" ht="15.75" customHeight="1">
      <c r="A12" s="199" t="s">
        <v>172</v>
      </c>
      <c r="B12" s="196">
        <f>SUM(B13)</f>
        <v>95100000</v>
      </c>
      <c r="C12" s="196">
        <f>SUM(C13)</f>
        <v>0</v>
      </c>
      <c r="D12" s="63">
        <f t="shared" si="0"/>
        <v>0</v>
      </c>
      <c r="E12" s="193">
        <f t="shared" si="1"/>
        <v>0</v>
      </c>
      <c r="F12" s="199" t="s">
        <v>172</v>
      </c>
      <c r="G12" s="196">
        <f>SUM(G13)</f>
        <v>95100</v>
      </c>
      <c r="H12" s="196">
        <f>SUM(H13)</f>
        <v>49364</v>
      </c>
      <c r="I12" s="163">
        <f t="shared" si="2"/>
        <v>0.519074658254469</v>
      </c>
      <c r="J12" s="196">
        <f>H12-'[3]Junijs'!H12</f>
        <v>1286</v>
      </c>
    </row>
    <row r="13" spans="1:10" ht="15.75" customHeight="1">
      <c r="A13" s="60" t="s">
        <v>173</v>
      </c>
      <c r="B13" s="196">
        <v>95100000</v>
      </c>
      <c r="C13" s="196"/>
      <c r="D13" s="63">
        <f t="shared" si="0"/>
        <v>0</v>
      </c>
      <c r="E13" s="193">
        <f t="shared" si="1"/>
        <v>0</v>
      </c>
      <c r="F13" s="60" t="s">
        <v>173</v>
      </c>
      <c r="G13" s="197">
        <f>ROUND(B13/1000,0)</f>
        <v>95100</v>
      </c>
      <c r="H13" s="197">
        <v>49364</v>
      </c>
      <c r="I13" s="198">
        <f t="shared" si="2"/>
        <v>0.519074658254469</v>
      </c>
      <c r="J13" s="197">
        <f>H13-'[3]Junijs'!H13</f>
        <v>1286</v>
      </c>
    </row>
    <row r="14" spans="1:10" ht="16.5" customHeight="1">
      <c r="A14" s="199" t="s">
        <v>174</v>
      </c>
      <c r="B14" s="196">
        <f>SUM(B15:B17)</f>
        <v>492400000</v>
      </c>
      <c r="C14" s="196">
        <f>SUM(C15:C17)</f>
        <v>0</v>
      </c>
      <c r="D14" s="63">
        <f t="shared" si="0"/>
        <v>0</v>
      </c>
      <c r="E14" s="193">
        <f t="shared" si="1"/>
        <v>0</v>
      </c>
      <c r="F14" s="199" t="s">
        <v>174</v>
      </c>
      <c r="G14" s="196">
        <f>SUM(G15:G17)</f>
        <v>492400</v>
      </c>
      <c r="H14" s="196">
        <f>SUM(H15:H17)</f>
        <v>265576</v>
      </c>
      <c r="I14" s="163">
        <f t="shared" si="2"/>
        <v>0.5393501218521527</v>
      </c>
      <c r="J14" s="196">
        <f>H14-'[3]Junijs'!H14</f>
        <v>39151</v>
      </c>
    </row>
    <row r="15" spans="1:10" ht="17.25" customHeight="1">
      <c r="A15" s="149" t="s">
        <v>175</v>
      </c>
      <c r="B15" s="196">
        <v>346096000</v>
      </c>
      <c r="C15" s="196"/>
      <c r="D15" s="63">
        <f t="shared" si="0"/>
        <v>0</v>
      </c>
      <c r="E15" s="193">
        <f t="shared" si="1"/>
        <v>0</v>
      </c>
      <c r="F15" s="149" t="s">
        <v>175</v>
      </c>
      <c r="G15" s="197">
        <f aca="true" t="shared" si="3" ref="G15:G22">ROUND(B15/1000,0)</f>
        <v>346096</v>
      </c>
      <c r="H15" s="197">
        <v>190871</v>
      </c>
      <c r="I15" s="198">
        <f t="shared" si="2"/>
        <v>0.5514972724330821</v>
      </c>
      <c r="J15" s="197">
        <f>H15-'[3]Junijs'!H15</f>
        <v>27555</v>
      </c>
    </row>
    <row r="16" spans="1:10" ht="17.25" customHeight="1">
      <c r="A16" s="60" t="s">
        <v>176</v>
      </c>
      <c r="B16" s="196">
        <v>133504000</v>
      </c>
      <c r="C16" s="196"/>
      <c r="D16" s="63">
        <f t="shared" si="0"/>
        <v>0</v>
      </c>
      <c r="E16" s="193">
        <f t="shared" si="1"/>
        <v>0</v>
      </c>
      <c r="F16" s="60" t="s">
        <v>176</v>
      </c>
      <c r="G16" s="197">
        <f t="shared" si="3"/>
        <v>133504</v>
      </c>
      <c r="H16" s="197">
        <v>66419</v>
      </c>
      <c r="I16" s="198">
        <f t="shared" si="2"/>
        <v>0.49750569271332695</v>
      </c>
      <c r="J16" s="197">
        <f>H16-'[3]Junijs'!H16</f>
        <v>10516</v>
      </c>
    </row>
    <row r="17" spans="1:10" ht="16.5" customHeight="1">
      <c r="A17" s="60" t="s">
        <v>177</v>
      </c>
      <c r="B17" s="196">
        <v>12800000</v>
      </c>
      <c r="C17" s="196"/>
      <c r="D17" s="63">
        <f t="shared" si="0"/>
        <v>0</v>
      </c>
      <c r="E17" s="193">
        <f t="shared" si="1"/>
        <v>0</v>
      </c>
      <c r="F17" s="60" t="s">
        <v>177</v>
      </c>
      <c r="G17" s="197">
        <f t="shared" si="3"/>
        <v>12800</v>
      </c>
      <c r="H17" s="197">
        <v>8286</v>
      </c>
      <c r="I17" s="198">
        <f t="shared" si="2"/>
        <v>0.64734375</v>
      </c>
      <c r="J17" s="197">
        <f>H17-'[3]Junijs'!H17</f>
        <v>1080</v>
      </c>
    </row>
    <row r="18" spans="1:10" ht="12.75">
      <c r="A18" s="199" t="s">
        <v>178</v>
      </c>
      <c r="B18" s="196"/>
      <c r="C18" s="196"/>
      <c r="D18" s="63" t="str">
        <f t="shared" si="0"/>
        <v> </v>
      </c>
      <c r="E18" s="193">
        <f t="shared" si="1"/>
        <v>0</v>
      </c>
      <c r="F18" s="199" t="s">
        <v>178</v>
      </c>
      <c r="G18" s="196">
        <f t="shared" si="3"/>
        <v>0</v>
      </c>
      <c r="H18" s="196">
        <v>3233</v>
      </c>
      <c r="I18" s="163" t="str">
        <f t="shared" si="2"/>
        <v> </v>
      </c>
      <c r="J18" s="196">
        <f>H18-'[3]Junijs'!H18</f>
        <v>-192</v>
      </c>
    </row>
    <row r="19" spans="1:10" ht="13.5" customHeight="1">
      <c r="A19" s="54" t="s">
        <v>179</v>
      </c>
      <c r="B19" s="196">
        <v>59128087</v>
      </c>
      <c r="C19" s="196"/>
      <c r="D19" s="63">
        <f t="shared" si="0"/>
        <v>0</v>
      </c>
      <c r="E19" s="193">
        <f t="shared" si="1"/>
        <v>0</v>
      </c>
      <c r="F19" s="54" t="s">
        <v>179</v>
      </c>
      <c r="G19" s="197">
        <f t="shared" si="3"/>
        <v>59128</v>
      </c>
      <c r="H19" s="197">
        <v>37480</v>
      </c>
      <c r="I19" s="198">
        <f t="shared" si="2"/>
        <v>0.6338790420782032</v>
      </c>
      <c r="J19" s="197">
        <f>H19-'[3]Junijs'!H19</f>
        <v>7689</v>
      </c>
    </row>
    <row r="20" spans="1:10" ht="13.5" customHeight="1">
      <c r="A20" s="200" t="s">
        <v>180</v>
      </c>
      <c r="B20" s="196">
        <v>59260125</v>
      </c>
      <c r="C20" s="196"/>
      <c r="D20" s="63">
        <f t="shared" si="0"/>
        <v>0</v>
      </c>
      <c r="E20" s="193">
        <f t="shared" si="1"/>
        <v>0</v>
      </c>
      <c r="F20" s="200" t="s">
        <v>180</v>
      </c>
      <c r="G20" s="197">
        <f t="shared" si="3"/>
        <v>59260</v>
      </c>
      <c r="H20" s="197">
        <v>30970</v>
      </c>
      <c r="I20" s="198">
        <f t="shared" si="2"/>
        <v>0.5226122173472831</v>
      </c>
      <c r="J20" s="197">
        <f>H20-'[3]Junijs'!H20</f>
        <v>4794</v>
      </c>
    </row>
    <row r="21" spans="1:10" ht="13.5" customHeight="1">
      <c r="A21" s="200" t="s">
        <v>181</v>
      </c>
      <c r="B21" s="196">
        <v>31643057</v>
      </c>
      <c r="C21" s="196"/>
      <c r="D21" s="63"/>
      <c r="E21" s="193"/>
      <c r="F21" s="200" t="s">
        <v>181</v>
      </c>
      <c r="G21" s="197">
        <f t="shared" si="3"/>
        <v>31643</v>
      </c>
      <c r="H21" s="197">
        <v>2219</v>
      </c>
      <c r="I21" s="198">
        <f t="shared" si="2"/>
        <v>0.07012609423885219</v>
      </c>
      <c r="J21" s="197">
        <f>H21-'[3]Junijs'!H21</f>
        <v>356</v>
      </c>
    </row>
    <row r="22" spans="1:10" ht="12.75" customHeight="1">
      <c r="A22" s="201" t="s">
        <v>182</v>
      </c>
      <c r="B22" s="196">
        <v>1201200</v>
      </c>
      <c r="C22" s="196"/>
      <c r="D22" s="63">
        <f t="shared" si="0"/>
        <v>0</v>
      </c>
      <c r="E22" s="193">
        <f t="shared" si="1"/>
        <v>0</v>
      </c>
      <c r="F22" s="201" t="s">
        <v>182</v>
      </c>
      <c r="G22" s="202">
        <f t="shared" si="3"/>
        <v>1201</v>
      </c>
      <c r="H22" s="203">
        <v>701</v>
      </c>
      <c r="I22" s="204">
        <f t="shared" si="2"/>
        <v>0.5836802664446294</v>
      </c>
      <c r="J22" s="202">
        <f>H22-'[3]Junijs'!H22</f>
        <v>100</v>
      </c>
    </row>
    <row r="23" spans="1:10" ht="19.5" customHeight="1">
      <c r="A23" s="67" t="s">
        <v>183</v>
      </c>
      <c r="B23" s="193">
        <f>SUM(B10-B22)</f>
        <v>736330069</v>
      </c>
      <c r="C23" s="193">
        <f>SUM(C10-C22)</f>
        <v>0</v>
      </c>
      <c r="D23" s="77">
        <f t="shared" si="0"/>
        <v>0</v>
      </c>
      <c r="E23" s="193">
        <f t="shared" si="1"/>
        <v>0</v>
      </c>
      <c r="F23" s="67" t="s">
        <v>183</v>
      </c>
      <c r="G23" s="194">
        <f>SUM(G10-G22)</f>
        <v>736330</v>
      </c>
      <c r="H23" s="194">
        <f>SUM(H10-H22)</f>
        <v>388141</v>
      </c>
      <c r="I23" s="195">
        <f t="shared" si="2"/>
        <v>0.5271291404669102</v>
      </c>
      <c r="J23" s="194">
        <f>H23-'[3]Junijs'!H23</f>
        <v>52984</v>
      </c>
    </row>
    <row r="24" spans="1:10" ht="20.25" customHeight="1">
      <c r="A24" s="73" t="s">
        <v>184</v>
      </c>
      <c r="B24" s="193">
        <f>SUM(B25)</f>
        <v>699762222</v>
      </c>
      <c r="C24" s="193">
        <f>SUM(C25)</f>
        <v>0</v>
      </c>
      <c r="D24" s="77">
        <f t="shared" si="0"/>
        <v>0</v>
      </c>
      <c r="E24" s="193">
        <f t="shared" si="1"/>
        <v>0</v>
      </c>
      <c r="F24" s="73" t="s">
        <v>184</v>
      </c>
      <c r="G24" s="194">
        <f>SUM(G25)</f>
        <v>699762</v>
      </c>
      <c r="H24" s="194">
        <f>SUM(H25)</f>
        <v>392007</v>
      </c>
      <c r="I24" s="195">
        <f t="shared" si="2"/>
        <v>0.5602004681591741</v>
      </c>
      <c r="J24" s="194">
        <f>H24-'[3]Junijs'!H24</f>
        <v>57838</v>
      </c>
    </row>
    <row r="25" spans="1:10" ht="12.75">
      <c r="A25" s="54" t="s">
        <v>185</v>
      </c>
      <c r="B25" s="196">
        <f>SUM(B26:B30)</f>
        <v>699762222</v>
      </c>
      <c r="C25" s="196">
        <f>SUM(C26:C30)</f>
        <v>0</v>
      </c>
      <c r="D25" s="63">
        <f t="shared" si="0"/>
        <v>0</v>
      </c>
      <c r="E25" s="193">
        <f t="shared" si="1"/>
        <v>0</v>
      </c>
      <c r="F25" s="54" t="s">
        <v>185</v>
      </c>
      <c r="G25" s="197">
        <f>SUM(G26:G30)</f>
        <v>699762</v>
      </c>
      <c r="H25" s="197">
        <f>SUM(H26:H30)</f>
        <v>392007</v>
      </c>
      <c r="I25" s="198">
        <f t="shared" si="2"/>
        <v>0.5602004681591741</v>
      </c>
      <c r="J25" s="197">
        <f>H25-'[3]Junijs'!H25</f>
        <v>57838</v>
      </c>
    </row>
    <row r="26" spans="1:142" s="2" customFormat="1" ht="12.75">
      <c r="A26" s="60" t="s">
        <v>186</v>
      </c>
      <c r="B26" s="196">
        <v>473580496</v>
      </c>
      <c r="C26" s="196"/>
      <c r="D26" s="63">
        <f t="shared" si="0"/>
        <v>0</v>
      </c>
      <c r="E26" s="193">
        <f t="shared" si="1"/>
        <v>0</v>
      </c>
      <c r="F26" s="60" t="s">
        <v>186</v>
      </c>
      <c r="G26" s="197">
        <f>ROUND(B26/1000,0)+1</f>
        <v>473581</v>
      </c>
      <c r="H26" s="197">
        <v>267229</v>
      </c>
      <c r="I26" s="198">
        <f t="shared" si="2"/>
        <v>0.5642730599411716</v>
      </c>
      <c r="J26" s="197">
        <f>H26-'[3]Junijs'!H26</f>
        <v>39775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2" customFormat="1" ht="12.75">
      <c r="A27" s="205" t="s">
        <v>187</v>
      </c>
      <c r="B27" s="196">
        <v>56546000</v>
      </c>
      <c r="C27" s="196"/>
      <c r="D27" s="63">
        <f t="shared" si="0"/>
        <v>0</v>
      </c>
      <c r="E27" s="193">
        <f t="shared" si="1"/>
        <v>0</v>
      </c>
      <c r="F27" s="205" t="s">
        <v>187</v>
      </c>
      <c r="G27" s="197">
        <f>ROUND(B27/1000,0)</f>
        <v>56546</v>
      </c>
      <c r="H27" s="197">
        <v>25749</v>
      </c>
      <c r="I27" s="198">
        <f t="shared" si="2"/>
        <v>0.4553637746259682</v>
      </c>
      <c r="J27" s="197">
        <f>H27-'[3]Junijs'!H27</f>
        <v>3869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2" customFormat="1" ht="12.75">
      <c r="A28" s="205" t="s">
        <v>188</v>
      </c>
      <c r="B28" s="196">
        <v>74152400</v>
      </c>
      <c r="C28" s="196"/>
      <c r="D28" s="63">
        <f t="shared" si="0"/>
        <v>0</v>
      </c>
      <c r="E28" s="193">
        <f t="shared" si="1"/>
        <v>0</v>
      </c>
      <c r="F28" s="205" t="s">
        <v>188</v>
      </c>
      <c r="G28" s="197">
        <f>ROUND(B28/1000,0)</f>
        <v>74152</v>
      </c>
      <c r="H28" s="197">
        <v>41411</v>
      </c>
      <c r="I28" s="198">
        <f t="shared" si="2"/>
        <v>0.5584609990290215</v>
      </c>
      <c r="J28" s="197">
        <f>H28-'[3]Junijs'!H28</f>
        <v>6375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2" customFormat="1" ht="12.75">
      <c r="A29" s="200" t="s">
        <v>189</v>
      </c>
      <c r="B29" s="196">
        <v>3371252</v>
      </c>
      <c r="C29" s="196"/>
      <c r="D29" s="63">
        <f t="shared" si="0"/>
        <v>0</v>
      </c>
      <c r="E29" s="193">
        <f t="shared" si="1"/>
        <v>0</v>
      </c>
      <c r="F29" s="200" t="s">
        <v>189</v>
      </c>
      <c r="G29" s="197">
        <f>ROUND(B29/1000,0)</f>
        <v>3371</v>
      </c>
      <c r="H29" s="197">
        <v>522</v>
      </c>
      <c r="I29" s="198">
        <f t="shared" si="2"/>
        <v>0.15485019282112134</v>
      </c>
      <c r="J29" s="197">
        <f>H29-'[3]Junijs'!H29</f>
        <v>242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2" customFormat="1" ht="12.75">
      <c r="A30" s="60" t="s">
        <v>190</v>
      </c>
      <c r="B30" s="196">
        <v>92112074</v>
      </c>
      <c r="C30" s="196"/>
      <c r="D30" s="63">
        <f t="shared" si="0"/>
        <v>0</v>
      </c>
      <c r="E30" s="193">
        <f t="shared" si="1"/>
        <v>0</v>
      </c>
      <c r="F30" s="60" t="s">
        <v>190</v>
      </c>
      <c r="G30" s="197">
        <f>ROUND(B30/1000,0)</f>
        <v>92112</v>
      </c>
      <c r="H30" s="197">
        <v>57096</v>
      </c>
      <c r="I30" s="198">
        <f t="shared" si="2"/>
        <v>0.6198540906722251</v>
      </c>
      <c r="J30" s="197">
        <f>H30-'[3]Junijs'!H30</f>
        <v>7577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2" customFormat="1" ht="12.75">
      <c r="A31" s="206" t="s">
        <v>191</v>
      </c>
      <c r="B31" s="196">
        <v>62349187</v>
      </c>
      <c r="C31" s="196"/>
      <c r="D31" s="63">
        <f t="shared" si="0"/>
        <v>0</v>
      </c>
      <c r="E31" s="193">
        <f t="shared" si="1"/>
        <v>0</v>
      </c>
      <c r="F31" s="206" t="s">
        <v>191</v>
      </c>
      <c r="G31" s="202">
        <f>ROUND(B31/1000,0)</f>
        <v>62349</v>
      </c>
      <c r="H31" s="196">
        <v>37852</v>
      </c>
      <c r="I31" s="204">
        <f t="shared" si="2"/>
        <v>0.6070987505814047</v>
      </c>
      <c r="J31" s="202">
        <f>H31-'[3]Junijs'!H31</f>
        <v>4955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0" ht="22.5" customHeight="1">
      <c r="A32" s="67" t="s">
        <v>192</v>
      </c>
      <c r="B32" s="193">
        <f>SUM(B24-B31)</f>
        <v>637413035</v>
      </c>
      <c r="C32" s="193">
        <f>SUM(C24-C31)</f>
        <v>0</v>
      </c>
      <c r="D32" s="77">
        <f t="shared" si="0"/>
        <v>0</v>
      </c>
      <c r="E32" s="193">
        <f t="shared" si="1"/>
        <v>0</v>
      </c>
      <c r="F32" s="67" t="s">
        <v>192</v>
      </c>
      <c r="G32" s="194">
        <f>SUM(G24-G31)</f>
        <v>637413</v>
      </c>
      <c r="H32" s="194">
        <f>SUM(H24-H31)</f>
        <v>354155</v>
      </c>
      <c r="I32" s="195">
        <f t="shared" si="2"/>
        <v>0.5556130797457849</v>
      </c>
      <c r="J32" s="194">
        <f>H32-'[3]Junijs'!H32</f>
        <v>52883</v>
      </c>
    </row>
    <row r="33" spans="1:10" ht="29.25" customHeight="1">
      <c r="A33" s="69" t="s">
        <v>193</v>
      </c>
      <c r="B33" s="193">
        <f>SUM(B34:B36)</f>
        <v>1439743280</v>
      </c>
      <c r="C33" s="193">
        <f>SUM(C34:C36)</f>
        <v>0</v>
      </c>
      <c r="D33" s="77">
        <f t="shared" si="0"/>
        <v>0</v>
      </c>
      <c r="E33" s="193">
        <f t="shared" si="1"/>
        <v>0</v>
      </c>
      <c r="F33" s="69" t="s">
        <v>193</v>
      </c>
      <c r="G33" s="194">
        <f>SUM(G34:G36)</f>
        <v>1439743</v>
      </c>
      <c r="H33" s="194">
        <f>SUM(H34:H36)</f>
        <v>799634</v>
      </c>
      <c r="I33" s="195">
        <f t="shared" si="2"/>
        <v>0.5554005124525696</v>
      </c>
      <c r="J33" s="194">
        <f>H33-'[3]Junijs'!H33</f>
        <v>108576</v>
      </c>
    </row>
    <row r="34" spans="1:10" ht="28.5" customHeight="1">
      <c r="A34" s="69" t="s">
        <v>194</v>
      </c>
      <c r="B34" s="193">
        <f>SUM(B46+B63)</f>
        <v>1338259956</v>
      </c>
      <c r="C34" s="193">
        <f>SUM(C46+C63)</f>
        <v>0</v>
      </c>
      <c r="D34" s="77">
        <f t="shared" si="0"/>
        <v>0</v>
      </c>
      <c r="E34" s="193">
        <f t="shared" si="1"/>
        <v>0</v>
      </c>
      <c r="F34" s="69" t="s">
        <v>194</v>
      </c>
      <c r="G34" s="194">
        <f>SUM(G46+G63)</f>
        <v>1338260</v>
      </c>
      <c r="H34" s="194">
        <f>SUM(H46+H63)</f>
        <v>757640</v>
      </c>
      <c r="I34" s="195">
        <f t="shared" si="2"/>
        <v>0.566138119647901</v>
      </c>
      <c r="J34" s="194">
        <f>H34-'[3]Junijs'!H34</f>
        <v>100559</v>
      </c>
    </row>
    <row r="35" spans="1:10" ht="25.5" customHeight="1">
      <c r="A35" s="69" t="s">
        <v>195</v>
      </c>
      <c r="B35" s="193">
        <f>SUM(B48+B65)</f>
        <v>34787269</v>
      </c>
      <c r="C35" s="193">
        <f>SUM(C48+C65)</f>
        <v>0</v>
      </c>
      <c r="D35" s="77">
        <f t="shared" si="0"/>
        <v>0</v>
      </c>
      <c r="E35" s="193">
        <f t="shared" si="1"/>
        <v>0</v>
      </c>
      <c r="F35" s="69" t="s">
        <v>195</v>
      </c>
      <c r="G35" s="194">
        <f>SUM(G48+G65)</f>
        <v>34787</v>
      </c>
      <c r="H35" s="194">
        <f>SUM(H48+H65)</f>
        <v>14059</v>
      </c>
      <c r="I35" s="195">
        <f t="shared" si="2"/>
        <v>0.40414522666513353</v>
      </c>
      <c r="J35" s="194">
        <f>H35-'[3]Junijs'!H35</f>
        <v>2110</v>
      </c>
    </row>
    <row r="36" spans="1:10" ht="30" customHeight="1">
      <c r="A36" s="69" t="s">
        <v>196</v>
      </c>
      <c r="B36" s="193">
        <f>SUM(B51+B67)</f>
        <v>66696055</v>
      </c>
      <c r="C36" s="193">
        <f>SUM(C51+C67)</f>
        <v>0</v>
      </c>
      <c r="D36" s="77">
        <f t="shared" si="0"/>
        <v>0</v>
      </c>
      <c r="E36" s="193">
        <f t="shared" si="1"/>
        <v>0</v>
      </c>
      <c r="F36" s="69" t="s">
        <v>196</v>
      </c>
      <c r="G36" s="194">
        <f>SUM(G51+G67)</f>
        <v>66696</v>
      </c>
      <c r="H36" s="194">
        <f>SUM(H51+H67)</f>
        <v>27935</v>
      </c>
      <c r="I36" s="195">
        <f t="shared" si="2"/>
        <v>0.41884071008756146</v>
      </c>
      <c r="J36" s="194">
        <f>H36-'[3]Junijs'!H36</f>
        <v>5907</v>
      </c>
    </row>
    <row r="37" spans="1:10" ht="29.25" customHeight="1">
      <c r="A37" s="69" t="s">
        <v>197</v>
      </c>
      <c r="B37" s="193">
        <f>SUM(B9-B33)</f>
        <v>-66000176</v>
      </c>
      <c r="C37" s="193">
        <f>SUM(C9-C33)</f>
        <v>0</v>
      </c>
      <c r="D37" s="77">
        <f t="shared" si="0"/>
        <v>0</v>
      </c>
      <c r="E37" s="193">
        <f t="shared" si="1"/>
        <v>0</v>
      </c>
      <c r="F37" s="69" t="s">
        <v>197</v>
      </c>
      <c r="G37" s="194">
        <f>SUM(G9-G33)</f>
        <v>-66000</v>
      </c>
      <c r="H37" s="194">
        <f>SUM(H9-H33)</f>
        <v>-57338</v>
      </c>
      <c r="I37" s="195">
        <f t="shared" si="2"/>
        <v>0.8687575757575757</v>
      </c>
      <c r="J37" s="194">
        <f>H37-'[3]Junijs'!H37</f>
        <v>-2709</v>
      </c>
    </row>
    <row r="38" spans="1:10" ht="25.5">
      <c r="A38" s="69" t="s">
        <v>198</v>
      </c>
      <c r="B38" s="193">
        <f>SUM(B53+B69)</f>
        <v>14499012</v>
      </c>
      <c r="C38" s="193">
        <f>SUM(C53+C69)</f>
        <v>0</v>
      </c>
      <c r="D38" s="77">
        <f t="shared" si="0"/>
        <v>0</v>
      </c>
      <c r="E38" s="193">
        <f t="shared" si="1"/>
        <v>0</v>
      </c>
      <c r="F38" s="69" t="s">
        <v>198</v>
      </c>
      <c r="G38" s="194">
        <f>SUM(G53+G69)</f>
        <v>14499</v>
      </c>
      <c r="H38" s="194">
        <f>SUM(H53+H69)</f>
        <v>1035</v>
      </c>
      <c r="I38" s="195">
        <f t="shared" si="2"/>
        <v>0.07138423339540657</v>
      </c>
      <c r="J38" s="194">
        <f>H38-'[3]Junijs'!H38</f>
        <v>634</v>
      </c>
    </row>
    <row r="39" spans="1:10" ht="25.5">
      <c r="A39" s="69" t="s">
        <v>199</v>
      </c>
      <c r="B39" s="193">
        <f>SUM(B33+B38)</f>
        <v>1454242292</v>
      </c>
      <c r="C39" s="193">
        <f>SUM(C33+C38)</f>
        <v>0</v>
      </c>
      <c r="D39" s="77">
        <f t="shared" si="0"/>
        <v>0</v>
      </c>
      <c r="E39" s="193">
        <f t="shared" si="1"/>
        <v>0</v>
      </c>
      <c r="F39" s="69" t="s">
        <v>199</v>
      </c>
      <c r="G39" s="194">
        <f>SUM(G33+G38)</f>
        <v>1454242</v>
      </c>
      <c r="H39" s="194">
        <f>SUM(H33+H38)</f>
        <v>800669</v>
      </c>
      <c r="I39" s="195">
        <f t="shared" si="2"/>
        <v>0.5505748011678937</v>
      </c>
      <c r="J39" s="194">
        <f>H39-'[3]Junijs'!H39</f>
        <v>109210</v>
      </c>
    </row>
    <row r="40" spans="1:10" ht="27" customHeight="1">
      <c r="A40" s="69" t="s">
        <v>200</v>
      </c>
      <c r="B40" s="193">
        <f>IF((B37-B38=B9-B39)=TRUE,B37-B38,9)</f>
        <v>-80499188</v>
      </c>
      <c r="C40" s="194">
        <f>C37-C38</f>
        <v>0</v>
      </c>
      <c r="D40" s="77">
        <f t="shared" si="0"/>
        <v>0</v>
      </c>
      <c r="E40" s="193">
        <f t="shared" si="1"/>
        <v>0</v>
      </c>
      <c r="F40" s="69" t="s">
        <v>200</v>
      </c>
      <c r="G40" s="194">
        <f>IF((G37-G38=G9-G39)=TRUE,G37-G38,9)</f>
        <v>-80499</v>
      </c>
      <c r="H40" s="194">
        <f>IF((H37-H38=H9-H39)=TRUE,H37-H38,9)</f>
        <v>-58373</v>
      </c>
      <c r="I40" s="195">
        <f t="shared" si="2"/>
        <v>0.7251394427259966</v>
      </c>
      <c r="J40" s="194">
        <f>H40-'[3]Junijs'!H40</f>
        <v>-3343</v>
      </c>
    </row>
    <row r="41" spans="1:10" ht="15.75" customHeight="1">
      <c r="A41" s="67" t="s">
        <v>201</v>
      </c>
      <c r="B41" s="193">
        <f>B44+B47+B49</f>
        <v>759846889</v>
      </c>
      <c r="C41" s="193">
        <f>C44+C47+C49</f>
        <v>0</v>
      </c>
      <c r="D41" s="77">
        <f t="shared" si="0"/>
        <v>0</v>
      </c>
      <c r="E41" s="193">
        <f t="shared" si="1"/>
        <v>0</v>
      </c>
      <c r="F41" s="67" t="s">
        <v>201</v>
      </c>
      <c r="G41" s="194">
        <f>G44+G47+G49</f>
        <v>759847</v>
      </c>
      <c r="H41" s="194">
        <f>H44+H47+H49</f>
        <v>418134</v>
      </c>
      <c r="I41" s="195">
        <f t="shared" si="2"/>
        <v>0.550287097270898</v>
      </c>
      <c r="J41" s="194">
        <f>H41-'[3]Junijs'!H41</f>
        <v>56935</v>
      </c>
    </row>
    <row r="42" spans="1:10" ht="12.75">
      <c r="A42" s="207" t="s">
        <v>202</v>
      </c>
      <c r="B42" s="196">
        <f>B45+B50</f>
        <v>62349187</v>
      </c>
      <c r="C42" s="196">
        <f>C45+C50</f>
        <v>0</v>
      </c>
      <c r="D42" s="63">
        <f t="shared" si="0"/>
        <v>0</v>
      </c>
      <c r="E42" s="193">
        <f t="shared" si="1"/>
        <v>0</v>
      </c>
      <c r="F42" s="207" t="s">
        <v>202</v>
      </c>
      <c r="G42" s="202">
        <f>G45+G50</f>
        <v>62349</v>
      </c>
      <c r="H42" s="202">
        <f>H45+H50</f>
        <v>37852</v>
      </c>
      <c r="I42" s="204">
        <f t="shared" si="2"/>
        <v>0.6070987505814047</v>
      </c>
      <c r="J42" s="202">
        <f>H42-'[3]Junijs'!H42</f>
        <v>4955</v>
      </c>
    </row>
    <row r="43" spans="1:10" ht="20.25" customHeight="1">
      <c r="A43" s="67" t="s">
        <v>203</v>
      </c>
      <c r="B43" s="193">
        <f>SUM(B41-B42)</f>
        <v>697497702</v>
      </c>
      <c r="C43" s="193">
        <f>SUM(C41-C42)</f>
        <v>0</v>
      </c>
      <c r="D43" s="77">
        <f t="shared" si="0"/>
        <v>0</v>
      </c>
      <c r="E43" s="193">
        <f t="shared" si="1"/>
        <v>0</v>
      </c>
      <c r="F43" s="67" t="s">
        <v>203</v>
      </c>
      <c r="G43" s="194">
        <f>SUM(G41-G42)</f>
        <v>697498</v>
      </c>
      <c r="H43" s="194">
        <f>SUM(H41-H42)</f>
        <v>380282</v>
      </c>
      <c r="I43" s="195">
        <f t="shared" si="2"/>
        <v>0.5452087317813098</v>
      </c>
      <c r="J43" s="194">
        <f>H43-'[3]Junijs'!H43</f>
        <v>51980</v>
      </c>
    </row>
    <row r="44" spans="1:10" ht="12.75">
      <c r="A44" s="54" t="s">
        <v>204</v>
      </c>
      <c r="B44" s="196">
        <v>694317503</v>
      </c>
      <c r="C44" s="196"/>
      <c r="D44" s="63">
        <f t="shared" si="0"/>
        <v>0</v>
      </c>
      <c r="E44" s="193">
        <f t="shared" si="1"/>
        <v>0</v>
      </c>
      <c r="F44" s="54" t="s">
        <v>204</v>
      </c>
      <c r="G44" s="196">
        <f>ROUND(B44/1000,0)-1</f>
        <v>694317</v>
      </c>
      <c r="H44" s="196">
        <v>390607</v>
      </c>
      <c r="I44" s="163">
        <f t="shared" si="2"/>
        <v>0.5625773241905354</v>
      </c>
      <c r="J44" s="196">
        <f>H44-'[3]Junijs'!H44</f>
        <v>51564</v>
      </c>
    </row>
    <row r="45" spans="1:10" ht="12.75">
      <c r="A45" s="206" t="s">
        <v>205</v>
      </c>
      <c r="B45" s="196">
        <v>60907187</v>
      </c>
      <c r="C45" s="196"/>
      <c r="D45" s="63">
        <f t="shared" si="0"/>
        <v>0</v>
      </c>
      <c r="E45" s="193">
        <f t="shared" si="1"/>
        <v>0</v>
      </c>
      <c r="F45" s="206" t="s">
        <v>205</v>
      </c>
      <c r="G45" s="202">
        <f>ROUND(B45/1000,0)</f>
        <v>60907</v>
      </c>
      <c r="H45" s="202">
        <v>36736</v>
      </c>
      <c r="I45" s="204">
        <f t="shared" si="2"/>
        <v>0.6031490633260544</v>
      </c>
      <c r="J45" s="202">
        <f>H45-'[3]Junijs'!H45</f>
        <v>4835</v>
      </c>
    </row>
    <row r="46" spans="1:10" ht="15" customHeight="1">
      <c r="A46" s="67" t="s">
        <v>206</v>
      </c>
      <c r="B46" s="193">
        <f>SUM(B44-B45)</f>
        <v>633410316</v>
      </c>
      <c r="C46" s="193">
        <f>SUM(C44-C45)</f>
        <v>0</v>
      </c>
      <c r="D46" s="77">
        <f t="shared" si="0"/>
        <v>0</v>
      </c>
      <c r="E46" s="193">
        <f t="shared" si="1"/>
        <v>0</v>
      </c>
      <c r="F46" s="67" t="s">
        <v>206</v>
      </c>
      <c r="G46" s="194">
        <f>SUM(G44-G45)</f>
        <v>633410</v>
      </c>
      <c r="H46" s="194">
        <f>SUM(H44-H45)</f>
        <v>353871</v>
      </c>
      <c r="I46" s="195">
        <f t="shared" si="2"/>
        <v>0.558676055003868</v>
      </c>
      <c r="J46" s="194">
        <f>H46-'[3]Junijs'!H46</f>
        <v>46729</v>
      </c>
    </row>
    <row r="47" spans="1:10" ht="15.75" customHeight="1">
      <c r="A47" s="54" t="s">
        <v>207</v>
      </c>
      <c r="B47" s="196">
        <v>24236583</v>
      </c>
      <c r="C47" s="196"/>
      <c r="D47" s="63">
        <f t="shared" si="0"/>
        <v>0</v>
      </c>
      <c r="E47" s="193">
        <f t="shared" si="1"/>
        <v>0</v>
      </c>
      <c r="F47" s="54" t="s">
        <v>207</v>
      </c>
      <c r="G47" s="196">
        <f>ROUND(B47/1000,0)</f>
        <v>24237</v>
      </c>
      <c r="H47" s="196">
        <v>7777</v>
      </c>
      <c r="I47" s="163">
        <f t="shared" si="2"/>
        <v>0.3208730453438957</v>
      </c>
      <c r="J47" s="196">
        <f>H47-'[3]Junijs'!H47</f>
        <v>1439</v>
      </c>
    </row>
    <row r="48" spans="1:10" ht="12.75">
      <c r="A48" s="67" t="s">
        <v>208</v>
      </c>
      <c r="B48" s="193">
        <f>SUM(B47)</f>
        <v>24236583</v>
      </c>
      <c r="C48" s="193">
        <f>SUM(C47)</f>
        <v>0</v>
      </c>
      <c r="D48" s="77">
        <f t="shared" si="0"/>
        <v>0</v>
      </c>
      <c r="E48" s="193">
        <f t="shared" si="1"/>
        <v>0</v>
      </c>
      <c r="F48" s="67" t="s">
        <v>208</v>
      </c>
      <c r="G48" s="194">
        <f>SUM(G47)</f>
        <v>24237</v>
      </c>
      <c r="H48" s="194">
        <f>SUM(H47)</f>
        <v>7777</v>
      </c>
      <c r="I48" s="195">
        <f t="shared" si="2"/>
        <v>0.3208730453438957</v>
      </c>
      <c r="J48" s="194">
        <f>H48-'[3]Junijs'!H48</f>
        <v>1439</v>
      </c>
    </row>
    <row r="49" spans="1:10" ht="12.75">
      <c r="A49" s="54" t="s">
        <v>209</v>
      </c>
      <c r="B49" s="196">
        <v>41292803</v>
      </c>
      <c r="C49" s="196"/>
      <c r="D49" s="63">
        <f t="shared" si="0"/>
        <v>0</v>
      </c>
      <c r="E49" s="193">
        <f t="shared" si="1"/>
        <v>0</v>
      </c>
      <c r="F49" s="54" t="s">
        <v>209</v>
      </c>
      <c r="G49" s="196">
        <f>ROUND(B49/1000,0)</f>
        <v>41293</v>
      </c>
      <c r="H49" s="196">
        <v>19750</v>
      </c>
      <c r="I49" s="163">
        <f t="shared" si="2"/>
        <v>0.47828929842830503</v>
      </c>
      <c r="J49" s="196">
        <f>H49-'[3]Junijs'!H49</f>
        <v>3932</v>
      </c>
    </row>
    <row r="50" spans="1:142" s="54" customFormat="1" ht="12.75">
      <c r="A50" s="206" t="s">
        <v>210</v>
      </c>
      <c r="B50" s="196">
        <v>1442000</v>
      </c>
      <c r="C50" s="196"/>
      <c r="D50" s="63">
        <f t="shared" si="0"/>
        <v>0</v>
      </c>
      <c r="E50" s="193">
        <f t="shared" si="1"/>
        <v>0</v>
      </c>
      <c r="F50" s="206" t="s">
        <v>210</v>
      </c>
      <c r="G50" s="202">
        <f>ROUND(B50/1000,0)</f>
        <v>1442</v>
      </c>
      <c r="H50" s="202">
        <v>1116</v>
      </c>
      <c r="I50" s="204">
        <f t="shared" si="2"/>
        <v>0.7739251040221914</v>
      </c>
      <c r="J50" s="202">
        <f>H50-'[3]Junijs'!H50</f>
        <v>120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</row>
    <row r="51" spans="1:142" s="54" customFormat="1" ht="17.25" customHeight="1">
      <c r="A51" s="67" t="s">
        <v>211</v>
      </c>
      <c r="B51" s="193">
        <f>SUM(B49-B50)</f>
        <v>39850803</v>
      </c>
      <c r="C51" s="193">
        <f>SUM(C49-C50)</f>
        <v>0</v>
      </c>
      <c r="D51" s="77">
        <f t="shared" si="0"/>
        <v>0</v>
      </c>
      <c r="E51" s="193">
        <f t="shared" si="1"/>
        <v>0</v>
      </c>
      <c r="F51" s="67" t="s">
        <v>211</v>
      </c>
      <c r="G51" s="194">
        <f>SUM(G49-G50)</f>
        <v>39851</v>
      </c>
      <c r="H51" s="194">
        <f>SUM(H49-H50)</f>
        <v>18634</v>
      </c>
      <c r="I51" s="195">
        <f t="shared" si="2"/>
        <v>0.46759177937818375</v>
      </c>
      <c r="J51" s="194">
        <f>H51-'[3]Junijs'!H51</f>
        <v>3812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</row>
    <row r="52" spans="1:142" s="54" customFormat="1" ht="30" customHeight="1">
      <c r="A52" s="69" t="s">
        <v>212</v>
      </c>
      <c r="B52" s="193">
        <f>SUM(B10-B41)</f>
        <v>-22315620</v>
      </c>
      <c r="C52" s="193">
        <f>SUM(C10-C41)</f>
        <v>0</v>
      </c>
      <c r="D52" s="77">
        <f t="shared" si="0"/>
        <v>0</v>
      </c>
      <c r="E52" s="193">
        <f t="shared" si="1"/>
        <v>0</v>
      </c>
      <c r="F52" s="69" t="s">
        <v>212</v>
      </c>
      <c r="G52" s="194">
        <f>SUM(G10-G41)</f>
        <v>-22316</v>
      </c>
      <c r="H52" s="194">
        <f>SUM(H10-H41)</f>
        <v>-29292</v>
      </c>
      <c r="I52" s="195">
        <f t="shared" si="2"/>
        <v>1.3126008245205234</v>
      </c>
      <c r="J52" s="194">
        <f>H52-'[3]Junijs'!H52</f>
        <v>-3851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</row>
    <row r="53" spans="1:142" s="54" customFormat="1" ht="17.25" customHeight="1">
      <c r="A53" s="67" t="s">
        <v>213</v>
      </c>
      <c r="B53" s="193">
        <f>B56</f>
        <v>7759392</v>
      </c>
      <c r="C53" s="193"/>
      <c r="D53" s="77">
        <f t="shared" si="0"/>
        <v>0</v>
      </c>
      <c r="E53" s="193">
        <f t="shared" si="1"/>
        <v>0</v>
      </c>
      <c r="F53" s="67" t="s">
        <v>213</v>
      </c>
      <c r="G53" s="194">
        <f>G56</f>
        <v>7759</v>
      </c>
      <c r="H53" s="194">
        <f>H56</f>
        <v>-1436</v>
      </c>
      <c r="I53" s="195">
        <f t="shared" si="2"/>
        <v>-0.18507539631395797</v>
      </c>
      <c r="J53" s="194">
        <f>H53-'[3]Junijs'!H53</f>
        <v>611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</row>
    <row r="54" spans="1:142" s="54" customFormat="1" ht="16.5" customHeight="1">
      <c r="A54" s="54" t="s">
        <v>214</v>
      </c>
      <c r="B54" s="196">
        <v>55987963</v>
      </c>
      <c r="C54" s="196"/>
      <c r="D54" s="63">
        <f t="shared" si="0"/>
        <v>0</v>
      </c>
      <c r="E54" s="193">
        <f t="shared" si="1"/>
        <v>0</v>
      </c>
      <c r="F54" s="54" t="s">
        <v>215</v>
      </c>
      <c r="G54" s="197">
        <f>ROUND(B54/1000,0)</f>
        <v>55988</v>
      </c>
      <c r="H54" s="197">
        <v>35686</v>
      </c>
      <c r="I54" s="198">
        <f t="shared" si="2"/>
        <v>0.6373865828391798</v>
      </c>
      <c r="J54" s="197">
        <f>H54-'[3]Junijs'!H54</f>
        <v>998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</row>
    <row r="55" spans="1:142" s="54" customFormat="1" ht="12.75" customHeight="1">
      <c r="A55" s="206" t="s">
        <v>210</v>
      </c>
      <c r="B55" s="196">
        <v>48228571</v>
      </c>
      <c r="C55" s="196"/>
      <c r="D55" s="63">
        <f t="shared" si="0"/>
        <v>0</v>
      </c>
      <c r="E55" s="193">
        <f t="shared" si="1"/>
        <v>0</v>
      </c>
      <c r="F55" s="206" t="s">
        <v>210</v>
      </c>
      <c r="G55" s="202">
        <f>ROUND(B55/1000,0)</f>
        <v>48229</v>
      </c>
      <c r="H55" s="202">
        <v>37122</v>
      </c>
      <c r="I55" s="204">
        <f t="shared" si="2"/>
        <v>0.76970287586307</v>
      </c>
      <c r="J55" s="202">
        <f>H55-'[3]Junijs'!H55</f>
        <v>387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</row>
    <row r="56" spans="1:142" s="54" customFormat="1" ht="15" customHeight="1">
      <c r="A56" s="54" t="s">
        <v>216</v>
      </c>
      <c r="B56" s="196">
        <f>B54-B55</f>
        <v>7759392</v>
      </c>
      <c r="C56" s="196"/>
      <c r="D56" s="63">
        <f t="shared" si="0"/>
        <v>0</v>
      </c>
      <c r="E56" s="193">
        <f t="shared" si="1"/>
        <v>0</v>
      </c>
      <c r="F56" s="54" t="s">
        <v>216</v>
      </c>
      <c r="G56" s="197">
        <f>G54-G55</f>
        <v>7759</v>
      </c>
      <c r="H56" s="197">
        <f>SUM(H54-H55)</f>
        <v>-1436</v>
      </c>
      <c r="I56" s="198">
        <f t="shared" si="2"/>
        <v>-0.18507539631395797</v>
      </c>
      <c r="J56" s="197">
        <f>H56-'[3]Junijs'!H56</f>
        <v>611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</row>
    <row r="57" spans="1:142" s="54" customFormat="1" ht="32.25" customHeight="1">
      <c r="A57" s="69" t="s">
        <v>217</v>
      </c>
      <c r="B57" s="193">
        <f>B52-B54</f>
        <v>-78303583</v>
      </c>
      <c r="C57" s="193">
        <f>C52-C54</f>
        <v>0</v>
      </c>
      <c r="D57" s="77">
        <f t="shared" si="0"/>
        <v>0</v>
      </c>
      <c r="E57" s="193">
        <f t="shared" si="1"/>
        <v>0</v>
      </c>
      <c r="F57" s="69" t="s">
        <v>218</v>
      </c>
      <c r="G57" s="194">
        <f>G52-G54</f>
        <v>-78304</v>
      </c>
      <c r="H57" s="194">
        <f>H52-H54</f>
        <v>-64978</v>
      </c>
      <c r="I57" s="195">
        <f t="shared" si="2"/>
        <v>0.8298171230077646</v>
      </c>
      <c r="J57" s="194">
        <f>H57-'[3]Junijs'!H57</f>
        <v>-4849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</row>
    <row r="58" spans="1:142" s="54" customFormat="1" ht="17.25" customHeight="1">
      <c r="A58" s="67" t="s">
        <v>219</v>
      </c>
      <c r="B58" s="193">
        <v>743446778</v>
      </c>
      <c r="C58" s="193">
        <f>C61+C64+C66</f>
        <v>0</v>
      </c>
      <c r="D58" s="77">
        <f t="shared" si="0"/>
        <v>0</v>
      </c>
      <c r="E58" s="193">
        <f t="shared" si="1"/>
        <v>0</v>
      </c>
      <c r="F58" s="67" t="s">
        <v>219</v>
      </c>
      <c r="G58" s="194">
        <f>G61+G64+G66</f>
        <v>743446</v>
      </c>
      <c r="H58" s="194">
        <f>H61+H64+H66</f>
        <v>420053</v>
      </c>
      <c r="I58" s="195">
        <f t="shared" si="2"/>
        <v>0.5650080839765094</v>
      </c>
      <c r="J58" s="194">
        <f>H58-'[3]Junijs'!H58</f>
        <v>56696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</row>
    <row r="59" spans="1:142" s="54" customFormat="1" ht="12.75" customHeight="1">
      <c r="A59" s="206" t="s">
        <v>220</v>
      </c>
      <c r="B59" s="196">
        <f>B62</f>
        <v>1201200</v>
      </c>
      <c r="C59" s="196">
        <f>C22</f>
        <v>0</v>
      </c>
      <c r="D59" s="63">
        <f t="shared" si="0"/>
        <v>0</v>
      </c>
      <c r="E59" s="193">
        <f t="shared" si="1"/>
        <v>0</v>
      </c>
      <c r="F59" s="206" t="s">
        <v>220</v>
      </c>
      <c r="G59" s="202">
        <f>G62</f>
        <v>1201</v>
      </c>
      <c r="H59" s="202">
        <f>H62</f>
        <v>701</v>
      </c>
      <c r="I59" s="204">
        <f t="shared" si="2"/>
        <v>0.5836802664446294</v>
      </c>
      <c r="J59" s="202">
        <f>H59-'[3]Junijs'!H59</f>
        <v>100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</row>
    <row r="60" spans="1:142" s="54" customFormat="1" ht="19.5" customHeight="1">
      <c r="A60" s="67" t="s">
        <v>221</v>
      </c>
      <c r="B60" s="193">
        <f>SUM(B58-B59)</f>
        <v>742245578</v>
      </c>
      <c r="C60" s="193">
        <f>SUM(C58-C59)</f>
        <v>0</v>
      </c>
      <c r="D60" s="77">
        <f t="shared" si="0"/>
        <v>0</v>
      </c>
      <c r="E60" s="193">
        <f t="shared" si="1"/>
        <v>0</v>
      </c>
      <c r="F60" s="67" t="s">
        <v>221</v>
      </c>
      <c r="G60" s="194">
        <f>SUM(G58-G59)</f>
        <v>742245</v>
      </c>
      <c r="H60" s="194">
        <f>SUM(H58-H59)</f>
        <v>419352</v>
      </c>
      <c r="I60" s="195">
        <f t="shared" si="2"/>
        <v>0.5649778711880848</v>
      </c>
      <c r="J60" s="194">
        <f>H60-'[3]Junijs'!H60</f>
        <v>56596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</row>
    <row r="61" spans="1:142" s="54" customFormat="1" ht="15.75" customHeight="1">
      <c r="A61" s="54" t="s">
        <v>222</v>
      </c>
      <c r="B61" s="196">
        <v>706050840</v>
      </c>
      <c r="C61" s="196"/>
      <c r="D61" s="63">
        <f t="shared" si="0"/>
        <v>0</v>
      </c>
      <c r="E61" s="193">
        <f t="shared" si="1"/>
        <v>0</v>
      </c>
      <c r="F61" s="54" t="s">
        <v>222</v>
      </c>
      <c r="G61" s="197">
        <f>ROUND(B61/1000,0)</f>
        <v>706051</v>
      </c>
      <c r="H61" s="197">
        <v>404470</v>
      </c>
      <c r="I61" s="198">
        <f t="shared" si="2"/>
        <v>0.5728623003154163</v>
      </c>
      <c r="J61" s="197">
        <f>H61-'[3]Junijs'!H61</f>
        <v>53930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</row>
    <row r="62" spans="1:142" s="54" customFormat="1" ht="12.75" customHeight="1">
      <c r="A62" s="206" t="s">
        <v>223</v>
      </c>
      <c r="B62" s="196">
        <v>1201200</v>
      </c>
      <c r="C62" s="196">
        <f>C22</f>
        <v>0</v>
      </c>
      <c r="D62" s="63">
        <f t="shared" si="0"/>
        <v>0</v>
      </c>
      <c r="E62" s="193">
        <f t="shared" si="1"/>
        <v>0</v>
      </c>
      <c r="F62" s="206" t="s">
        <v>223</v>
      </c>
      <c r="G62" s="202">
        <f>ROUND(B62/1000,0)</f>
        <v>1201</v>
      </c>
      <c r="H62" s="203">
        <v>701</v>
      </c>
      <c r="I62" s="204">
        <f t="shared" si="2"/>
        <v>0.5836802664446294</v>
      </c>
      <c r="J62" s="202">
        <f>H62-'[3]Junijs'!H62</f>
        <v>100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</row>
    <row r="63" spans="1:142" s="54" customFormat="1" ht="19.5" customHeight="1">
      <c r="A63" s="67" t="s">
        <v>224</v>
      </c>
      <c r="B63" s="193">
        <f>SUM(B61-B62)</f>
        <v>704849640</v>
      </c>
      <c r="C63" s="193">
        <f>SUM(C61-C62)</f>
        <v>0</v>
      </c>
      <c r="D63" s="77">
        <f t="shared" si="0"/>
        <v>0</v>
      </c>
      <c r="E63" s="193">
        <f t="shared" si="1"/>
        <v>0</v>
      </c>
      <c r="F63" s="67" t="s">
        <v>224</v>
      </c>
      <c r="G63" s="194">
        <f>SUM(G61-G62)</f>
        <v>704850</v>
      </c>
      <c r="H63" s="194">
        <f>SUM(H61-H62)</f>
        <v>403769</v>
      </c>
      <c r="I63" s="195">
        <f t="shared" si="2"/>
        <v>0.5728438674895368</v>
      </c>
      <c r="J63" s="194">
        <f>H63-'[3]Junijs'!H63</f>
        <v>53830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54" customFormat="1" ht="17.25" customHeight="1">
      <c r="A64" s="54" t="s">
        <v>225</v>
      </c>
      <c r="B64" s="196">
        <v>10550686</v>
      </c>
      <c r="C64" s="196"/>
      <c r="D64" s="63">
        <f t="shared" si="0"/>
        <v>0</v>
      </c>
      <c r="E64" s="193">
        <f t="shared" si="1"/>
        <v>0</v>
      </c>
      <c r="F64" s="54" t="s">
        <v>225</v>
      </c>
      <c r="G64" s="197">
        <f>ROUND(B64/1000,0)-1</f>
        <v>10550</v>
      </c>
      <c r="H64" s="197">
        <v>6282</v>
      </c>
      <c r="I64" s="198">
        <f t="shared" si="2"/>
        <v>0.5954502369668246</v>
      </c>
      <c r="J64" s="197">
        <f>H64-'[3]Junijs'!H64</f>
        <v>671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54" customFormat="1" ht="18.75" customHeight="1">
      <c r="A65" s="67" t="s">
        <v>226</v>
      </c>
      <c r="B65" s="193">
        <f>SUM(B64)</f>
        <v>10550686</v>
      </c>
      <c r="C65" s="193">
        <f>SUM(C64)</f>
        <v>0</v>
      </c>
      <c r="D65" s="77">
        <f t="shared" si="0"/>
        <v>0</v>
      </c>
      <c r="E65" s="193">
        <f t="shared" si="1"/>
        <v>0</v>
      </c>
      <c r="F65" s="67" t="s">
        <v>226</v>
      </c>
      <c r="G65" s="194">
        <f>SUM(G64)</f>
        <v>10550</v>
      </c>
      <c r="H65" s="194">
        <f>SUM(H64)</f>
        <v>6282</v>
      </c>
      <c r="I65" s="195">
        <f t="shared" si="2"/>
        <v>0.5954502369668246</v>
      </c>
      <c r="J65" s="194">
        <f>H65-'[3]Junijs'!H65</f>
        <v>671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54" customFormat="1" ht="18" customHeight="1">
      <c r="A66" s="54" t="s">
        <v>227</v>
      </c>
      <c r="B66" s="196">
        <v>26845252</v>
      </c>
      <c r="C66" s="196"/>
      <c r="D66" s="63">
        <f t="shared" si="0"/>
        <v>0</v>
      </c>
      <c r="E66" s="193">
        <f t="shared" si="1"/>
        <v>0</v>
      </c>
      <c r="F66" s="54" t="s">
        <v>227</v>
      </c>
      <c r="G66" s="197">
        <f>ROUND(B66/1000,0)</f>
        <v>26845</v>
      </c>
      <c r="H66" s="197">
        <v>9301</v>
      </c>
      <c r="I66" s="198">
        <f t="shared" si="2"/>
        <v>0.3464704786738685</v>
      </c>
      <c r="J66" s="197">
        <f>H66-'[3]Junijs'!H66</f>
        <v>2095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54" customFormat="1" ht="12.75">
      <c r="A67" s="67" t="s">
        <v>228</v>
      </c>
      <c r="B67" s="193">
        <f>SUM(B66)</f>
        <v>26845252</v>
      </c>
      <c r="C67" s="193">
        <f>SUM(C66)</f>
        <v>0</v>
      </c>
      <c r="D67" s="77">
        <f t="shared" si="0"/>
        <v>0</v>
      </c>
      <c r="E67" s="193">
        <f t="shared" si="1"/>
        <v>0</v>
      </c>
      <c r="F67" s="67" t="s">
        <v>228</v>
      </c>
      <c r="G67" s="194">
        <f>SUM(G66)</f>
        <v>26845</v>
      </c>
      <c r="H67" s="194">
        <f>SUM(H66)</f>
        <v>9301</v>
      </c>
      <c r="I67" s="195">
        <f t="shared" si="2"/>
        <v>0.3464704786738685</v>
      </c>
      <c r="J67" s="194">
        <f>H67-'[3]Junijs'!H67</f>
        <v>2095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54" customFormat="1" ht="28.5" customHeight="1">
      <c r="A68" s="69" t="s">
        <v>229</v>
      </c>
      <c r="B68" s="193">
        <f>SUM(B24-B58)</f>
        <v>-43684556</v>
      </c>
      <c r="C68" s="193">
        <f>SUM(C24-C58)</f>
        <v>0</v>
      </c>
      <c r="D68" s="77">
        <f t="shared" si="0"/>
        <v>0</v>
      </c>
      <c r="E68" s="193">
        <f t="shared" si="1"/>
        <v>0</v>
      </c>
      <c r="F68" s="69" t="s">
        <v>229</v>
      </c>
      <c r="G68" s="194">
        <f>SUM(G24-G58)</f>
        <v>-43684</v>
      </c>
      <c r="H68" s="194">
        <f>SUM(H24-H58)</f>
        <v>-28046</v>
      </c>
      <c r="I68" s="195">
        <f t="shared" si="2"/>
        <v>0.6420199615419834</v>
      </c>
      <c r="J68" s="194">
        <f>H68-'[3]Junijs'!H68</f>
        <v>1142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54" customFormat="1" ht="12.75">
      <c r="A69" s="67" t="s">
        <v>230</v>
      </c>
      <c r="B69" s="193">
        <f>SUM(B70)</f>
        <v>6739620</v>
      </c>
      <c r="C69" s="193"/>
      <c r="D69" s="77">
        <f t="shared" si="0"/>
        <v>0</v>
      </c>
      <c r="E69" s="193">
        <f t="shared" si="1"/>
        <v>0</v>
      </c>
      <c r="F69" s="67" t="s">
        <v>230</v>
      </c>
      <c r="G69" s="194">
        <f>SUM(G70)</f>
        <v>6740</v>
      </c>
      <c r="H69" s="194">
        <f>SUM(H70)</f>
        <v>2471</v>
      </c>
      <c r="I69" s="195">
        <f t="shared" si="2"/>
        <v>0.3666172106824926</v>
      </c>
      <c r="J69" s="194">
        <f>H69-'[3]Junijs'!H69</f>
        <v>23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54" customFormat="1" ht="15.75" customHeight="1">
      <c r="A70" s="54" t="s">
        <v>231</v>
      </c>
      <c r="B70" s="196">
        <v>6739620</v>
      </c>
      <c r="C70" s="196"/>
      <c r="D70" s="63">
        <f>IF(ISERROR(C70/B70)," ",(C70/B70))</f>
        <v>0</v>
      </c>
      <c r="E70" s="193">
        <f>C70</f>
        <v>0</v>
      </c>
      <c r="F70" s="54" t="s">
        <v>231</v>
      </c>
      <c r="G70" s="196">
        <f>ROUND(B70/1000,0)</f>
        <v>6740</v>
      </c>
      <c r="H70" s="196">
        <v>2471</v>
      </c>
      <c r="I70" s="163">
        <f>IF(ISERROR(H70/G70)," ",(H70/G70))</f>
        <v>0.3666172106824926</v>
      </c>
      <c r="J70" s="196">
        <f>H70-'[3]Junijs'!H70</f>
        <v>23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54" customFormat="1" ht="15.75" customHeight="1">
      <c r="A71" s="54" t="s">
        <v>232</v>
      </c>
      <c r="B71" s="196">
        <f>SUM(B70)</f>
        <v>6739620</v>
      </c>
      <c r="C71" s="196">
        <f>SUM(C70)</f>
        <v>0</v>
      </c>
      <c r="D71" s="63">
        <f>IF(ISERROR(C71/B71)," ",(C71/B71))</f>
        <v>0</v>
      </c>
      <c r="E71" s="193">
        <f>C71</f>
        <v>0</v>
      </c>
      <c r="F71" s="54" t="s">
        <v>232</v>
      </c>
      <c r="G71" s="196">
        <f>SUM(G70)</f>
        <v>6740</v>
      </c>
      <c r="H71" s="196">
        <f>SUM(H70)</f>
        <v>2471</v>
      </c>
      <c r="I71" s="163">
        <f>IF(ISERROR(H71/G71)," ",(H71/G71))</f>
        <v>0.3666172106824926</v>
      </c>
      <c r="J71" s="196">
        <f>H71-'[3]Junijs'!H71</f>
        <v>23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54" customFormat="1" ht="30.75" customHeight="1">
      <c r="A72" s="69" t="s">
        <v>233</v>
      </c>
      <c r="B72" s="193">
        <f>SUM(B68-B69)</f>
        <v>-50424176</v>
      </c>
      <c r="C72" s="193">
        <f>SUM(C68-C69)</f>
        <v>0</v>
      </c>
      <c r="D72" s="77">
        <f>IF(ISERROR(C72/B72)," ",(C72/B72))</f>
        <v>0</v>
      </c>
      <c r="E72" s="193">
        <f>C72</f>
        <v>0</v>
      </c>
      <c r="F72" s="69" t="s">
        <v>233</v>
      </c>
      <c r="G72" s="194">
        <f>SUM(G68-G69)</f>
        <v>-50424</v>
      </c>
      <c r="H72" s="194">
        <f>SUM(H68-H69)</f>
        <v>-30517</v>
      </c>
      <c r="I72" s="195">
        <f>IF(ISERROR(H72/G72)," ",(H72/G72))</f>
        <v>0.6052078375376805</v>
      </c>
      <c r="J72" s="194">
        <f>H72-'[3]Junijs'!H72</f>
        <v>1119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48" customFormat="1" ht="12.75">
      <c r="A73" s="208"/>
      <c r="B73" s="209"/>
      <c r="F73" s="27"/>
      <c r="G73" s="209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48" customFormat="1" ht="12.75">
      <c r="A74" s="208"/>
      <c r="B74" s="209"/>
      <c r="F74" s="210"/>
      <c r="G74" s="209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6" spans="1:10" ht="12.75">
      <c r="A76" s="48"/>
      <c r="F76" s="211" t="s">
        <v>234</v>
      </c>
      <c r="G76" s="190"/>
      <c r="H76" s="212"/>
      <c r="I76" s="43"/>
      <c r="J76" s="43"/>
    </row>
    <row r="78" spans="1:10" ht="12.75">
      <c r="A78" s="211" t="s">
        <v>235</v>
      </c>
      <c r="B78" s="190"/>
      <c r="C78" s="212"/>
      <c r="D78" s="212"/>
      <c r="E78" s="212"/>
      <c r="F78" s="2" t="s">
        <v>114</v>
      </c>
      <c r="G78" s="190"/>
      <c r="H78" s="212"/>
      <c r="I78" s="212"/>
      <c r="J78" s="212"/>
    </row>
    <row r="79" spans="1:10" ht="12.75">
      <c r="A79" s="2"/>
      <c r="F79" s="2" t="s">
        <v>59</v>
      </c>
      <c r="G79" s="189"/>
      <c r="H79" s="43"/>
      <c r="I79" s="43"/>
      <c r="J79" s="43"/>
    </row>
    <row r="80" spans="6:10" ht="12.75">
      <c r="F80" s="43"/>
      <c r="G80" s="189"/>
      <c r="H80" s="43"/>
      <c r="I80" s="43"/>
      <c r="J80" s="43"/>
    </row>
    <row r="81" spans="6:10" ht="12.75">
      <c r="F81" s="43"/>
      <c r="I81" s="43"/>
      <c r="J81" s="43"/>
    </row>
    <row r="84" ht="12.75"/>
    <row r="85" ht="12.75"/>
    <row r="86" ht="12.75"/>
    <row r="87" ht="15" customHeight="1"/>
    <row r="88" ht="16.5" customHeight="1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</sheetData>
  <mergeCells count="2">
    <mergeCell ref="A4:E4"/>
    <mergeCell ref="F4:J4"/>
  </mergeCells>
  <printOptions/>
  <pageMargins left="0.75" right="0.75" top="1" bottom="1" header="0.5" footer="0.5"/>
  <pageSetup firstPageNumber="4" useFirstPageNumber="1" horizontalDpi="300" verticalDpi="300" orientation="portrait" paperSize="9" scale="98" r:id="rId1"/>
  <headerFooter alignWithMargins="0">
    <oddFooter>&amp;R&amp;P</oddFooter>
  </headerFooter>
  <rowBreaks count="1" manualBreakCount="1">
    <brk id="37" max="255" man="1"/>
  </rowBreaks>
  <colBreaks count="2" manualBreakCount="2">
    <brk id="10" max="65535" man="1"/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7">
      <selection activeCell="E13" sqref="E13"/>
    </sheetView>
  </sheetViews>
  <sheetFormatPr defaultColWidth="9.140625" defaultRowHeight="12.75"/>
  <cols>
    <col min="1" max="1" width="64.8515625" style="498" customWidth="1"/>
    <col min="2" max="2" width="19.140625" style="498" customWidth="1"/>
    <col min="3" max="16384" width="8.00390625" style="498" customWidth="1"/>
  </cols>
  <sheetData>
    <row r="1" spans="1:4" s="547" customFormat="1" ht="12.75">
      <c r="A1" s="499" t="s">
        <v>730</v>
      </c>
      <c r="B1" s="499" t="s">
        <v>731</v>
      </c>
      <c r="D1" s="716"/>
    </row>
    <row r="2" spans="1:2" s="547" customFormat="1" ht="12.75">
      <c r="A2" s="499"/>
      <c r="B2" s="499"/>
    </row>
    <row r="3" s="581" customFormat="1" ht="12"/>
    <row r="4" s="581" customFormat="1" ht="15.75">
      <c r="A4" s="645" t="s">
        <v>732</v>
      </c>
    </row>
    <row r="5" s="581" customFormat="1" ht="15.75">
      <c r="A5" s="720" t="s">
        <v>733</v>
      </c>
    </row>
    <row r="6" spans="1:2" s="581" customFormat="1" ht="12">
      <c r="A6" s="716"/>
      <c r="B6" s="716"/>
    </row>
    <row r="7" spans="1:2" s="581" customFormat="1" ht="12">
      <c r="A7" s="721"/>
      <c r="B7" s="722" t="s">
        <v>66</v>
      </c>
    </row>
    <row r="8" spans="1:2" s="581" customFormat="1" ht="12.75">
      <c r="A8" s="723" t="s">
        <v>18</v>
      </c>
      <c r="B8" s="724" t="s">
        <v>734</v>
      </c>
    </row>
    <row r="9" spans="1:127" s="727" customFormat="1" ht="12.75">
      <c r="A9" s="725">
        <v>1</v>
      </c>
      <c r="B9" s="726">
        <v>2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  <c r="DI9" s="581"/>
      <c r="DJ9" s="581"/>
      <c r="DK9" s="581"/>
      <c r="DL9" s="581"/>
      <c r="DM9" s="581"/>
      <c r="DN9" s="581"/>
      <c r="DO9" s="581"/>
      <c r="DP9" s="581"/>
      <c r="DQ9" s="581"/>
      <c r="DR9" s="581"/>
      <c r="DS9" s="581"/>
      <c r="DT9" s="581"/>
      <c r="DU9" s="581"/>
      <c r="DV9" s="581"/>
      <c r="DW9" s="581"/>
    </row>
    <row r="10" spans="1:127" s="727" customFormat="1" ht="23.25" customHeight="1">
      <c r="A10" s="518" t="s">
        <v>735</v>
      </c>
      <c r="B10" s="728">
        <f>SUM(B11:B16)</f>
        <v>18455481</v>
      </c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  <c r="DI10" s="581"/>
      <c r="DJ10" s="581"/>
      <c r="DK10" s="581"/>
      <c r="DL10" s="581"/>
      <c r="DM10" s="581"/>
      <c r="DN10" s="581"/>
      <c r="DO10" s="581"/>
      <c r="DP10" s="581"/>
      <c r="DQ10" s="581"/>
      <c r="DR10" s="581"/>
      <c r="DS10" s="581"/>
      <c r="DT10" s="581"/>
      <c r="DU10" s="581"/>
      <c r="DV10" s="581"/>
      <c r="DW10" s="581"/>
    </row>
    <row r="11" spans="1:127" s="727" customFormat="1" ht="23.25" customHeight="1">
      <c r="A11" s="524" t="s">
        <v>736</v>
      </c>
      <c r="B11" s="729">
        <v>9182</v>
      </c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1"/>
      <c r="CG11" s="581"/>
      <c r="CH11" s="581"/>
      <c r="CI11" s="581"/>
      <c r="CJ11" s="581"/>
      <c r="CK11" s="581"/>
      <c r="CL11" s="581"/>
      <c r="CM11" s="581"/>
      <c r="CN11" s="581"/>
      <c r="CO11" s="581"/>
      <c r="CP11" s="581"/>
      <c r="CQ11" s="581"/>
      <c r="CR11" s="581"/>
      <c r="CS11" s="581"/>
      <c r="CT11" s="581"/>
      <c r="CU11" s="581"/>
      <c r="CV11" s="581"/>
      <c r="CW11" s="581"/>
      <c r="CX11" s="581"/>
      <c r="CY11" s="581"/>
      <c r="CZ11" s="581"/>
      <c r="DA11" s="581"/>
      <c r="DB11" s="581"/>
      <c r="DC11" s="581"/>
      <c r="DD11" s="581"/>
      <c r="DE11" s="581"/>
      <c r="DF11" s="581"/>
      <c r="DG11" s="581"/>
      <c r="DH11" s="581"/>
      <c r="DI11" s="581"/>
      <c r="DJ11" s="581"/>
      <c r="DK11" s="581"/>
      <c r="DL11" s="581"/>
      <c r="DM11" s="581"/>
      <c r="DN11" s="581"/>
      <c r="DO11" s="581"/>
      <c r="DP11" s="581"/>
      <c r="DQ11" s="581"/>
      <c r="DR11" s="581"/>
      <c r="DS11" s="581"/>
      <c r="DT11" s="581"/>
      <c r="DU11" s="581"/>
      <c r="DV11" s="581"/>
      <c r="DW11" s="581"/>
    </row>
    <row r="12" spans="1:127" s="727" customFormat="1" ht="19.5" customHeight="1">
      <c r="A12" s="730" t="s">
        <v>737</v>
      </c>
      <c r="B12" s="73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  <c r="DI12" s="581"/>
      <c r="DJ12" s="581"/>
      <c r="DK12" s="581"/>
      <c r="DL12" s="581"/>
      <c r="DM12" s="581"/>
      <c r="DN12" s="581"/>
      <c r="DO12" s="581"/>
      <c r="DP12" s="581"/>
      <c r="DQ12" s="581"/>
      <c r="DR12" s="581"/>
      <c r="DS12" s="581"/>
      <c r="DT12" s="581"/>
      <c r="DU12" s="581"/>
      <c r="DV12" s="581"/>
      <c r="DW12" s="581"/>
    </row>
    <row r="13" spans="1:127" s="727" customFormat="1" ht="17.25" customHeight="1">
      <c r="A13" s="732" t="s">
        <v>738</v>
      </c>
      <c r="B13" s="733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  <c r="DI13" s="581"/>
      <c r="DJ13" s="581"/>
      <c r="DK13" s="581"/>
      <c r="DL13" s="581"/>
      <c r="DM13" s="581"/>
      <c r="DN13" s="581"/>
      <c r="DO13" s="581"/>
      <c r="DP13" s="581"/>
      <c r="DQ13" s="581"/>
      <c r="DR13" s="581"/>
      <c r="DS13" s="581"/>
      <c r="DT13" s="581"/>
      <c r="DU13" s="581"/>
      <c r="DV13" s="581"/>
      <c r="DW13" s="581"/>
    </row>
    <row r="14" spans="1:127" s="727" customFormat="1" ht="23.25" customHeight="1">
      <c r="A14" s="524" t="s">
        <v>739</v>
      </c>
      <c r="B14" s="729">
        <v>4210840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  <c r="DI14" s="581"/>
      <c r="DJ14" s="581"/>
      <c r="DK14" s="581"/>
      <c r="DL14" s="581"/>
      <c r="DM14" s="581"/>
      <c r="DN14" s="581"/>
      <c r="DO14" s="581"/>
      <c r="DP14" s="581"/>
      <c r="DQ14" s="581"/>
      <c r="DR14" s="581"/>
      <c r="DS14" s="581"/>
      <c r="DT14" s="581"/>
      <c r="DU14" s="581"/>
      <c r="DV14" s="581"/>
      <c r="DW14" s="581"/>
    </row>
    <row r="15" spans="1:127" s="727" customFormat="1" ht="23.25" customHeight="1">
      <c r="A15" s="524" t="s">
        <v>740</v>
      </c>
      <c r="B15" s="729">
        <v>14235459</v>
      </c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  <c r="DI15" s="581"/>
      <c r="DJ15" s="581"/>
      <c r="DK15" s="581"/>
      <c r="DL15" s="581"/>
      <c r="DM15" s="581"/>
      <c r="DN15" s="581"/>
      <c r="DO15" s="581"/>
      <c r="DP15" s="581"/>
      <c r="DQ15" s="581"/>
      <c r="DR15" s="581"/>
      <c r="DS15" s="581"/>
      <c r="DT15" s="581"/>
      <c r="DU15" s="581"/>
      <c r="DV15" s="581"/>
      <c r="DW15" s="581"/>
    </row>
    <row r="16" spans="1:127" s="727" customFormat="1" ht="23.25" customHeight="1">
      <c r="A16" s="524" t="s">
        <v>741</v>
      </c>
      <c r="B16" s="729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  <c r="DI16" s="581"/>
      <c r="DJ16" s="581"/>
      <c r="DK16" s="581"/>
      <c r="DL16" s="581"/>
      <c r="DM16" s="581"/>
      <c r="DN16" s="581"/>
      <c r="DO16" s="581"/>
      <c r="DP16" s="581"/>
      <c r="DQ16" s="581"/>
      <c r="DR16" s="581"/>
      <c r="DS16" s="581"/>
      <c r="DT16" s="581"/>
      <c r="DU16" s="581"/>
      <c r="DV16" s="581"/>
      <c r="DW16" s="581"/>
    </row>
    <row r="17" spans="1:127" s="727" customFormat="1" ht="23.25" customHeight="1">
      <c r="A17" s="734" t="s">
        <v>742</v>
      </c>
      <c r="B17" s="728">
        <f>SUM(B18:B19)</f>
        <v>18362264</v>
      </c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  <c r="DI17" s="581"/>
      <c r="DJ17" s="581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1"/>
      <c r="DV17" s="581"/>
      <c r="DW17" s="581"/>
    </row>
    <row r="18" spans="1:127" s="727" customFormat="1" ht="23.25" customHeight="1">
      <c r="A18" s="524" t="s">
        <v>743</v>
      </c>
      <c r="B18" s="729">
        <v>18362264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1"/>
      <c r="AR18" s="581"/>
      <c r="AS18" s="581"/>
      <c r="AT18" s="581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1"/>
      <c r="BF18" s="581"/>
      <c r="BG18" s="581"/>
      <c r="BH18" s="581"/>
      <c r="BI18" s="581"/>
      <c r="BJ18" s="581"/>
      <c r="BK18" s="581"/>
      <c r="BL18" s="581"/>
      <c r="BM18" s="581"/>
      <c r="BN18" s="581"/>
      <c r="BO18" s="581"/>
      <c r="BP18" s="581"/>
      <c r="BQ18" s="581"/>
      <c r="BR18" s="581"/>
      <c r="BS18" s="581"/>
      <c r="BT18" s="581"/>
      <c r="BU18" s="581"/>
      <c r="BV18" s="581"/>
      <c r="BW18" s="581"/>
      <c r="BX18" s="581"/>
      <c r="BY18" s="581"/>
      <c r="BZ18" s="581"/>
      <c r="CA18" s="581"/>
      <c r="CB18" s="581"/>
      <c r="CC18" s="581"/>
      <c r="CD18" s="581"/>
      <c r="CE18" s="581"/>
      <c r="CF18" s="581"/>
      <c r="CG18" s="581"/>
      <c r="CH18" s="581"/>
      <c r="CI18" s="581"/>
      <c r="CJ18" s="581"/>
      <c r="CK18" s="581"/>
      <c r="CL18" s="581"/>
      <c r="CM18" s="581"/>
      <c r="CN18" s="581"/>
      <c r="CO18" s="581"/>
      <c r="CP18" s="581"/>
      <c r="CQ18" s="581"/>
      <c r="CR18" s="581"/>
      <c r="CS18" s="581"/>
      <c r="CT18" s="581"/>
      <c r="CU18" s="581"/>
      <c r="CV18" s="581"/>
      <c r="CW18" s="581"/>
      <c r="CX18" s="581"/>
      <c r="CY18" s="581"/>
      <c r="CZ18" s="581"/>
      <c r="DA18" s="581"/>
      <c r="DB18" s="581"/>
      <c r="DC18" s="581"/>
      <c r="DD18" s="581"/>
      <c r="DE18" s="581"/>
      <c r="DF18" s="581"/>
      <c r="DG18" s="581"/>
      <c r="DH18" s="581"/>
      <c r="DI18" s="581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1"/>
      <c r="DV18" s="581"/>
      <c r="DW18" s="581"/>
    </row>
    <row r="19" spans="1:127" s="727" customFormat="1" ht="23.25" customHeight="1">
      <c r="A19" s="524" t="s">
        <v>744</v>
      </c>
      <c r="B19" s="729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1"/>
      <c r="AR19" s="581"/>
      <c r="AS19" s="581"/>
      <c r="AT19" s="581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1"/>
      <c r="BF19" s="581"/>
      <c r="BG19" s="581"/>
      <c r="BH19" s="581"/>
      <c r="BI19" s="581"/>
      <c r="BJ19" s="581"/>
      <c r="BK19" s="581"/>
      <c r="BL19" s="581"/>
      <c r="BM19" s="581"/>
      <c r="BN19" s="581"/>
      <c r="BO19" s="581"/>
      <c r="BP19" s="581"/>
      <c r="BQ19" s="581"/>
      <c r="BR19" s="581"/>
      <c r="BS19" s="581"/>
      <c r="BT19" s="581"/>
      <c r="BU19" s="581"/>
      <c r="BV19" s="581"/>
      <c r="BW19" s="581"/>
      <c r="BX19" s="581"/>
      <c r="BY19" s="581"/>
      <c r="BZ19" s="581"/>
      <c r="CA19" s="581"/>
      <c r="CB19" s="581"/>
      <c r="CC19" s="581"/>
      <c r="CD19" s="581"/>
      <c r="CI19" s="581"/>
      <c r="CJ19" s="581"/>
      <c r="CK19" s="581"/>
      <c r="CL19" s="581"/>
      <c r="CM19" s="581"/>
      <c r="CN19" s="581"/>
      <c r="CO19" s="581"/>
      <c r="CP19" s="581"/>
      <c r="CQ19" s="581"/>
      <c r="CR19" s="581"/>
      <c r="CS19" s="581"/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581"/>
      <c r="DE19" s="581"/>
      <c r="DF19" s="581"/>
      <c r="DG19" s="581"/>
      <c r="DH19" s="581"/>
      <c r="DI19" s="581"/>
      <c r="DJ19" s="581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1"/>
      <c r="DV19" s="581"/>
      <c r="DW19" s="581"/>
    </row>
    <row r="20" spans="1:97" s="727" customFormat="1" ht="23.25" customHeight="1">
      <c r="A20" s="735" t="s">
        <v>745</v>
      </c>
      <c r="B20" s="736">
        <f>SUM(B10-B17)</f>
        <v>93217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58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1"/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1"/>
      <c r="BF20" s="581"/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1"/>
      <c r="BX20" s="581"/>
      <c r="BY20" s="581"/>
      <c r="BZ20" s="581"/>
      <c r="CA20" s="581"/>
      <c r="CB20" s="581"/>
      <c r="CC20" s="581"/>
      <c r="CD20" s="581"/>
      <c r="CI20" s="581"/>
      <c r="CJ20" s="581"/>
      <c r="CK20" s="581"/>
      <c r="CL20" s="581"/>
      <c r="CM20" s="581"/>
      <c r="CN20" s="581"/>
      <c r="CO20" s="581"/>
      <c r="CP20" s="581"/>
      <c r="CQ20" s="581"/>
      <c r="CR20" s="581"/>
      <c r="CS20" s="581"/>
    </row>
    <row r="21" spans="1:97" s="680" customFormat="1" ht="12.75">
      <c r="A21" s="718"/>
      <c r="B21" s="718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1"/>
      <c r="BF21" s="581"/>
      <c r="BG21" s="581"/>
      <c r="BH21" s="581"/>
      <c r="BI21" s="581"/>
      <c r="BJ21" s="581"/>
      <c r="BK21" s="581"/>
      <c r="BL21" s="581"/>
      <c r="BM21" s="581"/>
      <c r="BN21" s="581"/>
      <c r="BO21" s="581"/>
      <c r="BP21" s="581"/>
      <c r="BQ21" s="581"/>
      <c r="BR21" s="581"/>
      <c r="BS21" s="581"/>
      <c r="BT21" s="581"/>
      <c r="BU21" s="581"/>
      <c r="BV21" s="581"/>
      <c r="BW21" s="581"/>
      <c r="BX21" s="581"/>
      <c r="BY21" s="581"/>
      <c r="BZ21" s="581"/>
      <c r="CA21" s="581"/>
      <c r="CB21" s="581"/>
      <c r="CC21" s="581"/>
      <c r="CD21" s="581"/>
      <c r="CI21" s="581"/>
      <c r="CJ21" s="581"/>
      <c r="CK21" s="581"/>
      <c r="CL21" s="581"/>
      <c r="CM21" s="581"/>
      <c r="CN21" s="581"/>
      <c r="CO21" s="581"/>
      <c r="CP21" s="581"/>
      <c r="CQ21" s="581"/>
      <c r="CR21" s="581"/>
      <c r="CS21" s="581"/>
    </row>
    <row r="22" spans="1:97" s="680" customFormat="1" ht="12.75">
      <c r="A22" s="718"/>
      <c r="B22" s="718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1"/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/>
      <c r="BR22" s="581"/>
      <c r="BS22" s="581"/>
      <c r="BT22" s="581"/>
      <c r="BU22" s="581"/>
      <c r="BV22" s="581"/>
      <c r="BW22" s="581"/>
      <c r="BX22" s="581"/>
      <c r="BY22" s="581"/>
      <c r="BZ22" s="581"/>
      <c r="CA22" s="581"/>
      <c r="CB22" s="581"/>
      <c r="CC22" s="581"/>
      <c r="CD22" s="581"/>
      <c r="CI22" s="581"/>
      <c r="CJ22" s="581"/>
      <c r="CK22" s="581"/>
      <c r="CL22" s="581"/>
      <c r="CM22" s="581"/>
      <c r="CN22" s="581"/>
      <c r="CO22" s="581"/>
      <c r="CP22" s="581"/>
      <c r="CQ22" s="581"/>
      <c r="CR22" s="581"/>
      <c r="CS22" s="581"/>
    </row>
    <row r="23" spans="1:82" s="680" customFormat="1" ht="12.75">
      <c r="A23" s="718"/>
      <c r="B23" s="718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1"/>
      <c r="AU23" s="581"/>
      <c r="AV23" s="581"/>
      <c r="AW23" s="581"/>
      <c r="AX23" s="581"/>
      <c r="AY23" s="581"/>
      <c r="AZ23" s="581"/>
      <c r="BA23" s="581"/>
      <c r="BB23" s="581"/>
      <c r="BC23" s="581"/>
      <c r="BD23" s="581"/>
      <c r="BE23" s="581"/>
      <c r="BF23" s="581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1"/>
      <c r="BR23" s="581"/>
      <c r="BS23" s="581"/>
      <c r="BT23" s="581"/>
      <c r="BU23" s="581"/>
      <c r="BV23" s="581"/>
      <c r="BW23" s="581"/>
      <c r="BX23" s="581"/>
      <c r="BY23" s="581"/>
      <c r="BZ23" s="581"/>
      <c r="CA23" s="581"/>
      <c r="CB23" s="581"/>
      <c r="CC23" s="581"/>
      <c r="CD23" s="581"/>
    </row>
    <row r="24" spans="1:82" s="680" customFormat="1" ht="12.75">
      <c r="A24" s="718"/>
      <c r="B24" s="718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1"/>
      <c r="BF24" s="581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1"/>
      <c r="BT24" s="581"/>
      <c r="BU24" s="581"/>
      <c r="BV24" s="581"/>
      <c r="BW24" s="581"/>
      <c r="BX24" s="581"/>
      <c r="BY24" s="581"/>
      <c r="BZ24" s="581"/>
      <c r="CA24" s="581"/>
      <c r="CB24" s="581"/>
      <c r="CC24" s="581"/>
      <c r="CD24" s="581"/>
    </row>
    <row r="25" spans="1:82" s="718" customFormat="1" ht="12.75">
      <c r="A25" s="680" t="s">
        <v>0</v>
      </c>
      <c r="B25" s="536" t="s">
        <v>539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1"/>
      <c r="BC25" s="581"/>
      <c r="BD25" s="581"/>
      <c r="BE25" s="581"/>
      <c r="BF25" s="581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1"/>
      <c r="BU25" s="581"/>
      <c r="BV25" s="581"/>
      <c r="BW25" s="581"/>
      <c r="BX25" s="581"/>
      <c r="BY25" s="581"/>
      <c r="BZ25" s="581"/>
      <c r="CA25" s="581"/>
      <c r="CB25" s="581"/>
      <c r="CC25" s="581"/>
      <c r="CD25" s="581"/>
    </row>
    <row r="26" spans="1:82" s="718" customFormat="1" ht="12.75">
      <c r="A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1"/>
      <c r="BC26" s="581"/>
      <c r="BD26" s="581"/>
      <c r="BE26" s="581"/>
      <c r="BF26" s="581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1"/>
      <c r="BU26" s="581"/>
      <c r="BV26" s="581"/>
      <c r="BW26" s="581"/>
      <c r="BX26" s="581"/>
      <c r="BY26" s="581"/>
      <c r="BZ26" s="581"/>
      <c r="CA26" s="581"/>
      <c r="CB26" s="581"/>
      <c r="CC26" s="581"/>
      <c r="CD26" s="581"/>
    </row>
    <row r="27" s="581" customFormat="1" ht="12"/>
    <row r="28" spans="1:2" s="581" customFormat="1" ht="14.25">
      <c r="A28" s="737"/>
      <c r="B28" s="738"/>
    </row>
    <row r="29" spans="1:2" s="581" customFormat="1" ht="14.25">
      <c r="A29" s="737"/>
      <c r="B29" s="738"/>
    </row>
    <row r="30" spans="1:2" s="581" customFormat="1" ht="14.25">
      <c r="A30" s="737"/>
      <c r="B30" s="739"/>
    </row>
    <row r="31" s="581" customFormat="1" ht="14.25">
      <c r="A31" s="737"/>
    </row>
    <row r="32" s="581" customFormat="1" ht="14.25">
      <c r="A32" s="737"/>
    </row>
    <row r="33" s="581" customFormat="1" ht="14.25">
      <c r="A33" s="737"/>
    </row>
    <row r="34" s="581" customFormat="1" ht="14.25">
      <c r="A34" s="737"/>
    </row>
    <row r="35" s="581" customFormat="1" ht="14.25">
      <c r="A35" s="737"/>
    </row>
    <row r="36" s="581" customFormat="1" ht="14.25">
      <c r="A36" s="737"/>
    </row>
    <row r="37" s="581" customFormat="1" ht="14.25">
      <c r="A37" s="737"/>
    </row>
    <row r="38" s="581" customFormat="1" ht="14.25">
      <c r="A38" s="737"/>
    </row>
    <row r="39" s="581" customFormat="1" ht="14.25">
      <c r="A39" s="737"/>
    </row>
    <row r="40" spans="1:82" ht="14.25">
      <c r="A40" s="737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  <c r="AF40" s="581"/>
      <c r="AG40" s="581"/>
      <c r="AH40" s="581"/>
      <c r="AI40" s="581"/>
      <c r="AJ40" s="581"/>
      <c r="AK40" s="581"/>
      <c r="AL40" s="581"/>
      <c r="AM40" s="581"/>
      <c r="AN40" s="581"/>
      <c r="AO40" s="581"/>
      <c r="AP40" s="581"/>
      <c r="AQ40" s="581"/>
      <c r="AR40" s="581"/>
      <c r="AS40" s="581"/>
      <c r="AT40" s="581"/>
      <c r="AU40" s="581"/>
      <c r="AV40" s="581"/>
      <c r="AW40" s="581"/>
      <c r="AX40" s="581"/>
      <c r="AY40" s="581"/>
      <c r="AZ40" s="581"/>
      <c r="BA40" s="581"/>
      <c r="BB40" s="581"/>
      <c r="BC40" s="581"/>
      <c r="BD40" s="581"/>
      <c r="BE40" s="581"/>
      <c r="BF40" s="581"/>
      <c r="BG40" s="581"/>
      <c r="BH40" s="581"/>
      <c r="BI40" s="581"/>
      <c r="BJ40" s="581"/>
      <c r="BK40" s="581"/>
      <c r="BL40" s="581"/>
      <c r="BM40" s="581"/>
      <c r="BN40" s="581"/>
      <c r="BO40" s="581"/>
      <c r="BP40" s="581"/>
      <c r="BQ40" s="581"/>
      <c r="BR40" s="581"/>
      <c r="BS40" s="581"/>
      <c r="BT40" s="581"/>
      <c r="BU40" s="581"/>
      <c r="BV40" s="581"/>
      <c r="BW40" s="581"/>
      <c r="BX40" s="581"/>
      <c r="BY40" s="581"/>
      <c r="BZ40" s="581"/>
      <c r="CA40" s="581"/>
      <c r="CB40" s="581"/>
      <c r="CC40" s="581"/>
      <c r="CD40" s="581"/>
    </row>
    <row r="41" spans="1:82" ht="14.25">
      <c r="A41" s="737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1"/>
      <c r="AL41" s="581"/>
      <c r="AM41" s="581"/>
      <c r="AN41" s="581"/>
      <c r="AO41" s="581"/>
      <c r="AP41" s="581"/>
      <c r="AQ41" s="581"/>
      <c r="AR41" s="581"/>
      <c r="AS41" s="581"/>
      <c r="AT41" s="581"/>
      <c r="AU41" s="581"/>
      <c r="AV41" s="581"/>
      <c r="AW41" s="581"/>
      <c r="AX41" s="581"/>
      <c r="AY41" s="581"/>
      <c r="AZ41" s="581"/>
      <c r="BA41" s="581"/>
      <c r="BB41" s="581"/>
      <c r="BC41" s="581"/>
      <c r="BD41" s="581"/>
      <c r="BE41" s="581"/>
      <c r="BF41" s="581"/>
      <c r="BG41" s="581"/>
      <c r="BH41" s="581"/>
      <c r="BI41" s="581"/>
      <c r="BJ41" s="581"/>
      <c r="BK41" s="581"/>
      <c r="BL41" s="581"/>
      <c r="BM41" s="581"/>
      <c r="BN41" s="581"/>
      <c r="BO41" s="581"/>
      <c r="BP41" s="581"/>
      <c r="BQ41" s="581"/>
      <c r="BR41" s="581"/>
      <c r="BS41" s="581"/>
      <c r="BT41" s="581"/>
      <c r="BU41" s="581"/>
      <c r="BV41" s="581"/>
      <c r="BW41" s="581"/>
      <c r="BX41" s="581"/>
      <c r="BY41" s="581"/>
      <c r="BZ41" s="581"/>
      <c r="CA41" s="581"/>
      <c r="CB41" s="581"/>
      <c r="CC41" s="581"/>
      <c r="CD41" s="581"/>
    </row>
    <row r="42" spans="1:82" ht="14.25">
      <c r="A42" s="737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581"/>
      <c r="AQ42" s="581"/>
      <c r="AR42" s="581"/>
      <c r="AS42" s="581"/>
      <c r="AT42" s="581"/>
      <c r="AU42" s="581"/>
      <c r="AV42" s="581"/>
      <c r="AW42" s="581"/>
      <c r="AX42" s="581"/>
      <c r="AY42" s="581"/>
      <c r="AZ42" s="581"/>
      <c r="BA42" s="581"/>
      <c r="BB42" s="581"/>
      <c r="BC42" s="581"/>
      <c r="BD42" s="581"/>
      <c r="BE42" s="581"/>
      <c r="BF42" s="581"/>
      <c r="BG42" s="581"/>
      <c r="BH42" s="581"/>
      <c r="BI42" s="581"/>
      <c r="BJ42" s="581"/>
      <c r="BK42" s="581"/>
      <c r="BL42" s="581"/>
      <c r="BM42" s="581"/>
      <c r="BN42" s="581"/>
      <c r="BO42" s="581"/>
      <c r="BP42" s="581"/>
      <c r="BQ42" s="581"/>
      <c r="BR42" s="581"/>
      <c r="BS42" s="581"/>
      <c r="BT42" s="581"/>
      <c r="BU42" s="581"/>
      <c r="BV42" s="581"/>
      <c r="BW42" s="581"/>
      <c r="BX42" s="581"/>
      <c r="BY42" s="581"/>
      <c r="BZ42" s="581"/>
      <c r="CA42" s="581"/>
      <c r="CB42" s="581"/>
      <c r="CC42" s="581"/>
      <c r="CD42" s="581"/>
    </row>
    <row r="43" spans="1:82" ht="14.25">
      <c r="A43" s="737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1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</row>
    <row r="44" spans="1:82" ht="14.25">
      <c r="A44" s="737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/>
      <c r="BR44" s="581"/>
      <c r="BS44" s="581"/>
      <c r="BT44" s="581"/>
      <c r="BU44" s="581"/>
      <c r="BV44" s="581"/>
      <c r="BW44" s="581"/>
      <c r="BX44" s="581"/>
      <c r="BY44" s="581"/>
      <c r="BZ44" s="581"/>
      <c r="CA44" s="581"/>
      <c r="CB44" s="581"/>
      <c r="CC44" s="581"/>
      <c r="CD44" s="581"/>
    </row>
    <row r="45" spans="1:82" ht="14.25">
      <c r="A45" s="737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581"/>
      <c r="AN45" s="581"/>
      <c r="AO45" s="581"/>
      <c r="AP45" s="581"/>
      <c r="AQ45" s="581"/>
      <c r="AR45" s="581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1"/>
    </row>
    <row r="46" spans="1:82" ht="14.25">
      <c r="A46" s="737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81"/>
      <c r="W46" s="581"/>
      <c r="X46" s="581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/>
      <c r="BR46" s="581"/>
      <c r="BS46" s="581"/>
      <c r="BT46" s="581"/>
      <c r="BU46" s="581"/>
      <c r="BV46" s="581"/>
      <c r="BW46" s="581"/>
      <c r="BX46" s="581"/>
      <c r="BY46" s="581"/>
      <c r="BZ46" s="581"/>
      <c r="CA46" s="581"/>
      <c r="CB46" s="581"/>
      <c r="CC46" s="581"/>
      <c r="CD46" s="581"/>
    </row>
    <row r="47" spans="1:82" ht="14.25">
      <c r="A47" s="737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1"/>
      <c r="AR47" s="581"/>
      <c r="AS47" s="581"/>
      <c r="AT47" s="581"/>
      <c r="AU47" s="581"/>
      <c r="AV47" s="581"/>
      <c r="AW47" s="581"/>
      <c r="AX47" s="581"/>
      <c r="AY47" s="581"/>
      <c r="AZ47" s="581"/>
      <c r="BA47" s="581"/>
      <c r="BB47" s="581"/>
      <c r="BC47" s="581"/>
      <c r="BD47" s="581"/>
      <c r="BE47" s="581"/>
      <c r="BF47" s="581"/>
      <c r="BG47" s="581"/>
      <c r="BH47" s="581"/>
      <c r="BI47" s="581"/>
      <c r="BJ47" s="581"/>
      <c r="BK47" s="581"/>
      <c r="BL47" s="581"/>
      <c r="BM47" s="581"/>
      <c r="BN47" s="581"/>
      <c r="BO47" s="581"/>
      <c r="BP47" s="581"/>
      <c r="BQ47" s="581"/>
      <c r="BR47" s="581"/>
      <c r="BS47" s="581"/>
      <c r="BT47" s="581"/>
      <c r="BU47" s="581"/>
      <c r="BV47" s="581"/>
      <c r="BW47" s="581"/>
      <c r="BX47" s="581"/>
      <c r="BY47" s="581"/>
      <c r="BZ47" s="581"/>
      <c r="CA47" s="581"/>
      <c r="CB47" s="581"/>
      <c r="CC47" s="581"/>
      <c r="CD47" s="581"/>
    </row>
    <row r="48" spans="1:82" ht="14.25">
      <c r="A48" s="737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  <c r="AL48" s="581"/>
      <c r="AM48" s="581"/>
      <c r="AN48" s="581"/>
      <c r="AO48" s="581"/>
      <c r="AP48" s="581"/>
      <c r="AQ48" s="581"/>
      <c r="AR48" s="581"/>
      <c r="AS48" s="581"/>
      <c r="AT48" s="581"/>
      <c r="AU48" s="581"/>
      <c r="AV48" s="581"/>
      <c r="AW48" s="581"/>
      <c r="AX48" s="581"/>
      <c r="AY48" s="581"/>
      <c r="AZ48" s="581"/>
      <c r="BA48" s="581"/>
      <c r="BB48" s="581"/>
      <c r="BC48" s="581"/>
      <c r="BD48" s="581"/>
      <c r="BE48" s="581"/>
      <c r="BF48" s="581"/>
      <c r="BG48" s="581"/>
      <c r="BH48" s="581"/>
      <c r="BI48" s="581"/>
      <c r="BJ48" s="581"/>
      <c r="BK48" s="581"/>
      <c r="BL48" s="581"/>
      <c r="BM48" s="581"/>
      <c r="BN48" s="581"/>
      <c r="BO48" s="581"/>
      <c r="BP48" s="581"/>
      <c r="BQ48" s="581"/>
      <c r="BR48" s="581"/>
      <c r="BS48" s="581"/>
      <c r="BT48" s="581"/>
      <c r="BU48" s="581"/>
      <c r="BV48" s="581"/>
      <c r="BW48" s="581"/>
      <c r="BX48" s="581"/>
      <c r="BY48" s="581"/>
      <c r="BZ48" s="581"/>
      <c r="CA48" s="581"/>
      <c r="CB48" s="581"/>
      <c r="CC48" s="581"/>
      <c r="CD48" s="581"/>
    </row>
    <row r="49" spans="1:82" ht="14.25">
      <c r="A49" s="737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1"/>
      <c r="BE49" s="581"/>
      <c r="BF49" s="581"/>
      <c r="BG49" s="581"/>
      <c r="BH49" s="581"/>
      <c r="BI49" s="581"/>
      <c r="BJ49" s="581"/>
      <c r="BK49" s="581"/>
      <c r="BL49" s="581"/>
      <c r="BM49" s="581"/>
      <c r="BN49" s="581"/>
      <c r="BO49" s="581"/>
      <c r="BP49" s="581"/>
      <c r="BQ49" s="581"/>
      <c r="BR49" s="581"/>
      <c r="BS49" s="581"/>
      <c r="BT49" s="581"/>
      <c r="BU49" s="581"/>
      <c r="BV49" s="581"/>
      <c r="BW49" s="581"/>
      <c r="BX49" s="581"/>
      <c r="BY49" s="581"/>
      <c r="BZ49" s="581"/>
      <c r="CA49" s="581"/>
      <c r="CB49" s="581"/>
      <c r="CC49" s="581"/>
      <c r="CD49" s="581"/>
    </row>
    <row r="50" spans="1:82" ht="14.25">
      <c r="A50" s="737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1"/>
      <c r="BG50" s="581"/>
      <c r="BH50" s="581"/>
      <c r="BI50" s="581"/>
      <c r="BJ50" s="581"/>
      <c r="BK50" s="581"/>
      <c r="BL50" s="581"/>
      <c r="BM50" s="581"/>
      <c r="BN50" s="581"/>
      <c r="BO50" s="581"/>
      <c r="BP50" s="581"/>
      <c r="BQ50" s="581"/>
      <c r="BR50" s="581"/>
      <c r="BS50" s="581"/>
      <c r="BT50" s="581"/>
      <c r="BU50" s="581"/>
      <c r="BV50" s="581"/>
      <c r="BW50" s="581"/>
      <c r="BX50" s="581"/>
      <c r="BY50" s="581"/>
      <c r="BZ50" s="581"/>
      <c r="CA50" s="581"/>
      <c r="CB50" s="581"/>
      <c r="CC50" s="581"/>
      <c r="CD50" s="581"/>
    </row>
    <row r="51" spans="1:82" ht="14.25">
      <c r="A51" s="737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1"/>
      <c r="AN51" s="581"/>
      <c r="AO51" s="581"/>
      <c r="AP51" s="581"/>
      <c r="AQ51" s="581"/>
      <c r="AR51" s="581"/>
      <c r="AS51" s="581"/>
      <c r="AT51" s="581"/>
      <c r="AU51" s="581"/>
      <c r="AV51" s="581"/>
      <c r="AW51" s="581"/>
      <c r="AX51" s="581"/>
      <c r="AY51" s="581"/>
      <c r="AZ51" s="581"/>
      <c r="BA51" s="581"/>
      <c r="BB51" s="581"/>
      <c r="BC51" s="581"/>
      <c r="BD51" s="581"/>
      <c r="BE51" s="581"/>
      <c r="BF51" s="581"/>
      <c r="BG51" s="581"/>
      <c r="BH51" s="581"/>
      <c r="BI51" s="581"/>
      <c r="BJ51" s="581"/>
      <c r="BK51" s="581"/>
      <c r="BL51" s="581"/>
      <c r="BM51" s="581"/>
      <c r="BN51" s="581"/>
      <c r="BO51" s="581"/>
      <c r="BP51" s="581"/>
      <c r="BQ51" s="581"/>
      <c r="BR51" s="581"/>
      <c r="BS51" s="581"/>
      <c r="BT51" s="581"/>
      <c r="BU51" s="581"/>
      <c r="BV51" s="581"/>
      <c r="BW51" s="581"/>
      <c r="BX51" s="581"/>
      <c r="BY51" s="581"/>
      <c r="BZ51" s="581"/>
      <c r="CA51" s="581"/>
      <c r="CB51" s="581"/>
      <c r="CC51" s="581"/>
      <c r="CD51" s="581"/>
    </row>
    <row r="52" spans="1:82" ht="14.25">
      <c r="A52" s="737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581"/>
      <c r="BS52" s="581"/>
      <c r="BT52" s="581"/>
      <c r="BU52" s="581"/>
      <c r="BV52" s="581"/>
      <c r="BW52" s="581"/>
      <c r="BX52" s="581"/>
      <c r="BY52" s="581"/>
      <c r="BZ52" s="581"/>
      <c r="CA52" s="581"/>
      <c r="CB52" s="581"/>
      <c r="CC52" s="581"/>
      <c r="CD52" s="581"/>
    </row>
    <row r="53" spans="1:82" ht="14.25">
      <c r="A53" s="737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1"/>
      <c r="BU53" s="581"/>
      <c r="BV53" s="581"/>
      <c r="BW53" s="581"/>
      <c r="BX53" s="581"/>
      <c r="BY53" s="581"/>
      <c r="BZ53" s="581"/>
      <c r="CA53" s="581"/>
      <c r="CB53" s="581"/>
      <c r="CC53" s="581"/>
      <c r="CD53" s="581"/>
    </row>
    <row r="54" spans="1:82" ht="14.25">
      <c r="A54" s="737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581"/>
      <c r="AM54" s="581"/>
      <c r="AN54" s="581"/>
      <c r="AO54" s="581"/>
      <c r="AP54" s="581"/>
      <c r="AQ54" s="581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/>
      <c r="BR54" s="581"/>
      <c r="BS54" s="581"/>
      <c r="BT54" s="581"/>
      <c r="BU54" s="581"/>
      <c r="BV54" s="581"/>
      <c r="BW54" s="581"/>
      <c r="BX54" s="581"/>
      <c r="BY54" s="581"/>
      <c r="BZ54" s="581"/>
      <c r="CA54" s="581"/>
      <c r="CB54" s="581"/>
      <c r="CC54" s="581"/>
      <c r="CD54" s="581"/>
    </row>
    <row r="55" spans="1:82" ht="14.25">
      <c r="A55" s="737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581"/>
      <c r="AW55" s="581"/>
      <c r="AX55" s="581"/>
      <c r="AY55" s="581"/>
      <c r="AZ55" s="581"/>
      <c r="BA55" s="581"/>
      <c r="BB55" s="581"/>
      <c r="BC55" s="581"/>
      <c r="BD55" s="581"/>
      <c r="BE55" s="581"/>
      <c r="BF55" s="581"/>
      <c r="BG55" s="581"/>
      <c r="BH55" s="581"/>
      <c r="BI55" s="581"/>
      <c r="BJ55" s="581"/>
      <c r="BK55" s="581"/>
      <c r="BL55" s="581"/>
      <c r="BM55" s="581"/>
      <c r="BN55" s="581"/>
      <c r="BO55" s="581"/>
      <c r="BP55" s="581"/>
      <c r="BQ55" s="581"/>
      <c r="BR55" s="581"/>
      <c r="BS55" s="581"/>
      <c r="BT55" s="581"/>
      <c r="BU55" s="581"/>
      <c r="BV55" s="581"/>
      <c r="BW55" s="581"/>
      <c r="BX55" s="581"/>
      <c r="BY55" s="581"/>
      <c r="BZ55" s="581"/>
      <c r="CA55" s="581"/>
      <c r="CB55" s="581"/>
      <c r="CC55" s="581"/>
      <c r="CD55" s="581"/>
    </row>
    <row r="56" spans="1:82" ht="14.25">
      <c r="A56" s="737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1"/>
      <c r="AC56" s="581"/>
      <c r="AD56" s="581"/>
      <c r="AE56" s="581"/>
      <c r="AF56" s="581"/>
      <c r="AG56" s="581"/>
      <c r="AH56" s="581"/>
      <c r="AI56" s="581"/>
      <c r="AJ56" s="581"/>
      <c r="AK56" s="581"/>
      <c r="AL56" s="581"/>
      <c r="AM56" s="581"/>
      <c r="AN56" s="581"/>
      <c r="AO56" s="581"/>
      <c r="AP56" s="581"/>
      <c r="AQ56" s="581"/>
      <c r="AR56" s="581"/>
      <c r="AS56" s="581"/>
      <c r="AT56" s="581"/>
      <c r="AU56" s="581"/>
      <c r="AV56" s="581"/>
      <c r="AW56" s="581"/>
      <c r="AX56" s="581"/>
      <c r="AY56" s="581"/>
      <c r="AZ56" s="581"/>
      <c r="BA56" s="581"/>
      <c r="BB56" s="581"/>
      <c r="BC56" s="581"/>
      <c r="BD56" s="581"/>
      <c r="BE56" s="581"/>
      <c r="BF56" s="581"/>
      <c r="BG56" s="581"/>
      <c r="BH56" s="581"/>
      <c r="BI56" s="581"/>
      <c r="BJ56" s="581"/>
      <c r="BK56" s="581"/>
      <c r="BL56" s="581"/>
      <c r="BM56" s="581"/>
      <c r="BN56" s="581"/>
      <c r="BO56" s="581"/>
      <c r="BP56" s="581"/>
      <c r="BQ56" s="581"/>
      <c r="BR56" s="581"/>
      <c r="BS56" s="581"/>
      <c r="BT56" s="581"/>
      <c r="BU56" s="581"/>
      <c r="BV56" s="581"/>
      <c r="BW56" s="581"/>
      <c r="BX56" s="581"/>
      <c r="BY56" s="581"/>
      <c r="BZ56" s="581"/>
      <c r="CA56" s="581"/>
      <c r="CB56" s="581"/>
      <c r="CC56" s="581"/>
      <c r="CD56" s="581"/>
    </row>
    <row r="57" spans="12:82" ht="12"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581"/>
      <c r="AT57" s="581"/>
      <c r="AU57" s="581"/>
      <c r="AV57" s="581"/>
      <c r="AW57" s="581"/>
      <c r="AX57" s="581"/>
      <c r="AY57" s="581"/>
      <c r="AZ57" s="581"/>
      <c r="BA57" s="581"/>
      <c r="BB57" s="581"/>
      <c r="BC57" s="581"/>
      <c r="BD57" s="581"/>
      <c r="BE57" s="581"/>
      <c r="BF57" s="581"/>
      <c r="BG57" s="581"/>
      <c r="BH57" s="581"/>
      <c r="BI57" s="581"/>
      <c r="BJ57" s="581"/>
      <c r="BK57" s="581"/>
      <c r="BL57" s="581"/>
      <c r="BM57" s="581"/>
      <c r="BN57" s="581"/>
      <c r="BO57" s="581"/>
      <c r="BP57" s="581"/>
      <c r="BQ57" s="581"/>
      <c r="BR57" s="581"/>
      <c r="BS57" s="581"/>
      <c r="BT57" s="581"/>
      <c r="BU57" s="581"/>
      <c r="BV57" s="581"/>
      <c r="BW57" s="581"/>
      <c r="BX57" s="581"/>
      <c r="BY57" s="581"/>
      <c r="BZ57" s="581"/>
      <c r="CA57" s="581"/>
      <c r="CB57" s="581"/>
      <c r="CC57" s="581"/>
      <c r="CD57" s="581"/>
    </row>
    <row r="58" spans="12:82" ht="12"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  <c r="AP58" s="581"/>
      <c r="AQ58" s="581"/>
      <c r="AR58" s="581"/>
      <c r="AS58" s="581"/>
      <c r="AT58" s="581"/>
      <c r="AU58" s="581"/>
      <c r="AV58" s="581"/>
      <c r="AW58" s="581"/>
      <c r="AX58" s="581"/>
      <c r="AY58" s="581"/>
      <c r="AZ58" s="581"/>
      <c r="BA58" s="581"/>
      <c r="BB58" s="581"/>
      <c r="BC58" s="581"/>
      <c r="BD58" s="581"/>
      <c r="BE58" s="581"/>
      <c r="BF58" s="581"/>
      <c r="BG58" s="581"/>
      <c r="BH58" s="581"/>
      <c r="BI58" s="581"/>
      <c r="BJ58" s="581"/>
      <c r="BK58" s="581"/>
      <c r="BL58" s="581"/>
      <c r="BM58" s="581"/>
      <c r="BN58" s="581"/>
      <c r="BO58" s="581"/>
      <c r="BP58" s="581"/>
      <c r="BQ58" s="581"/>
      <c r="BR58" s="581"/>
      <c r="BS58" s="581"/>
      <c r="BT58" s="581"/>
      <c r="BU58" s="581"/>
      <c r="BV58" s="581"/>
      <c r="BW58" s="581"/>
      <c r="BX58" s="581"/>
      <c r="BY58" s="581"/>
      <c r="BZ58" s="581"/>
      <c r="CA58" s="581"/>
      <c r="CB58" s="581"/>
      <c r="CC58" s="581"/>
      <c r="CD58" s="581"/>
    </row>
    <row r="59" spans="12:82" ht="12"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1"/>
      <c r="BE59" s="581"/>
      <c r="BF59" s="581"/>
      <c r="BG59" s="581"/>
      <c r="BH59" s="581"/>
      <c r="BI59" s="581"/>
      <c r="BJ59" s="581"/>
      <c r="BK59" s="581"/>
      <c r="BL59" s="581"/>
      <c r="BM59" s="581"/>
      <c r="BN59" s="581"/>
      <c r="BO59" s="581"/>
      <c r="BP59" s="581"/>
      <c r="BQ59" s="581"/>
      <c r="BR59" s="581"/>
      <c r="BS59" s="581"/>
      <c r="BT59" s="581"/>
      <c r="BU59" s="581"/>
      <c r="BV59" s="581"/>
      <c r="BW59" s="581"/>
      <c r="BX59" s="581"/>
      <c r="BY59" s="581"/>
      <c r="BZ59" s="581"/>
      <c r="CA59" s="581"/>
      <c r="CB59" s="581"/>
      <c r="CC59" s="581"/>
      <c r="CD59" s="581"/>
    </row>
    <row r="60" spans="12:82" ht="12"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1"/>
      <c r="AA60" s="581"/>
      <c r="AB60" s="581"/>
      <c r="AC60" s="581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  <c r="AP60" s="581"/>
      <c r="AQ60" s="581"/>
      <c r="AR60" s="581"/>
      <c r="AS60" s="581"/>
      <c r="AT60" s="581"/>
      <c r="AU60" s="581"/>
      <c r="AV60" s="581"/>
      <c r="AW60" s="581"/>
      <c r="AX60" s="581"/>
      <c r="AY60" s="581"/>
      <c r="AZ60" s="581"/>
      <c r="BA60" s="581"/>
      <c r="BB60" s="581"/>
      <c r="BC60" s="581"/>
      <c r="BD60" s="581"/>
      <c r="BE60" s="581"/>
      <c r="BF60" s="581"/>
      <c r="BG60" s="581"/>
      <c r="BH60" s="581"/>
      <c r="BI60" s="581"/>
      <c r="BJ60" s="581"/>
      <c r="BK60" s="581"/>
      <c r="BL60" s="581"/>
      <c r="BM60" s="581"/>
      <c r="BN60" s="581"/>
      <c r="BO60" s="581"/>
      <c r="BP60" s="581"/>
      <c r="BQ60" s="581"/>
      <c r="BR60" s="581"/>
      <c r="BS60" s="581"/>
      <c r="BT60" s="581"/>
      <c r="BU60" s="581"/>
      <c r="BV60" s="581"/>
      <c r="BW60" s="581"/>
      <c r="BX60" s="581"/>
      <c r="BY60" s="581"/>
      <c r="BZ60" s="581"/>
      <c r="CA60" s="581"/>
      <c r="CB60" s="581"/>
      <c r="CC60" s="581"/>
      <c r="CD60" s="581"/>
    </row>
    <row r="61" spans="12:82" ht="12"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1"/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  <c r="AP61" s="581"/>
      <c r="AQ61" s="581"/>
      <c r="AR61" s="581"/>
      <c r="AS61" s="581"/>
      <c r="AT61" s="581"/>
      <c r="AU61" s="581"/>
      <c r="AV61" s="581"/>
      <c r="AW61" s="581"/>
      <c r="AX61" s="581"/>
      <c r="AY61" s="581"/>
      <c r="AZ61" s="581"/>
      <c r="BA61" s="581"/>
      <c r="BB61" s="581"/>
      <c r="BC61" s="581"/>
      <c r="BD61" s="581"/>
      <c r="BE61" s="581"/>
      <c r="BF61" s="581"/>
      <c r="BG61" s="581"/>
      <c r="BH61" s="581"/>
      <c r="BI61" s="581"/>
      <c r="BJ61" s="581"/>
      <c r="BK61" s="581"/>
      <c r="BL61" s="581"/>
      <c r="BM61" s="581"/>
      <c r="BN61" s="581"/>
      <c r="BO61" s="581"/>
      <c r="BP61" s="581"/>
      <c r="BQ61" s="581"/>
      <c r="BR61" s="581"/>
      <c r="BS61" s="581"/>
      <c r="BT61" s="581"/>
      <c r="BU61" s="581"/>
      <c r="BV61" s="581"/>
      <c r="BW61" s="581"/>
      <c r="BX61" s="581"/>
      <c r="BY61" s="581"/>
      <c r="BZ61" s="581"/>
      <c r="CA61" s="581"/>
      <c r="CB61" s="581"/>
      <c r="CC61" s="581"/>
      <c r="CD61" s="581"/>
    </row>
    <row r="62" spans="12:82" ht="12"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  <c r="AP62" s="581"/>
      <c r="AQ62" s="581"/>
      <c r="AR62" s="581"/>
      <c r="AS62" s="581"/>
      <c r="AT62" s="581"/>
      <c r="AU62" s="581"/>
      <c r="AV62" s="581"/>
      <c r="AW62" s="581"/>
      <c r="AX62" s="581"/>
      <c r="AY62" s="581"/>
      <c r="AZ62" s="581"/>
      <c r="BA62" s="581"/>
      <c r="BB62" s="581"/>
      <c r="BC62" s="581"/>
      <c r="BD62" s="581"/>
      <c r="BE62" s="581"/>
      <c r="BF62" s="581"/>
      <c r="BG62" s="581"/>
      <c r="BH62" s="581"/>
      <c r="BI62" s="581"/>
      <c r="BJ62" s="581"/>
      <c r="BK62" s="581"/>
      <c r="BL62" s="581"/>
      <c r="BM62" s="581"/>
      <c r="BN62" s="581"/>
      <c r="BO62" s="581"/>
      <c r="BP62" s="581"/>
      <c r="BQ62" s="581"/>
      <c r="BR62" s="581"/>
      <c r="BS62" s="581"/>
      <c r="BT62" s="581"/>
      <c r="BU62" s="581"/>
      <c r="BV62" s="581"/>
      <c r="BW62" s="581"/>
      <c r="BX62" s="581"/>
      <c r="BY62" s="581"/>
      <c r="BZ62" s="581"/>
      <c r="CA62" s="581"/>
      <c r="CB62" s="581"/>
      <c r="CC62" s="581"/>
      <c r="CD62" s="581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15.08.00.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A33">
      <selection activeCell="E13" sqref="E13"/>
    </sheetView>
  </sheetViews>
  <sheetFormatPr defaultColWidth="9.140625" defaultRowHeight="12.75"/>
  <cols>
    <col min="1" max="1" width="24.7109375" style="498" customWidth="1"/>
    <col min="2" max="3" width="13.140625" style="498" customWidth="1"/>
    <col min="4" max="4" width="14.00390625" style="498" customWidth="1"/>
    <col min="5" max="5" width="16.57421875" style="498" customWidth="1"/>
    <col min="6" max="6" width="9.7109375" style="498" customWidth="1"/>
    <col min="7" max="8" width="8.8515625" style="498" customWidth="1"/>
    <col min="9" max="9" width="14.8515625" style="498" customWidth="1"/>
    <col min="10" max="16384" width="8.00390625" style="498" customWidth="1"/>
  </cols>
  <sheetData>
    <row r="1" spans="1:10" ht="12.75" customHeight="1">
      <c r="A1" s="499" t="s">
        <v>1</v>
      </c>
      <c r="B1" s="499"/>
      <c r="C1" s="499"/>
      <c r="D1" s="499"/>
      <c r="E1" s="499"/>
      <c r="F1" s="499"/>
      <c r="G1" s="499"/>
      <c r="H1" s="499"/>
      <c r="I1" s="740" t="s">
        <v>2</v>
      </c>
      <c r="J1" s="517"/>
    </row>
    <row r="2" spans="1:9" ht="12">
      <c r="A2" s="581"/>
      <c r="B2" s="581"/>
      <c r="C2" s="581"/>
      <c r="D2" s="581"/>
      <c r="E2" s="581"/>
      <c r="F2" s="581"/>
      <c r="G2" s="581"/>
      <c r="H2" s="581"/>
      <c r="I2" s="581"/>
    </row>
    <row r="3" spans="1:9" ht="12">
      <c r="A3" s="581"/>
      <c r="B3" s="581"/>
      <c r="C3" s="581"/>
      <c r="D3" s="581"/>
      <c r="E3" s="581"/>
      <c r="F3" s="581"/>
      <c r="G3" s="581"/>
      <c r="H3" s="581"/>
      <c r="I3" s="581"/>
    </row>
    <row r="4" spans="1:9" ht="15.75">
      <c r="A4" s="500" t="s">
        <v>3</v>
      </c>
      <c r="B4" s="642"/>
      <c r="C4" s="642"/>
      <c r="D4" s="642"/>
      <c r="E4" s="642"/>
      <c r="F4" s="642"/>
      <c r="G4" s="642"/>
      <c r="H4" s="642"/>
      <c r="I4" s="642"/>
    </row>
    <row r="5" spans="1:9" ht="15.75">
      <c r="A5" s="500" t="s">
        <v>4</v>
      </c>
      <c r="B5" s="546"/>
      <c r="C5" s="500"/>
      <c r="D5" s="500"/>
      <c r="E5" s="500"/>
      <c r="F5" s="543"/>
      <c r="G5" s="543"/>
      <c r="H5" s="543"/>
      <c r="I5" s="543"/>
    </row>
    <row r="6" spans="1:9" ht="15.75">
      <c r="A6" s="645"/>
      <c r="B6" s="581"/>
      <c r="C6" s="581"/>
      <c r="D6" s="581"/>
      <c r="E6" s="581"/>
      <c r="F6" s="581"/>
      <c r="G6" s="581"/>
      <c r="H6" s="581"/>
      <c r="I6" s="581"/>
    </row>
    <row r="7" spans="1:9" ht="11.25">
      <c r="A7" s="504"/>
      <c r="B7" s="504"/>
      <c r="C7" s="504"/>
      <c r="D7" s="504"/>
      <c r="E7" s="504"/>
      <c r="F7" s="504"/>
      <c r="G7" s="504"/>
      <c r="H7" s="504"/>
      <c r="I7" s="504" t="s">
        <v>5</v>
      </c>
    </row>
    <row r="8" spans="1:9" ht="56.25">
      <c r="A8" s="505" t="s">
        <v>6</v>
      </c>
      <c r="B8" s="506" t="s">
        <v>7</v>
      </c>
      <c r="C8" s="506" t="s">
        <v>8</v>
      </c>
      <c r="D8" s="506" t="s">
        <v>9</v>
      </c>
      <c r="E8" s="506" t="s">
        <v>10</v>
      </c>
      <c r="F8" s="506" t="s">
        <v>11</v>
      </c>
      <c r="G8" s="741" t="s">
        <v>12</v>
      </c>
      <c r="H8" s="742"/>
      <c r="I8" s="507" t="s">
        <v>13</v>
      </c>
    </row>
    <row r="9" spans="1:9" ht="11.25">
      <c r="A9" s="508"/>
      <c r="B9" s="515"/>
      <c r="C9" s="515"/>
      <c r="D9" s="515"/>
      <c r="E9" s="515"/>
      <c r="F9" s="515"/>
      <c r="G9" s="515" t="s">
        <v>14</v>
      </c>
      <c r="H9" s="515" t="s">
        <v>15</v>
      </c>
      <c r="I9" s="516"/>
    </row>
    <row r="10" spans="1:9" ht="11.25">
      <c r="A10" s="743">
        <v>1</v>
      </c>
      <c r="B10" s="744">
        <v>2</v>
      </c>
      <c r="C10" s="744">
        <v>3</v>
      </c>
      <c r="D10" s="744">
        <v>4</v>
      </c>
      <c r="E10" s="744">
        <v>5</v>
      </c>
      <c r="F10" s="744">
        <v>6</v>
      </c>
      <c r="G10" s="744">
        <v>7</v>
      </c>
      <c r="H10" s="744">
        <v>8</v>
      </c>
      <c r="I10" s="745">
        <v>9</v>
      </c>
    </row>
    <row r="11" spans="1:9" ht="12">
      <c r="A11" s="704" t="s">
        <v>675</v>
      </c>
      <c r="B11" s="746">
        <v>250000</v>
      </c>
      <c r="C11" s="746">
        <v>2247273</v>
      </c>
      <c r="D11" s="519">
        <f>11087+11087+11087</f>
        <v>33261</v>
      </c>
      <c r="E11" s="746">
        <v>12230091</v>
      </c>
      <c r="F11" s="519"/>
      <c r="G11" s="519"/>
      <c r="H11" s="519"/>
      <c r="I11" s="729">
        <f aca="true" t="shared" si="0" ref="I11:I44">SUM(B11:H11)</f>
        <v>14760625</v>
      </c>
    </row>
    <row r="12" spans="1:9" ht="12">
      <c r="A12" s="704" t="s">
        <v>676</v>
      </c>
      <c r="B12" s="519">
        <v>223000</v>
      </c>
      <c r="C12" s="519">
        <v>301496</v>
      </c>
      <c r="D12" s="519">
        <f>1090+1090+1090</f>
        <v>3270</v>
      </c>
      <c r="E12" s="746">
        <v>1957039</v>
      </c>
      <c r="F12" s="519"/>
      <c r="G12" s="519"/>
      <c r="H12" s="519"/>
      <c r="I12" s="729">
        <f t="shared" si="0"/>
        <v>2484805</v>
      </c>
    </row>
    <row r="13" spans="1:9" ht="12">
      <c r="A13" s="704" t="s">
        <v>677</v>
      </c>
      <c r="B13" s="519">
        <v>231223</v>
      </c>
      <c r="C13" s="519">
        <v>245846</v>
      </c>
      <c r="D13" s="519">
        <f>3087+3087+3087</f>
        <v>9261</v>
      </c>
      <c r="E13" s="746">
        <v>1228674</v>
      </c>
      <c r="F13" s="519"/>
      <c r="G13" s="519"/>
      <c r="H13" s="519"/>
      <c r="I13" s="729">
        <f t="shared" si="0"/>
        <v>1715004</v>
      </c>
    </row>
    <row r="14" spans="1:9" ht="12">
      <c r="A14" s="704" t="s">
        <v>678</v>
      </c>
      <c r="B14" s="519">
        <v>29000</v>
      </c>
      <c r="C14" s="519">
        <v>71184</v>
      </c>
      <c r="D14" s="519">
        <f>194+194+194</f>
        <v>582</v>
      </c>
      <c r="E14" s="746">
        <v>950837</v>
      </c>
      <c r="F14" s="519"/>
      <c r="G14" s="519"/>
      <c r="H14" s="519"/>
      <c r="I14" s="729">
        <f t="shared" si="0"/>
        <v>1051603</v>
      </c>
    </row>
    <row r="15" spans="1:9" ht="12">
      <c r="A15" s="704" t="s">
        <v>679</v>
      </c>
      <c r="B15" s="519">
        <v>431000</v>
      </c>
      <c r="C15" s="519">
        <v>360161</v>
      </c>
      <c r="D15" s="519">
        <f>1090+1090+1090</f>
        <v>3270</v>
      </c>
      <c r="E15" s="746">
        <v>1467819</v>
      </c>
      <c r="F15" s="519"/>
      <c r="G15" s="519"/>
      <c r="H15" s="519"/>
      <c r="I15" s="729">
        <f t="shared" si="0"/>
        <v>2262250</v>
      </c>
    </row>
    <row r="16" spans="1:9" ht="12">
      <c r="A16" s="704" t="s">
        <v>680</v>
      </c>
      <c r="B16" s="519">
        <v>20000</v>
      </c>
      <c r="C16" s="519">
        <v>260996</v>
      </c>
      <c r="D16" s="519">
        <f>908+908+908</f>
        <v>2724</v>
      </c>
      <c r="E16" s="519">
        <v>721716</v>
      </c>
      <c r="F16" s="519"/>
      <c r="G16" s="519"/>
      <c r="H16" s="519"/>
      <c r="I16" s="729">
        <f t="shared" si="0"/>
        <v>1005436</v>
      </c>
    </row>
    <row r="17" spans="1:9" ht="12">
      <c r="A17" s="704" t="s">
        <v>681</v>
      </c>
      <c r="B17" s="519"/>
      <c r="C17" s="519">
        <v>26119</v>
      </c>
      <c r="D17" s="519">
        <f>726+726+726</f>
        <v>2178</v>
      </c>
      <c r="E17" s="746">
        <v>784173</v>
      </c>
      <c r="F17" s="519"/>
      <c r="G17" s="519"/>
      <c r="H17" s="519">
        <v>11250</v>
      </c>
      <c r="I17" s="729">
        <f t="shared" si="0"/>
        <v>823720</v>
      </c>
    </row>
    <row r="18" spans="1:9" ht="12">
      <c r="A18" s="704" t="s">
        <v>684</v>
      </c>
      <c r="B18" s="519">
        <v>262000</v>
      </c>
      <c r="C18" s="519">
        <v>244896</v>
      </c>
      <c r="D18" s="519">
        <f>726+726+726</f>
        <v>2178</v>
      </c>
      <c r="E18" s="746">
        <v>1051274</v>
      </c>
      <c r="F18" s="519"/>
      <c r="G18" s="519"/>
      <c r="H18" s="519">
        <v>10500</v>
      </c>
      <c r="I18" s="729">
        <f t="shared" si="0"/>
        <v>1570848</v>
      </c>
    </row>
    <row r="19" spans="1:9" ht="12">
      <c r="A19" s="704" t="s">
        <v>685</v>
      </c>
      <c r="B19" s="519">
        <v>104000</v>
      </c>
      <c r="C19" s="519">
        <v>277130</v>
      </c>
      <c r="D19" s="519">
        <f>908+908+908</f>
        <v>2724</v>
      </c>
      <c r="E19" s="519">
        <v>628612</v>
      </c>
      <c r="F19" s="519"/>
      <c r="G19" s="519"/>
      <c r="H19" s="519"/>
      <c r="I19" s="729">
        <f t="shared" si="0"/>
        <v>1012466</v>
      </c>
    </row>
    <row r="20" spans="1:9" ht="12">
      <c r="A20" s="704" t="s">
        <v>686</v>
      </c>
      <c r="B20" s="519">
        <v>184000</v>
      </c>
      <c r="C20" s="519">
        <v>227939</v>
      </c>
      <c r="D20" s="519">
        <f>1453+1453+1453</f>
        <v>4359</v>
      </c>
      <c r="E20" s="519">
        <v>723085</v>
      </c>
      <c r="F20" s="519"/>
      <c r="G20" s="519"/>
      <c r="H20" s="519"/>
      <c r="I20" s="729">
        <f t="shared" si="0"/>
        <v>1139383</v>
      </c>
    </row>
    <row r="21" spans="1:9" ht="12">
      <c r="A21" s="704" t="s">
        <v>687</v>
      </c>
      <c r="B21" s="519">
        <v>169000</v>
      </c>
      <c r="C21" s="519">
        <v>382329</v>
      </c>
      <c r="D21" s="519">
        <f>1271+1271+1271</f>
        <v>3813</v>
      </c>
      <c r="E21" s="746">
        <v>1208867</v>
      </c>
      <c r="F21" s="519"/>
      <c r="G21" s="519"/>
      <c r="H21" s="519">
        <v>9750</v>
      </c>
      <c r="I21" s="729">
        <f t="shared" si="0"/>
        <v>1773759</v>
      </c>
    </row>
    <row r="22" spans="1:9" ht="12">
      <c r="A22" s="704" t="s">
        <v>688</v>
      </c>
      <c r="B22" s="519">
        <v>193600</v>
      </c>
      <c r="C22" s="746">
        <v>674447</v>
      </c>
      <c r="D22" s="519">
        <f>1453+1453+1453</f>
        <v>4359</v>
      </c>
      <c r="E22" s="746">
        <v>1416663</v>
      </c>
      <c r="F22" s="519"/>
      <c r="G22" s="519"/>
      <c r="H22" s="519">
        <v>19838</v>
      </c>
      <c r="I22" s="729">
        <f t="shared" si="0"/>
        <v>2308907</v>
      </c>
    </row>
    <row r="23" spans="1:9" ht="12">
      <c r="A23" s="704" t="s">
        <v>689</v>
      </c>
      <c r="B23" s="519">
        <v>391000</v>
      </c>
      <c r="C23" s="519">
        <v>204840</v>
      </c>
      <c r="D23" s="519">
        <f>545+545+545</f>
        <v>1635</v>
      </c>
      <c r="E23" s="746">
        <v>854806</v>
      </c>
      <c r="F23" s="519"/>
      <c r="G23" s="519"/>
      <c r="H23" s="519">
        <v>26250</v>
      </c>
      <c r="I23" s="729">
        <f t="shared" si="0"/>
        <v>1478531</v>
      </c>
    </row>
    <row r="24" spans="1:9" ht="12">
      <c r="A24" s="704" t="s">
        <v>690</v>
      </c>
      <c r="B24" s="519">
        <v>162950</v>
      </c>
      <c r="C24" s="519">
        <v>90500</v>
      </c>
      <c r="D24" s="519">
        <f>908+908+908</f>
        <v>2724</v>
      </c>
      <c r="E24" s="746">
        <v>1007826</v>
      </c>
      <c r="F24" s="519"/>
      <c r="G24" s="519"/>
      <c r="H24" s="519">
        <v>23369</v>
      </c>
      <c r="I24" s="729">
        <f t="shared" si="0"/>
        <v>1287369</v>
      </c>
    </row>
    <row r="25" spans="1:9" ht="12">
      <c r="A25" s="704" t="s">
        <v>691</v>
      </c>
      <c r="B25" s="519">
        <v>260000</v>
      </c>
      <c r="C25" s="519">
        <v>87699</v>
      </c>
      <c r="D25" s="519">
        <f>545+545+545</f>
        <v>1635</v>
      </c>
      <c r="E25" s="519">
        <v>659208</v>
      </c>
      <c r="F25" s="519"/>
      <c r="G25" s="519"/>
      <c r="H25" s="519"/>
      <c r="I25" s="729">
        <f t="shared" si="0"/>
        <v>1008542</v>
      </c>
    </row>
    <row r="26" spans="1:9" ht="12">
      <c r="A26" s="704" t="s">
        <v>692</v>
      </c>
      <c r="B26" s="519"/>
      <c r="C26" s="519">
        <v>175729</v>
      </c>
      <c r="D26" s="519">
        <f>726+726+726</f>
        <v>2178</v>
      </c>
      <c r="E26" s="746">
        <v>844144</v>
      </c>
      <c r="F26" s="519"/>
      <c r="G26" s="519"/>
      <c r="H26" s="519"/>
      <c r="I26" s="729">
        <f t="shared" si="0"/>
        <v>1022051</v>
      </c>
    </row>
    <row r="27" spans="1:9" ht="12">
      <c r="A27" s="704" t="s">
        <v>693</v>
      </c>
      <c r="B27" s="519">
        <v>145900</v>
      </c>
      <c r="C27" s="519">
        <v>302820</v>
      </c>
      <c r="D27" s="519">
        <f>908+908+908</f>
        <v>2724</v>
      </c>
      <c r="E27" s="746">
        <v>1182026</v>
      </c>
      <c r="F27" s="519"/>
      <c r="G27" s="519"/>
      <c r="H27" s="519">
        <v>15169</v>
      </c>
      <c r="I27" s="729">
        <f t="shared" si="0"/>
        <v>1648639</v>
      </c>
    </row>
    <row r="28" spans="1:9" ht="12">
      <c r="A28" s="704" t="s">
        <v>694</v>
      </c>
      <c r="B28" s="519">
        <v>142330</v>
      </c>
      <c r="C28" s="519">
        <v>91210</v>
      </c>
      <c r="D28" s="519">
        <f>578+578+578</f>
        <v>1734</v>
      </c>
      <c r="E28" s="746">
        <v>881497</v>
      </c>
      <c r="F28" s="519"/>
      <c r="G28" s="519"/>
      <c r="H28" s="519">
        <v>5250</v>
      </c>
      <c r="I28" s="729">
        <f t="shared" si="0"/>
        <v>1122021</v>
      </c>
    </row>
    <row r="29" spans="1:9" ht="12">
      <c r="A29" s="704" t="s">
        <v>695</v>
      </c>
      <c r="B29" s="519">
        <v>328000</v>
      </c>
      <c r="C29" s="519">
        <v>295209</v>
      </c>
      <c r="D29" s="519">
        <f>908+908+908</f>
        <v>2724</v>
      </c>
      <c r="E29" s="746">
        <v>1023171</v>
      </c>
      <c r="F29" s="519"/>
      <c r="G29" s="519"/>
      <c r="H29" s="519">
        <v>5250</v>
      </c>
      <c r="I29" s="729">
        <f t="shared" si="0"/>
        <v>1654354</v>
      </c>
    </row>
    <row r="30" spans="1:9" ht="12">
      <c r="A30" s="704" t="s">
        <v>696</v>
      </c>
      <c r="B30" s="519">
        <v>39500</v>
      </c>
      <c r="C30" s="519">
        <v>337050</v>
      </c>
      <c r="D30" s="519">
        <f>908+908+908</f>
        <v>2724</v>
      </c>
      <c r="E30" s="746">
        <v>1123658</v>
      </c>
      <c r="F30" s="519"/>
      <c r="G30" s="519"/>
      <c r="H30" s="519">
        <v>21000</v>
      </c>
      <c r="I30" s="729">
        <f t="shared" si="0"/>
        <v>1523932</v>
      </c>
    </row>
    <row r="31" spans="1:9" ht="12">
      <c r="A31" s="704" t="s">
        <v>697</v>
      </c>
      <c r="B31" s="519">
        <v>160000</v>
      </c>
      <c r="C31" s="519">
        <v>105050</v>
      </c>
      <c r="D31" s="519">
        <f>908+908+908</f>
        <v>2724</v>
      </c>
      <c r="E31" s="746">
        <v>917646</v>
      </c>
      <c r="F31" s="519"/>
      <c r="G31" s="519">
        <v>1250</v>
      </c>
      <c r="H31" s="519">
        <v>4950</v>
      </c>
      <c r="I31" s="729">
        <f t="shared" si="0"/>
        <v>1191620</v>
      </c>
    </row>
    <row r="32" spans="1:9" ht="12">
      <c r="A32" s="704" t="s">
        <v>698</v>
      </c>
      <c r="B32" s="519"/>
      <c r="C32" s="519">
        <v>94980</v>
      </c>
      <c r="D32" s="519">
        <f>908+908+908</f>
        <v>2724</v>
      </c>
      <c r="E32" s="746">
        <v>798087</v>
      </c>
      <c r="F32" s="519"/>
      <c r="G32" s="519"/>
      <c r="H32" s="519">
        <v>30135</v>
      </c>
      <c r="I32" s="729">
        <f t="shared" si="0"/>
        <v>925926</v>
      </c>
    </row>
    <row r="33" spans="1:9" ht="12">
      <c r="A33" s="704" t="s">
        <v>699</v>
      </c>
      <c r="B33" s="519">
        <v>231000</v>
      </c>
      <c r="C33" s="519">
        <v>178189</v>
      </c>
      <c r="D33" s="519">
        <f>1634+1634+1634</f>
        <v>4902</v>
      </c>
      <c r="E33" s="746">
        <v>1035183</v>
      </c>
      <c r="F33" s="519"/>
      <c r="G33" s="519"/>
      <c r="H33" s="519">
        <v>4425</v>
      </c>
      <c r="I33" s="729">
        <f t="shared" si="0"/>
        <v>1453699</v>
      </c>
    </row>
    <row r="34" spans="1:9" ht="12">
      <c r="A34" s="704" t="s">
        <v>700</v>
      </c>
      <c r="B34" s="519">
        <v>83000</v>
      </c>
      <c r="C34" s="519">
        <v>179897</v>
      </c>
      <c r="D34" s="519">
        <f>1453+1453+1453</f>
        <v>4359</v>
      </c>
      <c r="E34" s="746">
        <v>1342822</v>
      </c>
      <c r="F34" s="519"/>
      <c r="G34" s="519"/>
      <c r="H34" s="519"/>
      <c r="I34" s="729">
        <f t="shared" si="0"/>
        <v>1610078</v>
      </c>
    </row>
    <row r="35" spans="1:9" ht="12">
      <c r="A35" s="704" t="s">
        <v>701</v>
      </c>
      <c r="B35" s="519">
        <v>185500</v>
      </c>
      <c r="C35" s="519">
        <v>278079</v>
      </c>
      <c r="D35" s="519">
        <f>1453+1453+1453</f>
        <v>4359</v>
      </c>
      <c r="E35" s="746">
        <v>981801</v>
      </c>
      <c r="F35" s="519"/>
      <c r="G35" s="519"/>
      <c r="H35" s="519"/>
      <c r="I35" s="729">
        <f t="shared" si="0"/>
        <v>1449739</v>
      </c>
    </row>
    <row r="36" spans="1:9" ht="12">
      <c r="A36" s="704" t="s">
        <v>702</v>
      </c>
      <c r="B36" s="519">
        <v>44000</v>
      </c>
      <c r="C36" s="519">
        <v>397892</v>
      </c>
      <c r="D36" s="519">
        <f>908+908+908</f>
        <v>2724</v>
      </c>
      <c r="E36" s="746">
        <v>936129</v>
      </c>
      <c r="F36" s="519"/>
      <c r="G36" s="519"/>
      <c r="H36" s="519">
        <v>31500</v>
      </c>
      <c r="I36" s="729">
        <f t="shared" si="0"/>
        <v>1412245</v>
      </c>
    </row>
    <row r="37" spans="1:9" ht="12">
      <c r="A37" s="704" t="s">
        <v>703</v>
      </c>
      <c r="B37" s="519">
        <v>449000</v>
      </c>
      <c r="C37" s="519">
        <v>354822</v>
      </c>
      <c r="D37" s="519">
        <f>2905+2905+2905</f>
        <v>8715</v>
      </c>
      <c r="E37" s="746">
        <v>2552674</v>
      </c>
      <c r="F37" s="519"/>
      <c r="G37" s="519"/>
      <c r="H37" s="519">
        <v>12000</v>
      </c>
      <c r="I37" s="729">
        <f t="shared" si="0"/>
        <v>3377211</v>
      </c>
    </row>
    <row r="38" spans="1:9" ht="12">
      <c r="A38" s="704" t="s">
        <v>704</v>
      </c>
      <c r="B38" s="519">
        <v>172000</v>
      </c>
      <c r="C38" s="519">
        <v>385650</v>
      </c>
      <c r="D38" s="519">
        <f>908+908+908</f>
        <v>2724</v>
      </c>
      <c r="E38" s="746">
        <v>913304</v>
      </c>
      <c r="F38" s="519"/>
      <c r="G38" s="519"/>
      <c r="H38" s="519"/>
      <c r="I38" s="729">
        <f t="shared" si="0"/>
        <v>1473678</v>
      </c>
    </row>
    <row r="39" spans="1:9" ht="12">
      <c r="A39" s="704" t="s">
        <v>705</v>
      </c>
      <c r="B39" s="519">
        <v>425000</v>
      </c>
      <c r="C39" s="519">
        <v>169529</v>
      </c>
      <c r="D39" s="519">
        <f>1271+1271+1271</f>
        <v>3813</v>
      </c>
      <c r="E39" s="746">
        <v>1185714</v>
      </c>
      <c r="F39" s="519"/>
      <c r="G39" s="519"/>
      <c r="H39" s="519">
        <v>5250</v>
      </c>
      <c r="I39" s="729">
        <f t="shared" si="0"/>
        <v>1789306</v>
      </c>
    </row>
    <row r="40" spans="1:9" ht="12">
      <c r="A40" s="704" t="s">
        <v>706</v>
      </c>
      <c r="B40" s="746">
        <v>293030</v>
      </c>
      <c r="C40" s="519">
        <v>500820</v>
      </c>
      <c r="D40" s="519">
        <f>908+908+908</f>
        <v>2724</v>
      </c>
      <c r="E40" s="746">
        <v>1213518</v>
      </c>
      <c r="F40" s="746"/>
      <c r="G40" s="746"/>
      <c r="H40" s="746">
        <v>12389</v>
      </c>
      <c r="I40" s="729">
        <f t="shared" si="0"/>
        <v>2022481</v>
      </c>
    </row>
    <row r="41" spans="1:9" ht="12">
      <c r="A41" s="704" t="s">
        <v>707</v>
      </c>
      <c r="B41" s="519">
        <v>30000</v>
      </c>
      <c r="C41" s="519">
        <v>124231</v>
      </c>
      <c r="D41" s="519">
        <f>1453+1453+1453</f>
        <v>4359</v>
      </c>
      <c r="E41" s="746">
        <v>799073</v>
      </c>
      <c r="F41" s="746"/>
      <c r="G41" s="746"/>
      <c r="H41" s="746">
        <v>24600</v>
      </c>
      <c r="I41" s="729">
        <f t="shared" si="0"/>
        <v>982263</v>
      </c>
    </row>
    <row r="42" spans="1:9" ht="12">
      <c r="A42" s="704" t="s">
        <v>708</v>
      </c>
      <c r="B42" s="519">
        <v>75000</v>
      </c>
      <c r="C42" s="519">
        <v>506830</v>
      </c>
      <c r="D42" s="519">
        <f>1634+1634+1634</f>
        <v>4902</v>
      </c>
      <c r="E42" s="746">
        <v>1472207</v>
      </c>
      <c r="F42" s="746"/>
      <c r="G42" s="746"/>
      <c r="H42" s="746">
        <v>7500</v>
      </c>
      <c r="I42" s="729">
        <f t="shared" si="0"/>
        <v>2066439</v>
      </c>
    </row>
    <row r="43" spans="1:9" ht="12">
      <c r="A43" s="747" t="s">
        <v>709</v>
      </c>
      <c r="B43" s="530">
        <v>20000</v>
      </c>
      <c r="C43" s="530">
        <v>120116</v>
      </c>
      <c r="D43" s="530">
        <f>694+694+694</f>
        <v>2082</v>
      </c>
      <c r="E43" s="530">
        <v>338163</v>
      </c>
      <c r="F43" s="571"/>
      <c r="G43" s="748"/>
      <c r="H43" s="748">
        <v>11625</v>
      </c>
      <c r="I43" s="749">
        <f t="shared" si="0"/>
        <v>491986</v>
      </c>
    </row>
    <row r="44" spans="1:9" ht="12.75">
      <c r="A44" s="750" t="s">
        <v>711</v>
      </c>
      <c r="B44" s="751">
        <f aca="true" t="shared" si="1" ref="B44:H44">SUM(B11:B43)</f>
        <v>5734033</v>
      </c>
      <c r="C44" s="751">
        <f t="shared" si="1"/>
        <v>10300958</v>
      </c>
      <c r="D44" s="751">
        <f t="shared" si="1"/>
        <v>141168</v>
      </c>
      <c r="E44" s="751">
        <f t="shared" si="1"/>
        <v>46431507</v>
      </c>
      <c r="F44" s="751">
        <f t="shared" si="1"/>
        <v>0</v>
      </c>
      <c r="G44" s="751">
        <f t="shared" si="1"/>
        <v>1250</v>
      </c>
      <c r="H44" s="751">
        <f t="shared" si="1"/>
        <v>292000</v>
      </c>
      <c r="I44" s="752">
        <f t="shared" si="0"/>
        <v>62900916</v>
      </c>
    </row>
    <row r="45" spans="1:9" ht="12">
      <c r="A45" s="753"/>
      <c r="B45" s="754"/>
      <c r="C45" s="754"/>
      <c r="D45" s="754"/>
      <c r="E45" s="754"/>
      <c r="F45" s="754"/>
      <c r="G45" s="754"/>
      <c r="H45" s="754"/>
      <c r="I45" s="754"/>
    </row>
    <row r="46" spans="1:9" ht="12">
      <c r="A46" s="753"/>
      <c r="B46" s="754"/>
      <c r="C46" s="754"/>
      <c r="D46" s="755"/>
      <c r="E46" s="754"/>
      <c r="F46" s="754"/>
      <c r="G46" s="754"/>
      <c r="H46" s="754"/>
      <c r="I46" s="754"/>
    </row>
    <row r="47" spans="1:9" ht="12">
      <c r="A47" s="753"/>
      <c r="B47" s="754"/>
      <c r="C47" s="754"/>
      <c r="D47" s="754"/>
      <c r="E47" s="754"/>
      <c r="F47" s="754"/>
      <c r="G47" s="754"/>
      <c r="H47" s="754"/>
      <c r="I47" s="754"/>
    </row>
    <row r="48" spans="1:8" ht="12.75">
      <c r="A48" s="756"/>
      <c r="B48" s="757"/>
      <c r="C48" s="758"/>
      <c r="D48" s="759"/>
      <c r="E48" s="759"/>
      <c r="F48" s="759"/>
      <c r="G48" s="759"/>
      <c r="H48" s="759"/>
    </row>
    <row r="49" spans="1:9" s="581" customFormat="1" ht="12">
      <c r="A49" s="637" t="s">
        <v>581</v>
      </c>
      <c r="B49" s="637"/>
      <c r="C49" s="760"/>
      <c r="D49" s="761"/>
      <c r="E49" s="629"/>
      <c r="F49" s="637" t="s">
        <v>715</v>
      </c>
      <c r="G49" s="761"/>
      <c r="H49" s="629"/>
      <c r="I49" s="536" t="s">
        <v>539</v>
      </c>
    </row>
    <row r="50" spans="1:9" ht="12">
      <c r="A50" s="762"/>
      <c r="B50" s="763"/>
      <c r="C50" s="763"/>
      <c r="D50" s="763"/>
      <c r="E50" s="761"/>
      <c r="F50" s="764"/>
      <c r="G50" s="764"/>
      <c r="H50" s="764"/>
      <c r="I50" s="761"/>
    </row>
    <row r="62" ht="11.25">
      <c r="A62" s="547" t="s">
        <v>540</v>
      </c>
    </row>
    <row r="63" ht="11.25">
      <c r="A63" s="498" t="s">
        <v>541</v>
      </c>
    </row>
  </sheetData>
  <printOptions/>
  <pageMargins left="1.1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G26">
      <selection activeCell="G40" sqref="G40"/>
    </sheetView>
  </sheetViews>
  <sheetFormatPr defaultColWidth="9.140625" defaultRowHeight="12.75"/>
  <cols>
    <col min="1" max="1" width="36.00390625" style="0" hidden="1" customWidth="1"/>
    <col min="2" max="2" width="12.140625" style="0" hidden="1" customWidth="1"/>
    <col min="3" max="3" width="10.421875" style="0" hidden="1" customWidth="1"/>
    <col min="4" max="4" width="11.57421875" style="0" hidden="1" customWidth="1"/>
    <col min="5" max="5" width="9.140625" style="0" hidden="1" customWidth="1"/>
    <col min="6" max="6" width="10.28125" style="0" hidden="1" customWidth="1"/>
    <col min="7" max="7" width="36.57421875" style="0" customWidth="1"/>
    <col min="8" max="8" width="11.7109375" style="0" customWidth="1"/>
    <col min="9" max="9" width="10.140625" style="0" customWidth="1"/>
    <col min="10" max="10" width="10.28125" style="0" customWidth="1"/>
    <col min="12" max="12" width="10.00390625" style="0" customWidth="1"/>
    <col min="13" max="13" width="9.140625" style="0" hidden="1" customWidth="1"/>
    <col min="14" max="14" width="12.57421875" style="0" hidden="1" customWidth="1"/>
    <col min="15" max="15" width="9.140625" style="0" hidden="1" customWidth="1"/>
    <col min="16" max="16" width="15.00390625" style="0" hidden="1" customWidth="1"/>
    <col min="17" max="17" width="0.13671875" style="0" customWidth="1"/>
    <col min="18" max="18" width="13.00390625" style="0" hidden="1" customWidth="1"/>
    <col min="19" max="20" width="9.140625" style="0" hidden="1" customWidth="1"/>
    <col min="21" max="21" width="14.140625" style="0" hidden="1" customWidth="1"/>
    <col min="22" max="22" width="9.140625" style="0" hidden="1" customWidth="1"/>
    <col min="23" max="23" width="12.28125" style="0" hidden="1" customWidth="1"/>
    <col min="24" max="24" width="9.140625" style="0" hidden="1" customWidth="1"/>
    <col min="25" max="25" width="12.00390625" style="0" hidden="1" customWidth="1"/>
  </cols>
  <sheetData>
    <row r="1" spans="1:12" ht="19.5" customHeight="1">
      <c r="A1" s="43"/>
      <c r="B1" s="43"/>
      <c r="C1" s="101"/>
      <c r="D1" s="43"/>
      <c r="E1" s="43"/>
      <c r="F1" s="36" t="s">
        <v>116</v>
      </c>
      <c r="G1" s="43"/>
      <c r="H1" s="43"/>
      <c r="I1" s="43"/>
      <c r="J1" s="43"/>
      <c r="K1" s="43"/>
      <c r="L1" s="36" t="s">
        <v>116</v>
      </c>
    </row>
    <row r="2" spans="1:12" ht="12.75">
      <c r="A2" s="32" t="s">
        <v>117</v>
      </c>
      <c r="B2" s="32"/>
      <c r="C2" s="102"/>
      <c r="D2" s="32"/>
      <c r="E2" s="32"/>
      <c r="F2" s="43"/>
      <c r="G2" s="32" t="s">
        <v>118</v>
      </c>
      <c r="H2" s="32"/>
      <c r="I2" s="32"/>
      <c r="J2" s="32"/>
      <c r="K2" s="32"/>
      <c r="L2" s="43"/>
    </row>
    <row r="3" spans="1:12" ht="11.25" customHeight="1">
      <c r="A3" s="103"/>
      <c r="B3" s="43"/>
      <c r="C3" s="101"/>
      <c r="D3" s="43"/>
      <c r="E3" s="43"/>
      <c r="F3" s="43"/>
      <c r="G3" s="103"/>
      <c r="H3" s="43"/>
      <c r="I3" s="43"/>
      <c r="J3" s="43"/>
      <c r="K3" s="43"/>
      <c r="L3" s="43"/>
    </row>
    <row r="4" spans="1:12" ht="15.75">
      <c r="A4" s="44" t="s">
        <v>119</v>
      </c>
      <c r="B4" s="32"/>
      <c r="C4" s="102"/>
      <c r="D4" s="32"/>
      <c r="E4" s="32"/>
      <c r="F4" s="43"/>
      <c r="G4" s="767" t="s">
        <v>119</v>
      </c>
      <c r="H4" s="767"/>
      <c r="I4" s="767"/>
      <c r="J4" s="767"/>
      <c r="K4" s="767"/>
      <c r="L4" s="767"/>
    </row>
    <row r="5" spans="1:12" ht="15.75">
      <c r="A5" s="44"/>
      <c r="B5" s="32"/>
      <c r="C5" s="102"/>
      <c r="D5" s="32"/>
      <c r="E5" s="32"/>
      <c r="F5" s="43"/>
      <c r="G5" s="104"/>
      <c r="H5" s="104"/>
      <c r="I5" s="104"/>
      <c r="J5" s="104"/>
      <c r="K5" s="104"/>
      <c r="L5" s="104"/>
    </row>
    <row r="6" spans="1:12" ht="18.75" customHeight="1">
      <c r="A6" s="103"/>
      <c r="B6" s="43"/>
      <c r="C6" s="101"/>
      <c r="D6" s="43"/>
      <c r="E6" s="49"/>
      <c r="F6" s="49" t="s">
        <v>67</v>
      </c>
      <c r="G6" s="103"/>
      <c r="H6" s="43"/>
      <c r="I6" s="43"/>
      <c r="J6" s="43"/>
      <c r="K6" s="49"/>
      <c r="L6" s="49" t="s">
        <v>67</v>
      </c>
    </row>
    <row r="7" spans="1:16" ht="51">
      <c r="A7" s="52" t="s">
        <v>18</v>
      </c>
      <c r="B7" s="52" t="s">
        <v>68</v>
      </c>
      <c r="C7" s="105" t="s">
        <v>120</v>
      </c>
      <c r="D7" s="52" t="s">
        <v>70</v>
      </c>
      <c r="E7" s="52" t="s">
        <v>121</v>
      </c>
      <c r="F7" s="52" t="s">
        <v>22</v>
      </c>
      <c r="G7" s="51" t="s">
        <v>18</v>
      </c>
      <c r="H7" s="51" t="s">
        <v>68</v>
      </c>
      <c r="I7" s="51" t="s">
        <v>120</v>
      </c>
      <c r="J7" s="51" t="s">
        <v>70</v>
      </c>
      <c r="K7" s="51" t="s">
        <v>121</v>
      </c>
      <c r="L7" s="50" t="s">
        <v>22</v>
      </c>
      <c r="N7" s="50" t="s">
        <v>70</v>
      </c>
      <c r="P7" s="52" t="s">
        <v>122</v>
      </c>
    </row>
    <row r="8" spans="1:16" s="39" customFormat="1" ht="9.75" customHeight="1">
      <c r="A8" s="106">
        <v>1</v>
      </c>
      <c r="B8" s="107">
        <v>2</v>
      </c>
      <c r="C8" s="108">
        <v>3</v>
      </c>
      <c r="D8" s="109">
        <v>4</v>
      </c>
      <c r="E8" s="109">
        <v>5</v>
      </c>
      <c r="F8" s="107">
        <v>6</v>
      </c>
      <c r="G8" s="4">
        <v>1</v>
      </c>
      <c r="H8" s="110">
        <v>2</v>
      </c>
      <c r="I8" s="111">
        <v>3</v>
      </c>
      <c r="J8" s="111">
        <v>4</v>
      </c>
      <c r="K8" s="111">
        <v>5</v>
      </c>
      <c r="L8" s="110">
        <v>6</v>
      </c>
      <c r="N8" s="111" t="s">
        <v>123</v>
      </c>
      <c r="P8" s="109" t="s">
        <v>124</v>
      </c>
    </row>
    <row r="9" spans="1:25" s="43" customFormat="1" ht="12.75" customHeight="1">
      <c r="A9" s="112" t="s">
        <v>125</v>
      </c>
      <c r="B9" s="113">
        <f>SUM(B10,B18,B31,B33)</f>
        <v>737531269</v>
      </c>
      <c r="C9" s="114">
        <v>0.9709</v>
      </c>
      <c r="D9" s="113">
        <f>D10+D18+D31+D33</f>
        <v>388841825.08000004</v>
      </c>
      <c r="E9" s="115">
        <f aca="true" t="shared" si="0" ref="E9:E19">IF(ISERROR(D9/B9)," ",(D9/B9))</f>
        <v>0.5272207992038369</v>
      </c>
      <c r="F9" s="113">
        <f>F10+F18+F31+F33</f>
        <v>0</v>
      </c>
      <c r="G9" s="116" t="s">
        <v>125</v>
      </c>
      <c r="H9" s="117">
        <f>SUM(H10,H18,H31,H33)</f>
        <v>737531</v>
      </c>
      <c r="I9" s="118">
        <f>C9</f>
        <v>0.9709</v>
      </c>
      <c r="J9" s="117">
        <f>J10+J18+J31+J33</f>
        <v>388842</v>
      </c>
      <c r="K9" s="119">
        <f>IF(ISERROR(J9/H9)," ",(J9/H9))</f>
        <v>0.5272212286669984</v>
      </c>
      <c r="L9" s="117">
        <f>L10+L18+L31+L33</f>
        <v>53084</v>
      </c>
      <c r="N9" s="120">
        <v>388842</v>
      </c>
      <c r="P9" s="113">
        <v>335758</v>
      </c>
      <c r="R9" s="31">
        <f>N9-P9</f>
        <v>53084</v>
      </c>
      <c r="U9" s="121">
        <v>276137764.06</v>
      </c>
      <c r="W9" s="43">
        <v>231157322</v>
      </c>
      <c r="Y9" s="121">
        <f>U9-W9</f>
        <v>44980442.06</v>
      </c>
    </row>
    <row r="10" spans="1:25" s="43" customFormat="1" ht="15.75" customHeight="1">
      <c r="A10" s="122" t="s">
        <v>126</v>
      </c>
      <c r="B10" s="113">
        <f>SUM(B11,B13,B17)</f>
        <v>587500000</v>
      </c>
      <c r="C10" s="114">
        <v>0.9627</v>
      </c>
      <c r="D10" s="113">
        <f>SUM(D11,D13,D17)</f>
        <v>318172385.36</v>
      </c>
      <c r="E10" s="115">
        <f t="shared" si="0"/>
        <v>0.5415700176340426</v>
      </c>
      <c r="F10" s="113">
        <f>F11+F13+F17</f>
        <v>0</v>
      </c>
      <c r="G10" s="123" t="s">
        <v>126</v>
      </c>
      <c r="H10" s="124">
        <f>SUM(H11,H13,H17)</f>
        <v>587499</v>
      </c>
      <c r="I10" s="125">
        <f>C10</f>
        <v>0.9627</v>
      </c>
      <c r="J10" s="124">
        <f>SUM(J11,J13,J17)</f>
        <v>318173</v>
      </c>
      <c r="K10" s="119">
        <f>IF(ISERROR(J10/H10)," ",(J10/H10))</f>
        <v>0.5415719856544436</v>
      </c>
      <c r="L10" s="124">
        <f>L11+L13+L17</f>
        <v>40245</v>
      </c>
      <c r="N10" s="120">
        <v>318173</v>
      </c>
      <c r="P10" s="113">
        <v>277928</v>
      </c>
      <c r="R10" s="31">
        <f aca="true" t="shared" si="1" ref="R10:R33">N10-P10</f>
        <v>40245</v>
      </c>
      <c r="S10" s="31"/>
      <c r="U10" s="43">
        <v>229454163</v>
      </c>
      <c r="W10" s="43">
        <v>181242696</v>
      </c>
      <c r="Y10" s="121">
        <f aca="true" t="shared" si="2" ref="Y10:Y33">U10-W10</f>
        <v>48211467</v>
      </c>
    </row>
    <row r="11" spans="1:25" s="43" customFormat="1" ht="12.75">
      <c r="A11" s="122" t="s">
        <v>127</v>
      </c>
      <c r="B11" s="113">
        <f>SUM(B12)</f>
        <v>95100000</v>
      </c>
      <c r="C11" s="126">
        <f>C12</f>
        <v>0.9474</v>
      </c>
      <c r="D11" s="113">
        <f>SUM(D12)</f>
        <v>49363949.06</v>
      </c>
      <c r="E11" s="115">
        <f t="shared" si="0"/>
        <v>0.5190741226077813</v>
      </c>
      <c r="F11" s="113">
        <f>F12</f>
        <v>0</v>
      </c>
      <c r="G11" s="123" t="s">
        <v>127</v>
      </c>
      <c r="H11" s="124">
        <f>SUM(H12)</f>
        <v>95100</v>
      </c>
      <c r="I11" s="127">
        <f aca="true" t="shared" si="3" ref="I11:I29">C11</f>
        <v>0.9474</v>
      </c>
      <c r="J11" s="124">
        <f>SUM(J12)</f>
        <v>49364</v>
      </c>
      <c r="K11" s="119">
        <f aca="true" t="shared" si="4" ref="K11:K28">IF(ISERROR(ROUND(J11,0)/ROUND(H11,0))," ",(ROUND(J11,)/ROUND(H11,)))</f>
        <v>0.519074658254469</v>
      </c>
      <c r="L11" s="124">
        <f>L12</f>
        <v>1286</v>
      </c>
      <c r="N11" s="120">
        <v>49364</v>
      </c>
      <c r="P11" s="113">
        <v>48078</v>
      </c>
      <c r="R11" s="31">
        <f t="shared" si="1"/>
        <v>1286</v>
      </c>
      <c r="U11" s="43">
        <v>40758145</v>
      </c>
      <c r="W11" s="43">
        <v>29701128</v>
      </c>
      <c r="Y11" s="121">
        <f t="shared" si="2"/>
        <v>11057017</v>
      </c>
    </row>
    <row r="12" spans="1:25" s="2" customFormat="1" ht="12.75">
      <c r="A12" s="70" t="s">
        <v>128</v>
      </c>
      <c r="B12" s="128">
        <v>95100000</v>
      </c>
      <c r="C12" s="129">
        <v>0.9474</v>
      </c>
      <c r="D12" s="128">
        <v>49363949.06</v>
      </c>
      <c r="E12" s="130">
        <f t="shared" si="0"/>
        <v>0.5190741226077813</v>
      </c>
      <c r="F12" s="128"/>
      <c r="G12" s="60" t="s">
        <v>128</v>
      </c>
      <c r="H12" s="17">
        <f>ROUND(B12/1000,0)</f>
        <v>95100</v>
      </c>
      <c r="I12" s="131">
        <f t="shared" si="3"/>
        <v>0.9474</v>
      </c>
      <c r="J12" s="17">
        <f>ROUND(D12/1000,0)</f>
        <v>49364</v>
      </c>
      <c r="K12" s="132">
        <f t="shared" si="4"/>
        <v>0.519074658254469</v>
      </c>
      <c r="L12" s="17">
        <f>J12-'[2]Jūnijs'!J12</f>
        <v>1286</v>
      </c>
      <c r="N12" s="133">
        <v>49364</v>
      </c>
      <c r="P12" s="128">
        <v>48078</v>
      </c>
      <c r="R12" s="31">
        <f t="shared" si="1"/>
        <v>1286</v>
      </c>
      <c r="U12" s="2">
        <v>40758145</v>
      </c>
      <c r="W12" s="2">
        <v>29701128</v>
      </c>
      <c r="Y12" s="134">
        <f t="shared" si="2"/>
        <v>11057017</v>
      </c>
    </row>
    <row r="13" spans="1:25" s="43" customFormat="1" ht="12.75">
      <c r="A13" s="122" t="s">
        <v>129</v>
      </c>
      <c r="B13" s="113">
        <f>SUM(B14:B16)</f>
        <v>492400000</v>
      </c>
      <c r="C13" s="126">
        <f>(C14+C15+C16)/3</f>
        <v>0.9334000000000001</v>
      </c>
      <c r="D13" s="113">
        <f>SUM(D14:D16)</f>
        <v>265575195.25</v>
      </c>
      <c r="E13" s="115">
        <f t="shared" si="0"/>
        <v>0.5393484875101543</v>
      </c>
      <c r="F13" s="113">
        <f>F14+F15+F16</f>
        <v>0</v>
      </c>
      <c r="G13" s="123" t="s">
        <v>129</v>
      </c>
      <c r="H13" s="124">
        <f>SUM(H14:H16)</f>
        <v>492399</v>
      </c>
      <c r="I13" s="127">
        <f t="shared" si="3"/>
        <v>0.9334000000000001</v>
      </c>
      <c r="J13" s="124">
        <f>SUM(J14:J16)</f>
        <v>265576</v>
      </c>
      <c r="K13" s="119">
        <f t="shared" si="4"/>
        <v>0.5393512172039342</v>
      </c>
      <c r="L13" s="124">
        <f>L14+L15+L16</f>
        <v>39151</v>
      </c>
      <c r="N13" s="120">
        <v>265576</v>
      </c>
      <c r="P13" s="113">
        <v>226425</v>
      </c>
      <c r="R13" s="31">
        <f t="shared" si="1"/>
        <v>39151</v>
      </c>
      <c r="U13" s="43">
        <v>186021570</v>
      </c>
      <c r="W13" s="43">
        <v>151541568</v>
      </c>
      <c r="Y13" s="121">
        <f t="shared" si="2"/>
        <v>34480002</v>
      </c>
    </row>
    <row r="14" spans="1:25" s="2" customFormat="1" ht="12.75">
      <c r="A14" s="70" t="s">
        <v>130</v>
      </c>
      <c r="B14" s="128">
        <v>346096000</v>
      </c>
      <c r="C14" s="129">
        <v>0.9883</v>
      </c>
      <c r="D14" s="128">
        <v>190870626.29</v>
      </c>
      <c r="E14" s="130">
        <f t="shared" si="0"/>
        <v>0.551496192645971</v>
      </c>
      <c r="F14" s="128"/>
      <c r="G14" s="60" t="s">
        <v>130</v>
      </c>
      <c r="H14" s="17">
        <f>ROUND(B14/1000,0)-1</f>
        <v>346095</v>
      </c>
      <c r="I14" s="131">
        <f t="shared" si="3"/>
        <v>0.9883</v>
      </c>
      <c r="J14" s="17">
        <f>ROUND(D14/1000,0)</f>
        <v>190871</v>
      </c>
      <c r="K14" s="132">
        <f t="shared" si="4"/>
        <v>0.5514988659183172</v>
      </c>
      <c r="L14" s="17">
        <f>J14-'[2]Jūnijs'!J14</f>
        <v>27555</v>
      </c>
      <c r="N14" s="133">
        <v>190871</v>
      </c>
      <c r="P14" s="128">
        <v>163316</v>
      </c>
      <c r="R14" s="31">
        <f t="shared" si="1"/>
        <v>27555</v>
      </c>
      <c r="U14" s="2">
        <v>134484914</v>
      </c>
      <c r="W14" s="2">
        <v>106978603</v>
      </c>
      <c r="Y14" s="134">
        <f t="shared" si="2"/>
        <v>27506311</v>
      </c>
    </row>
    <row r="15" spans="1:25" s="2" customFormat="1" ht="12.75">
      <c r="A15" s="70" t="s">
        <v>131</v>
      </c>
      <c r="B15" s="128">
        <v>133504000</v>
      </c>
      <c r="C15" s="129">
        <v>0.896</v>
      </c>
      <c r="D15" s="135">
        <v>66418798.22</v>
      </c>
      <c r="E15" s="130">
        <f t="shared" si="0"/>
        <v>0.4975041812979386</v>
      </c>
      <c r="F15" s="128"/>
      <c r="G15" s="60" t="s">
        <v>131</v>
      </c>
      <c r="H15" s="17">
        <f>ROUND(B15/1000,0)</f>
        <v>133504</v>
      </c>
      <c r="I15" s="131">
        <f t="shared" si="3"/>
        <v>0.896</v>
      </c>
      <c r="J15" s="17">
        <f>ROUND(D15/1000,0)</f>
        <v>66419</v>
      </c>
      <c r="K15" s="132">
        <f t="shared" si="4"/>
        <v>0.49750569271332695</v>
      </c>
      <c r="L15" s="17">
        <f>J15-'[2]Jūnijs'!J15</f>
        <v>10516</v>
      </c>
      <c r="N15" s="136">
        <v>66419</v>
      </c>
      <c r="P15" s="135">
        <v>55903</v>
      </c>
      <c r="R15" s="31">
        <f t="shared" si="1"/>
        <v>10516</v>
      </c>
      <c r="U15" s="2">
        <v>45578744</v>
      </c>
      <c r="W15" s="2">
        <v>35731797</v>
      </c>
      <c r="Y15" s="134">
        <f t="shared" si="2"/>
        <v>9846947</v>
      </c>
    </row>
    <row r="16" spans="1:25" s="2" customFormat="1" ht="12.75">
      <c r="A16" s="137" t="s">
        <v>132</v>
      </c>
      <c r="B16" s="128">
        <v>12800000</v>
      </c>
      <c r="C16" s="129">
        <v>0.9159</v>
      </c>
      <c r="D16" s="135">
        <v>8285770.74</v>
      </c>
      <c r="E16" s="130">
        <f t="shared" si="0"/>
        <v>0.6473258390625</v>
      </c>
      <c r="F16" s="128"/>
      <c r="G16" s="138" t="s">
        <v>132</v>
      </c>
      <c r="H16" s="17">
        <f>ROUND(B16/1000,0)</f>
        <v>12800</v>
      </c>
      <c r="I16" s="131">
        <f t="shared" si="3"/>
        <v>0.9159</v>
      </c>
      <c r="J16" s="17">
        <f>ROUND(D16/1000,0)</f>
        <v>8286</v>
      </c>
      <c r="K16" s="132">
        <f t="shared" si="4"/>
        <v>0.64734375</v>
      </c>
      <c r="L16" s="17">
        <f>J16-'[2]Jūnijs'!J16</f>
        <v>1080</v>
      </c>
      <c r="N16" s="136">
        <v>8286</v>
      </c>
      <c r="P16" s="135">
        <v>7206</v>
      </c>
      <c r="R16" s="31">
        <f t="shared" si="1"/>
        <v>1080</v>
      </c>
      <c r="U16" s="2">
        <v>5957912</v>
      </c>
      <c r="W16" s="2">
        <v>4565264</v>
      </c>
      <c r="Y16" s="134">
        <f t="shared" si="2"/>
        <v>1392648</v>
      </c>
    </row>
    <row r="17" spans="1:25" s="43" customFormat="1" ht="15" customHeight="1">
      <c r="A17" s="139" t="s">
        <v>133</v>
      </c>
      <c r="B17" s="140"/>
      <c r="C17" s="141"/>
      <c r="D17" s="142">
        <v>3233241.05</v>
      </c>
      <c r="E17" s="143" t="str">
        <f t="shared" si="0"/>
        <v> </v>
      </c>
      <c r="F17" s="140"/>
      <c r="G17" s="69" t="s">
        <v>133</v>
      </c>
      <c r="H17" s="124"/>
      <c r="I17" s="144"/>
      <c r="J17" s="124">
        <f>ROUND(D17/1000,0)</f>
        <v>3233</v>
      </c>
      <c r="K17" s="119"/>
      <c r="L17" s="17">
        <f>J17-'[2]Jūnijs'!J17</f>
        <v>-192</v>
      </c>
      <c r="N17" s="145">
        <v>3233</v>
      </c>
      <c r="P17" s="142">
        <v>3425</v>
      </c>
      <c r="R17" s="31">
        <f t="shared" si="1"/>
        <v>-192</v>
      </c>
      <c r="U17" s="43">
        <v>2674448</v>
      </c>
      <c r="W17" s="43">
        <v>4265904</v>
      </c>
      <c r="Y17" s="121">
        <f t="shared" si="2"/>
        <v>-1591456</v>
      </c>
    </row>
    <row r="18" spans="1:25" s="43" customFormat="1" ht="12.75">
      <c r="A18" s="122" t="s">
        <v>134</v>
      </c>
      <c r="B18" s="113">
        <f>SUM(B19,B20,B21,B22,B23:B24,B25,B26,,B29)</f>
        <v>59128087</v>
      </c>
      <c r="C18" s="126">
        <v>1.0185</v>
      </c>
      <c r="D18" s="142">
        <f>SUM(D20,D21,D22,D23,D19,D24,D25,D26,D29,D30)</f>
        <v>37480941.11</v>
      </c>
      <c r="E18" s="115">
        <f t="shared" si="0"/>
        <v>0.6338940258628696</v>
      </c>
      <c r="F18" s="113">
        <f>F19+F20+F21+F22+F23+F24+F25+F26+F29</f>
        <v>0</v>
      </c>
      <c r="G18" s="123" t="s">
        <v>134</v>
      </c>
      <c r="H18" s="124">
        <f>SUM(H19,H20,H21,H22,H23:H24,H25,H26,,H29)</f>
        <v>59129</v>
      </c>
      <c r="I18" s="146"/>
      <c r="J18" s="124">
        <f>SUM(J19,J20,J21,J22,J23,J24,J25,J26,J29,J30)</f>
        <v>37480</v>
      </c>
      <c r="K18" s="119">
        <f>IF(ISERROR(J18/H18)," ",(J18/H18))</f>
        <v>0.6338683218048673</v>
      </c>
      <c r="L18" s="124">
        <f>SUM(L19,L20,L21,L22,L23,L24,L25,L26,L29)</f>
        <v>7689</v>
      </c>
      <c r="N18" s="145">
        <v>37480</v>
      </c>
      <c r="P18" s="142">
        <v>29791</v>
      </c>
      <c r="R18" s="31">
        <f t="shared" si="1"/>
        <v>7689</v>
      </c>
      <c r="S18" s="31"/>
      <c r="U18" s="43">
        <v>24422097.060000002</v>
      </c>
      <c r="W18" s="43">
        <v>19583717</v>
      </c>
      <c r="Y18" s="121">
        <f t="shared" si="2"/>
        <v>4838380.060000002</v>
      </c>
    </row>
    <row r="19" spans="1:25" s="2" customFormat="1" ht="14.25" customHeight="1">
      <c r="A19" s="147" t="s">
        <v>135</v>
      </c>
      <c r="B19" s="128">
        <v>2000000</v>
      </c>
      <c r="C19" s="148">
        <v>1</v>
      </c>
      <c r="D19" s="135">
        <v>1593453.65</v>
      </c>
      <c r="E19" s="130">
        <f t="shared" si="0"/>
        <v>0.7967268249999999</v>
      </c>
      <c r="F19" s="128"/>
      <c r="G19" s="149" t="s">
        <v>135</v>
      </c>
      <c r="H19" s="17">
        <f aca="true" t="shared" si="5" ref="H19:H32">ROUND(B19/1000,0)</f>
        <v>2000</v>
      </c>
      <c r="I19" s="131">
        <f t="shared" si="3"/>
        <v>1</v>
      </c>
      <c r="J19" s="60">
        <f>ROUND(D19/1000,0)</f>
        <v>1593</v>
      </c>
      <c r="K19" s="132">
        <f>IF(ISERROR(ROUND(J19,0)/ROUND(H19,0))," ",(ROUND(J19,)/ROUND(H19,)))</f>
        <v>0.7965</v>
      </c>
      <c r="L19" s="17">
        <f>J19-'[2]Jūnijs'!J19</f>
        <v>1150</v>
      </c>
      <c r="N19" s="136">
        <v>1593</v>
      </c>
      <c r="P19" s="135">
        <v>443</v>
      </c>
      <c r="R19" s="31">
        <f t="shared" si="1"/>
        <v>1150</v>
      </c>
      <c r="U19" s="2">
        <v>423682</v>
      </c>
      <c r="W19" s="2">
        <v>224955</v>
      </c>
      <c r="Y19" s="134">
        <f t="shared" si="2"/>
        <v>198727</v>
      </c>
    </row>
    <row r="20" spans="1:25" s="2" customFormat="1" ht="12" customHeight="1">
      <c r="A20" s="70" t="s">
        <v>136</v>
      </c>
      <c r="B20" s="128">
        <v>13290534</v>
      </c>
      <c r="C20" s="148">
        <v>0.9669</v>
      </c>
      <c r="D20" s="135">
        <v>7304139.72</v>
      </c>
      <c r="E20" s="130">
        <f>IF(ISERROR(D21/B20)," ",(D21/B20))</f>
        <v>0.7024622328944796</v>
      </c>
      <c r="F20" s="128"/>
      <c r="G20" s="60" t="s">
        <v>136</v>
      </c>
      <c r="H20" s="17">
        <f t="shared" si="5"/>
        <v>13291</v>
      </c>
      <c r="I20" s="131">
        <f t="shared" si="3"/>
        <v>0.9669</v>
      </c>
      <c r="J20" s="17">
        <f>ROUND(D20/1000,0)</f>
        <v>7304</v>
      </c>
      <c r="K20" s="132">
        <f>IF(ISERROR(ROUND(J21,0)/ROUND(H20,0))," ",(ROUND(J21,)/ROUND(H20,)))</f>
        <v>0.7024302159355955</v>
      </c>
      <c r="L20" s="17">
        <f>J20-'[2]Jūnijs'!J20</f>
        <v>1850</v>
      </c>
      <c r="N20" s="136">
        <v>7304</v>
      </c>
      <c r="P20" s="135">
        <v>5454</v>
      </c>
      <c r="R20" s="31">
        <f t="shared" si="1"/>
        <v>1850</v>
      </c>
      <c r="U20" s="2">
        <v>5026465</v>
      </c>
      <c r="W20" s="2">
        <v>4321229</v>
      </c>
      <c r="Y20" s="134">
        <f t="shared" si="2"/>
        <v>705236</v>
      </c>
    </row>
    <row r="21" spans="1:25" s="2" customFormat="1" ht="24" customHeight="1">
      <c r="A21" s="147" t="s">
        <v>137</v>
      </c>
      <c r="B21" s="128">
        <v>16082167</v>
      </c>
      <c r="C21" s="148">
        <v>1</v>
      </c>
      <c r="D21" s="135">
        <v>9336098.19</v>
      </c>
      <c r="E21" s="130">
        <f>IF(ISERROR(D22/B21)," ",(D22/B21))</f>
        <v>0.028178237422854767</v>
      </c>
      <c r="F21" s="128"/>
      <c r="G21" s="149" t="s">
        <v>137</v>
      </c>
      <c r="H21" s="17">
        <f t="shared" si="5"/>
        <v>16082</v>
      </c>
      <c r="I21" s="131">
        <f t="shared" si="3"/>
        <v>1</v>
      </c>
      <c r="J21" s="17">
        <f>ROUND(D21/1000,0)</f>
        <v>9336</v>
      </c>
      <c r="K21" s="132">
        <f>IF(ISERROR(ROUND(J21,0)/ROUND(H21,0))," ",(ROUND(J21,)/ROUND(H21,)))</f>
        <v>0.5805248103469718</v>
      </c>
      <c r="L21" s="17">
        <f>J21-'[2]Jūnijs'!J21</f>
        <v>1544</v>
      </c>
      <c r="N21" s="136">
        <v>9336</v>
      </c>
      <c r="P21" s="135">
        <v>7792</v>
      </c>
      <c r="R21" s="31">
        <f t="shared" si="1"/>
        <v>1544</v>
      </c>
      <c r="U21" s="2">
        <v>6046375</v>
      </c>
      <c r="W21" s="2">
        <v>5358767</v>
      </c>
      <c r="Y21" s="134">
        <f t="shared" si="2"/>
        <v>687608</v>
      </c>
    </row>
    <row r="22" spans="1:25" s="2" customFormat="1" ht="26.25" customHeight="1">
      <c r="A22" s="147" t="s">
        <v>138</v>
      </c>
      <c r="B22" s="128">
        <v>705500</v>
      </c>
      <c r="C22" s="148">
        <v>1</v>
      </c>
      <c r="D22" s="135">
        <v>453167.12</v>
      </c>
      <c r="E22" s="130">
        <f>IF(ISERROR(D22/B22)," ",(D22/B22))</f>
        <v>0.6423346846208363</v>
      </c>
      <c r="F22" s="128"/>
      <c r="G22" s="149" t="s">
        <v>138</v>
      </c>
      <c r="H22" s="17">
        <f>ROUND(B22/1000,0)</f>
        <v>706</v>
      </c>
      <c r="I22" s="131">
        <f t="shared" si="3"/>
        <v>1</v>
      </c>
      <c r="J22" s="17">
        <f>ROUND(D22/1000,0)</f>
        <v>453</v>
      </c>
      <c r="K22" s="132">
        <f>IF(ISERROR(ROUND(J22,0)/ROUND(H22,0))," ",(ROUND(J22,)/ROUND(H22,)))</f>
        <v>0.6416430594900849</v>
      </c>
      <c r="L22" s="17">
        <f>J22-'[2]Jūnijs'!J22</f>
        <v>33</v>
      </c>
      <c r="N22" s="136">
        <v>453</v>
      </c>
      <c r="P22" s="135">
        <v>420</v>
      </c>
      <c r="R22" s="31">
        <f t="shared" si="1"/>
        <v>33</v>
      </c>
      <c r="U22" s="2">
        <v>351857</v>
      </c>
      <c r="W22" s="2">
        <v>291928</v>
      </c>
      <c r="Y22" s="134">
        <f t="shared" si="2"/>
        <v>59929</v>
      </c>
    </row>
    <row r="23" spans="1:25" s="2" customFormat="1" ht="12" customHeight="1">
      <c r="A23" s="147" t="s">
        <v>139</v>
      </c>
      <c r="B23" s="128">
        <v>3165885</v>
      </c>
      <c r="C23" s="148">
        <v>1.3929</v>
      </c>
      <c r="D23" s="135">
        <v>2694531.5</v>
      </c>
      <c r="E23" s="130">
        <f>IF(ISERROR(D19/B23)," ",(D19/B23))</f>
        <v>0.5033201300742131</v>
      </c>
      <c r="F23" s="128"/>
      <c r="G23" s="149" t="s">
        <v>140</v>
      </c>
      <c r="H23" s="17">
        <f>ROUND(B23/1000,0)</f>
        <v>3166</v>
      </c>
      <c r="I23" s="131">
        <f>C23</f>
        <v>1.3929</v>
      </c>
      <c r="J23" s="17">
        <f>ROUND(D23/1000,0)</f>
        <v>2695</v>
      </c>
      <c r="K23" s="132">
        <f>IF(ISERROR(ROUND(J23,0)/ROUND(H23,0))," ",(ROUND(J23,)/ROUND(H23,)))</f>
        <v>0.8512318382817435</v>
      </c>
      <c r="L23" s="17">
        <f>J23-'[2]Jūnijs'!J23</f>
        <v>378</v>
      </c>
      <c r="N23" s="136">
        <v>2695</v>
      </c>
      <c r="P23" s="135">
        <v>2317</v>
      </c>
      <c r="R23" s="31">
        <f t="shared" si="1"/>
        <v>378</v>
      </c>
      <c r="U23" s="2">
        <v>1988493</v>
      </c>
      <c r="W23" s="2">
        <v>1698262</v>
      </c>
      <c r="Y23" s="134">
        <f t="shared" si="2"/>
        <v>290231</v>
      </c>
    </row>
    <row r="24" spans="1:25" s="2" customFormat="1" ht="12.75" customHeight="1">
      <c r="A24" s="147" t="s">
        <v>141</v>
      </c>
      <c r="B24" s="128">
        <v>600000</v>
      </c>
      <c r="C24" s="148">
        <v>0.9414</v>
      </c>
      <c r="D24" s="135">
        <v>212087.13</v>
      </c>
      <c r="E24" s="130">
        <f aca="true" t="shared" si="6" ref="E24:E33">IF(ISERROR(D24/B24)," ",(D24/B24))</f>
        <v>0.35347855</v>
      </c>
      <c r="F24" s="128"/>
      <c r="G24" s="149" t="s">
        <v>142</v>
      </c>
      <c r="H24" s="17">
        <f t="shared" si="5"/>
        <v>600</v>
      </c>
      <c r="I24" s="131">
        <f t="shared" si="3"/>
        <v>0.9414</v>
      </c>
      <c r="J24" s="17">
        <f aca="true" t="shared" si="7" ref="J24:J29">ROUND(D24/1000,0)</f>
        <v>212</v>
      </c>
      <c r="K24" s="132">
        <f t="shared" si="4"/>
        <v>0.35333333333333333</v>
      </c>
      <c r="L24" s="17">
        <f>J24-'[2]Jūnijs'!J24</f>
        <v>31</v>
      </c>
      <c r="N24" s="136">
        <v>212</v>
      </c>
      <c r="P24" s="135">
        <v>181</v>
      </c>
      <c r="R24" s="31">
        <f t="shared" si="1"/>
        <v>31</v>
      </c>
      <c r="U24" s="2">
        <v>167948</v>
      </c>
      <c r="W24" s="2">
        <v>139992</v>
      </c>
      <c r="Y24" s="134">
        <f t="shared" si="2"/>
        <v>27956</v>
      </c>
    </row>
    <row r="25" spans="1:25" s="2" customFormat="1" ht="12.75">
      <c r="A25" s="70" t="s">
        <v>143</v>
      </c>
      <c r="B25" s="128">
        <v>8064000</v>
      </c>
      <c r="C25" s="148">
        <v>1.0168</v>
      </c>
      <c r="D25" s="135">
        <v>5105957.66</v>
      </c>
      <c r="E25" s="130">
        <f t="shared" si="6"/>
        <v>0.6331792733134921</v>
      </c>
      <c r="F25" s="128"/>
      <c r="G25" s="60" t="s">
        <v>143</v>
      </c>
      <c r="H25" s="17">
        <f t="shared" si="5"/>
        <v>8064</v>
      </c>
      <c r="I25" s="131">
        <f t="shared" si="3"/>
        <v>1.0168</v>
      </c>
      <c r="J25" s="17">
        <f t="shared" si="7"/>
        <v>5106</v>
      </c>
      <c r="K25" s="132">
        <f t="shared" si="4"/>
        <v>0.6331845238095238</v>
      </c>
      <c r="L25" s="17">
        <f>J25-'[2]Jūnijs'!J25</f>
        <v>775</v>
      </c>
      <c r="N25" s="136">
        <v>5106</v>
      </c>
      <c r="P25" s="135">
        <v>4331</v>
      </c>
      <c r="R25" s="31">
        <f t="shared" si="1"/>
        <v>775</v>
      </c>
      <c r="U25" s="2">
        <v>3625379</v>
      </c>
      <c r="W25" s="2">
        <v>2701683</v>
      </c>
      <c r="Y25" s="134">
        <f t="shared" si="2"/>
        <v>923696</v>
      </c>
    </row>
    <row r="26" spans="1:25" s="2" customFormat="1" ht="12.75">
      <c r="A26" s="70" t="s">
        <v>144</v>
      </c>
      <c r="B26" s="128">
        <v>14992001</v>
      </c>
      <c r="C26" s="148">
        <v>1.013</v>
      </c>
      <c r="D26" s="135">
        <v>10780440.63</v>
      </c>
      <c r="E26" s="130">
        <f t="shared" si="6"/>
        <v>0.7190795031297024</v>
      </c>
      <c r="F26" s="128"/>
      <c r="G26" s="60" t="s">
        <v>144</v>
      </c>
      <c r="H26" s="17">
        <f t="shared" si="5"/>
        <v>14992</v>
      </c>
      <c r="I26" s="131">
        <f t="shared" si="3"/>
        <v>1.013</v>
      </c>
      <c r="J26" s="17">
        <f>ROUND(D26/1000,0)</f>
        <v>10780</v>
      </c>
      <c r="K26" s="132">
        <f t="shared" si="4"/>
        <v>0.7190501600853789</v>
      </c>
      <c r="L26" s="17">
        <f>J26-'[2]Jūnijs'!J26</f>
        <v>2153</v>
      </c>
      <c r="N26" s="136">
        <v>10492</v>
      </c>
      <c r="P26" s="135">
        <v>8627</v>
      </c>
      <c r="R26" s="31">
        <f t="shared" si="1"/>
        <v>1865</v>
      </c>
      <c r="U26" s="2">
        <v>6791598.37</v>
      </c>
      <c r="W26" s="2">
        <v>4620450</v>
      </c>
      <c r="Y26" s="134">
        <f t="shared" si="2"/>
        <v>2171148.37</v>
      </c>
    </row>
    <row r="27" spans="1:25" s="2" customFormat="1" ht="39.75" customHeight="1">
      <c r="A27" s="150" t="s">
        <v>145</v>
      </c>
      <c r="B27" s="151">
        <v>1201200</v>
      </c>
      <c r="C27" s="148">
        <v>1</v>
      </c>
      <c r="D27" s="135">
        <v>700700</v>
      </c>
      <c r="E27" s="152">
        <f t="shared" si="6"/>
        <v>0.5833333333333334</v>
      </c>
      <c r="F27" s="128"/>
      <c r="G27" s="153" t="s">
        <v>146</v>
      </c>
      <c r="H27" s="21">
        <f t="shared" si="5"/>
        <v>1201</v>
      </c>
      <c r="I27" s="154">
        <f>C27</f>
        <v>1</v>
      </c>
      <c r="J27" s="20">
        <f t="shared" si="7"/>
        <v>701</v>
      </c>
      <c r="K27" s="155">
        <f>IF(ISERROR(ROUND(J27,0)/ROUND(H27,0))," ",(ROUND(J27,)/ROUND(H27,)))</f>
        <v>0.5836802664446294</v>
      </c>
      <c r="L27" s="20">
        <f>J27-'[2]Jūnijs'!J27</f>
        <v>100</v>
      </c>
      <c r="N27" s="136">
        <v>701</v>
      </c>
      <c r="P27" s="135">
        <v>601</v>
      </c>
      <c r="R27" s="31">
        <f t="shared" si="1"/>
        <v>100</v>
      </c>
      <c r="U27" s="2">
        <v>500500</v>
      </c>
      <c r="W27" s="2">
        <v>400400</v>
      </c>
      <c r="Y27" s="121">
        <f t="shared" si="2"/>
        <v>100100</v>
      </c>
    </row>
    <row r="28" spans="1:25" s="2" customFormat="1" ht="12.75" customHeight="1">
      <c r="A28" s="156" t="s">
        <v>147</v>
      </c>
      <c r="B28" s="151">
        <f>B26-B27</f>
        <v>13790801</v>
      </c>
      <c r="C28" s="157"/>
      <c r="D28" s="151">
        <f>D26-D27</f>
        <v>10079740.63</v>
      </c>
      <c r="E28" s="152">
        <f t="shared" si="6"/>
        <v>0.7309032035195056</v>
      </c>
      <c r="F28" s="128"/>
      <c r="G28" s="153" t="s">
        <v>147</v>
      </c>
      <c r="H28" s="21">
        <f t="shared" si="5"/>
        <v>13791</v>
      </c>
      <c r="I28" s="154">
        <f t="shared" si="3"/>
        <v>0</v>
      </c>
      <c r="J28" s="20">
        <f>ROUND(D28/1000,0)</f>
        <v>10080</v>
      </c>
      <c r="K28" s="155">
        <f t="shared" si="4"/>
        <v>0.7309114639982597</v>
      </c>
      <c r="L28" s="20">
        <f>J28-'[2]Jūnijs'!J28</f>
        <v>2055</v>
      </c>
      <c r="N28" s="158">
        <v>9792</v>
      </c>
      <c r="P28" s="151">
        <v>8025</v>
      </c>
      <c r="R28" s="31">
        <f t="shared" si="1"/>
        <v>1767</v>
      </c>
      <c r="U28" s="2">
        <v>6291098.37</v>
      </c>
      <c r="W28" s="2">
        <v>4220050</v>
      </c>
      <c r="Y28" s="121">
        <f t="shared" si="2"/>
        <v>2071048.37</v>
      </c>
    </row>
    <row r="29" spans="1:25" s="2" customFormat="1" ht="15.75" customHeight="1">
      <c r="A29" s="147" t="s">
        <v>148</v>
      </c>
      <c r="B29" s="128">
        <f>B30</f>
        <v>228000</v>
      </c>
      <c r="C29" s="148">
        <v>0.9912</v>
      </c>
      <c r="D29" s="135">
        <v>1065.51</v>
      </c>
      <c r="E29" s="152">
        <f t="shared" si="6"/>
        <v>0.0046732894736842105</v>
      </c>
      <c r="F29" s="128"/>
      <c r="G29" s="149" t="s">
        <v>148</v>
      </c>
      <c r="H29" s="159">
        <f t="shared" si="5"/>
        <v>228</v>
      </c>
      <c r="I29" s="131">
        <f t="shared" si="3"/>
        <v>0.9912</v>
      </c>
      <c r="J29" s="17">
        <f t="shared" si="7"/>
        <v>1</v>
      </c>
      <c r="K29" s="160">
        <v>0.001</v>
      </c>
      <c r="L29" s="17">
        <f>J29-'[2]Jūnijs'!J29</f>
        <v>-225</v>
      </c>
      <c r="N29" s="133">
        <v>289</v>
      </c>
      <c r="P29" s="135">
        <v>226</v>
      </c>
      <c r="R29" s="31">
        <f t="shared" si="1"/>
        <v>63</v>
      </c>
      <c r="U29" s="2">
        <v>299.69</v>
      </c>
      <c r="W29" s="2">
        <v>226451</v>
      </c>
      <c r="Y29" s="134">
        <f t="shared" si="2"/>
        <v>-226151.31</v>
      </c>
    </row>
    <row r="30" spans="1:25" s="2" customFormat="1" ht="22.5">
      <c r="A30" s="161" t="s">
        <v>149</v>
      </c>
      <c r="B30" s="128">
        <v>228000</v>
      </c>
      <c r="C30" s="157"/>
      <c r="D30" s="128"/>
      <c r="E30" s="130">
        <f>IF(ISERROR(D30/B30)," ",(D30/B30))</f>
        <v>0</v>
      </c>
      <c r="F30" s="128">
        <f>D30-'[2]Janvāris'!F29</f>
        <v>0</v>
      </c>
      <c r="G30" s="153" t="s">
        <v>149</v>
      </c>
      <c r="H30" s="21">
        <f t="shared" si="5"/>
        <v>228</v>
      </c>
      <c r="I30" s="162"/>
      <c r="J30" s="20"/>
      <c r="K30" s="163"/>
      <c r="L30" s="20"/>
      <c r="N30" s="133"/>
      <c r="P30" s="128"/>
      <c r="R30" s="31">
        <f t="shared" si="1"/>
        <v>0</v>
      </c>
      <c r="Y30" s="121">
        <f t="shared" si="2"/>
        <v>0</v>
      </c>
    </row>
    <row r="31" spans="1:25" s="43" customFormat="1" ht="12.75">
      <c r="A31" s="164" t="s">
        <v>150</v>
      </c>
      <c r="B31" s="113">
        <f>SUM(B32)</f>
        <v>59260125</v>
      </c>
      <c r="C31" s="165">
        <v>0.9893</v>
      </c>
      <c r="D31" s="113">
        <f>SUM(D32)</f>
        <v>30969738.61</v>
      </c>
      <c r="E31" s="115">
        <f t="shared" si="6"/>
        <v>0.5226067040864325</v>
      </c>
      <c r="F31" s="113">
        <f>F32</f>
        <v>0</v>
      </c>
      <c r="G31" s="90" t="s">
        <v>150</v>
      </c>
      <c r="H31" s="166">
        <f t="shared" si="5"/>
        <v>59260</v>
      </c>
      <c r="I31" s="167">
        <f>I32</f>
        <v>0.9893</v>
      </c>
      <c r="J31" s="166">
        <f>ROUND(D31/1000,0)</f>
        <v>30970</v>
      </c>
      <c r="K31" s="119">
        <f>IF(ISERROR(J31/H31)," ",(J31/H31))</f>
        <v>0.5226122173472831</v>
      </c>
      <c r="L31" s="124">
        <f>J31-'[2]Jūnijs'!J31</f>
        <v>4794</v>
      </c>
      <c r="N31" s="120">
        <v>30970</v>
      </c>
      <c r="P31" s="113">
        <v>26176</v>
      </c>
      <c r="R31" s="31">
        <f t="shared" si="1"/>
        <v>4794</v>
      </c>
      <c r="U31" s="43">
        <v>22261504</v>
      </c>
      <c r="W31" s="43">
        <v>17785847</v>
      </c>
      <c r="Y31" s="121">
        <f t="shared" si="2"/>
        <v>4475657</v>
      </c>
    </row>
    <row r="32" spans="1:25" s="2" customFormat="1" ht="24">
      <c r="A32" s="147" t="s">
        <v>151</v>
      </c>
      <c r="B32" s="128">
        <v>59260125</v>
      </c>
      <c r="C32" s="148">
        <v>0.9893</v>
      </c>
      <c r="D32" s="128">
        <v>30969738.61</v>
      </c>
      <c r="E32" s="130">
        <f t="shared" si="6"/>
        <v>0.5226067040864325</v>
      </c>
      <c r="F32" s="128"/>
      <c r="G32" s="149" t="s">
        <v>151</v>
      </c>
      <c r="H32" s="159">
        <f t="shared" si="5"/>
        <v>59260</v>
      </c>
      <c r="I32" s="168">
        <f>C32</f>
        <v>0.9893</v>
      </c>
      <c r="J32" s="159">
        <f>ROUND(D32/1000,0)</f>
        <v>30970</v>
      </c>
      <c r="K32" s="132">
        <f>IF(ISERROR(J32/H32)," ",(J32/H32))</f>
        <v>0.5226122173472831</v>
      </c>
      <c r="L32" s="17">
        <f>J32-'[2]Jūnijs'!J32</f>
        <v>4794</v>
      </c>
      <c r="N32" s="133">
        <v>30970</v>
      </c>
      <c r="P32" s="128">
        <v>26176</v>
      </c>
      <c r="R32" s="31">
        <f t="shared" si="1"/>
        <v>4794</v>
      </c>
      <c r="U32" s="2">
        <v>22261504</v>
      </c>
      <c r="W32" s="2">
        <v>17785847</v>
      </c>
      <c r="Y32" s="134">
        <f t="shared" si="2"/>
        <v>4475657</v>
      </c>
    </row>
    <row r="33" spans="1:25" s="43" customFormat="1" ht="12.75">
      <c r="A33" s="164" t="s">
        <v>152</v>
      </c>
      <c r="B33" s="113">
        <v>31643057</v>
      </c>
      <c r="C33" s="148">
        <v>1</v>
      </c>
      <c r="D33" s="142">
        <v>2218760</v>
      </c>
      <c r="E33" s="143">
        <f t="shared" si="6"/>
        <v>0.0701183833154932</v>
      </c>
      <c r="F33" s="140"/>
      <c r="G33" s="90" t="s">
        <v>153</v>
      </c>
      <c r="H33" s="166">
        <f>ROUND(B33/1000,0)</f>
        <v>31643</v>
      </c>
      <c r="I33" s="167">
        <f>C33</f>
        <v>1</v>
      </c>
      <c r="J33" s="166">
        <f>ROUND(D33/1000,0)</f>
        <v>2219</v>
      </c>
      <c r="K33" s="119">
        <f>IF(ISERROR(J33/H33)," ",(J33/H33))</f>
        <v>0.07012609423885219</v>
      </c>
      <c r="L33" s="8">
        <f>J33-'[2]Jūnijs'!J33</f>
        <v>356</v>
      </c>
      <c r="N33" s="145">
        <v>2219</v>
      </c>
      <c r="P33" s="142">
        <v>1863</v>
      </c>
      <c r="R33" s="31">
        <f t="shared" si="1"/>
        <v>356</v>
      </c>
      <c r="W33" s="43">
        <v>12545062</v>
      </c>
      <c r="Y33" s="121">
        <f t="shared" si="2"/>
        <v>-12545062</v>
      </c>
    </row>
    <row r="34" spans="1:19" s="43" customFormat="1" ht="12.75">
      <c r="A34" s="164"/>
      <c r="B34" s="169"/>
      <c r="C34" s="170"/>
      <c r="D34" s="171"/>
      <c r="E34" s="172"/>
      <c r="F34" s="171"/>
      <c r="G34" s="164"/>
      <c r="H34" s="169"/>
      <c r="I34" s="99"/>
      <c r="J34" s="171"/>
      <c r="K34" s="172"/>
      <c r="L34" s="171"/>
      <c r="N34" s="171"/>
      <c r="P34" s="171"/>
      <c r="S34" s="31"/>
    </row>
    <row r="35" spans="1:14" s="43" customFormat="1" ht="12.75">
      <c r="A35" s="173" t="s">
        <v>154</v>
      </c>
      <c r="B35" s="174"/>
      <c r="C35" s="175"/>
      <c r="D35" s="171"/>
      <c r="E35" s="172"/>
      <c r="G35" s="176" t="s">
        <v>155</v>
      </c>
      <c r="H35" s="177"/>
      <c r="I35" s="99"/>
      <c r="J35" s="171"/>
      <c r="K35" s="172"/>
      <c r="N35" s="171"/>
    </row>
    <row r="36" spans="1:11" s="43" customFormat="1" ht="12.75">
      <c r="A36" s="173" t="s">
        <v>156</v>
      </c>
      <c r="B36" s="174"/>
      <c r="C36" s="175"/>
      <c r="D36" s="171"/>
      <c r="E36" s="172"/>
      <c r="G36" s="176" t="s">
        <v>157</v>
      </c>
      <c r="H36" s="177"/>
      <c r="I36" s="99"/>
      <c r="J36" s="171"/>
      <c r="K36" s="172"/>
    </row>
    <row r="37" spans="1:11" s="43" customFormat="1" ht="12.75">
      <c r="A37" s="176"/>
      <c r="B37" s="178"/>
      <c r="C37" s="179"/>
      <c r="D37" s="180"/>
      <c r="E37" s="180"/>
      <c r="G37" s="176"/>
      <c r="H37" s="181"/>
      <c r="I37" s="34"/>
      <c r="J37" s="180"/>
      <c r="K37" s="180"/>
    </row>
    <row r="38" spans="1:11" s="43" customFormat="1" ht="12.75">
      <c r="A38" s="182"/>
      <c r="B38" s="183"/>
      <c r="C38" s="184"/>
      <c r="D38" s="185"/>
      <c r="E38" s="186"/>
      <c r="G38" s="182"/>
      <c r="H38" s="185"/>
      <c r="I38" s="185"/>
      <c r="J38" s="185"/>
      <c r="K38" s="186"/>
    </row>
    <row r="39" spans="1:11" s="43" customFormat="1" ht="12.75">
      <c r="A39" s="173"/>
      <c r="B39" s="40"/>
      <c r="C39" s="187"/>
      <c r="D39" s="30"/>
      <c r="E39" s="186"/>
      <c r="K39" s="186"/>
    </row>
    <row r="40" spans="1:7" s="43" customFormat="1" ht="12.75">
      <c r="A40" s="185"/>
      <c r="C40" s="101"/>
      <c r="G40" s="43" t="s">
        <v>113</v>
      </c>
    </row>
    <row r="41" spans="1:12" s="43" customFormat="1" ht="12.75">
      <c r="A41" s="185"/>
      <c r="C41" s="101"/>
      <c r="L41" s="43" t="s">
        <v>158</v>
      </c>
    </row>
    <row r="42" spans="1:10" s="43" customFormat="1" ht="12.75">
      <c r="A42" s="43" t="s">
        <v>159</v>
      </c>
      <c r="B42" s="29"/>
      <c r="C42" s="101"/>
      <c r="D42" s="30"/>
      <c r="H42" s="29"/>
      <c r="I42" s="101"/>
      <c r="J42" s="30"/>
    </row>
    <row r="43" spans="1:3" s="43" customFormat="1" ht="12.75">
      <c r="A43" s="185"/>
      <c r="C43" s="101"/>
    </row>
    <row r="44" spans="3:7" s="43" customFormat="1" ht="12.75">
      <c r="C44" s="101"/>
      <c r="G44" s="39" t="s">
        <v>114</v>
      </c>
    </row>
    <row r="45" spans="1:7" s="43" customFormat="1" ht="12.75">
      <c r="A45" s="43" t="s">
        <v>114</v>
      </c>
      <c r="C45" s="101"/>
      <c r="G45" s="39" t="s">
        <v>160</v>
      </c>
    </row>
    <row r="46" spans="1:3" s="43" customFormat="1" ht="12.75">
      <c r="A46" s="43" t="s">
        <v>161</v>
      </c>
      <c r="C46" s="101"/>
    </row>
    <row r="47" spans="1:6" s="43" customFormat="1" ht="12.75">
      <c r="A47" s="185"/>
      <c r="B47" s="185"/>
      <c r="C47" s="188"/>
      <c r="D47" s="185"/>
      <c r="E47" s="185"/>
      <c r="F47" s="185"/>
    </row>
    <row r="48" spans="1:12" s="43" customFormat="1" ht="12.75">
      <c r="A48" s="185"/>
      <c r="B48" s="185"/>
      <c r="C48" s="185"/>
      <c r="D48" s="185"/>
      <c r="E48" s="185"/>
      <c r="F48" s="185"/>
      <c r="H48" s="185"/>
      <c r="I48" s="185"/>
      <c r="J48" s="185"/>
      <c r="K48" s="185"/>
      <c r="L48" s="185"/>
    </row>
    <row r="49" spans="1:33" s="43" customFormat="1" ht="12.75">
      <c r="A49" s="185"/>
      <c r="B49" s="185"/>
      <c r="C49" s="185"/>
      <c r="D49" s="185"/>
      <c r="E49" s="155">
        <f>IF(ISERROR(ROUND(J29,0)/ROUND(H29,0))," ",(ROUND(J29,)/ROUND(H29,)))+0.004</f>
        <v>0.008385964912280702</v>
      </c>
      <c r="F49" s="185"/>
      <c r="H49" s="185"/>
      <c r="I49" s="185"/>
      <c r="J49" s="185"/>
      <c r="K49" s="185"/>
      <c r="L49" s="185"/>
      <c r="Z49"/>
      <c r="AA49"/>
      <c r="AB49"/>
      <c r="AC49"/>
      <c r="AD49"/>
      <c r="AE49"/>
      <c r="AF49"/>
      <c r="AG49"/>
    </row>
  </sheetData>
  <mergeCells count="1">
    <mergeCell ref="G4:L4"/>
  </mergeCells>
  <printOptions/>
  <pageMargins left="0.75" right="0.75" top="1" bottom="0.55" header="0.5" footer="0.5"/>
  <pageSetup horizontalDpi="300" verticalDpi="300" orientation="portrait" paperSize="9" r:id="rId1"/>
  <headerFooter alignWithMargins="0">
    <oddFooter>&amp;R6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21"/>
  <sheetViews>
    <sheetView workbookViewId="0" topLeftCell="H1">
      <selection activeCell="S11" sqref="S11"/>
    </sheetView>
  </sheetViews>
  <sheetFormatPr defaultColWidth="9.140625" defaultRowHeight="12.75"/>
  <cols>
    <col min="1" max="1" width="29.57421875" style="43" hidden="1" customWidth="1"/>
    <col min="2" max="2" width="11.8515625" style="43" hidden="1" customWidth="1"/>
    <col min="3" max="3" width="12.421875" style="43" hidden="1" customWidth="1"/>
    <col min="4" max="4" width="11.140625" style="43" hidden="1" customWidth="1"/>
    <col min="5" max="5" width="7.421875" style="43" hidden="1" customWidth="1"/>
    <col min="6" max="6" width="8.140625" style="43" hidden="1" customWidth="1"/>
    <col min="7" max="7" width="12.28125" style="43" hidden="1" customWidth="1"/>
    <col min="8" max="8" width="33.00390625" style="43" customWidth="1"/>
    <col min="9" max="9" width="11.7109375" style="43" customWidth="1"/>
    <col min="10" max="10" width="13.00390625" style="43" customWidth="1"/>
    <col min="11" max="11" width="11.7109375" style="43" customWidth="1"/>
    <col min="12" max="12" width="8.140625" style="43" customWidth="1"/>
    <col min="13" max="13" width="8.7109375" style="43" customWidth="1"/>
    <col min="14" max="14" width="8.421875" style="43" customWidth="1"/>
    <col min="15" max="15" width="23.140625" style="43" hidden="1" customWidth="1"/>
    <col min="16" max="16" width="9.57421875" style="43" hidden="1" customWidth="1"/>
    <col min="17" max="17" width="17.8515625" style="43" hidden="1" customWidth="1"/>
    <col min="18" max="18" width="11.421875" style="43" hidden="1" customWidth="1"/>
    <col min="19" max="19" width="10.7109375" style="43" hidden="1" customWidth="1"/>
    <col min="20" max="21" width="11.421875" style="43" hidden="1" customWidth="1"/>
    <col min="22" max="16384" width="11.421875" style="43" customWidth="1"/>
  </cols>
  <sheetData>
    <row r="1" spans="1:14" ht="17.25" customHeight="1">
      <c r="A1" s="32" t="s">
        <v>60</v>
      </c>
      <c r="B1" s="32"/>
      <c r="C1" s="32"/>
      <c r="D1" s="32"/>
      <c r="E1" s="32"/>
      <c r="F1" s="32"/>
      <c r="G1" s="43" t="s">
        <v>61</v>
      </c>
      <c r="H1" s="32" t="s">
        <v>60</v>
      </c>
      <c r="I1" s="32"/>
      <c r="J1" s="32"/>
      <c r="K1" s="32"/>
      <c r="L1" s="32"/>
      <c r="M1" s="32"/>
      <c r="N1" s="43" t="s">
        <v>61</v>
      </c>
    </row>
    <row r="2" spans="1:13" ht="20.25" customHeight="1">
      <c r="A2" s="32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</row>
    <row r="3" spans="1:13" ht="18.75" customHeight="1">
      <c r="A3" s="44" t="s">
        <v>62</v>
      </c>
      <c r="B3" s="32"/>
      <c r="C3" s="32"/>
      <c r="D3" s="32"/>
      <c r="E3" s="32"/>
      <c r="F3" s="32"/>
      <c r="H3" s="45" t="s">
        <v>63</v>
      </c>
      <c r="I3" s="46"/>
      <c r="J3" s="46"/>
      <c r="K3" s="46"/>
      <c r="L3" s="46"/>
      <c r="M3" s="46"/>
    </row>
    <row r="4" spans="1:13" ht="19.5" customHeight="1">
      <c r="A4" s="769" t="s">
        <v>64</v>
      </c>
      <c r="B4" s="769"/>
      <c r="C4" s="769"/>
      <c r="D4" s="769"/>
      <c r="E4" s="769"/>
      <c r="F4" s="769"/>
      <c r="G4" s="48"/>
      <c r="H4" s="769" t="s">
        <v>64</v>
      </c>
      <c r="I4" s="769"/>
      <c r="J4" s="769"/>
      <c r="K4" s="769"/>
      <c r="L4" s="769"/>
      <c r="M4" s="769"/>
    </row>
    <row r="5" spans="1:13" ht="19.5" customHeight="1">
      <c r="A5" s="768" t="s">
        <v>65</v>
      </c>
      <c r="B5" s="768"/>
      <c r="C5" s="768"/>
      <c r="D5" s="768"/>
      <c r="E5" s="768"/>
      <c r="F5" s="768"/>
      <c r="G5" s="48"/>
      <c r="H5" s="768" t="s">
        <v>65</v>
      </c>
      <c r="I5" s="768"/>
      <c r="J5" s="768"/>
      <c r="K5" s="768"/>
      <c r="L5" s="768"/>
      <c r="M5" s="768"/>
    </row>
    <row r="6" spans="1:13" ht="19.5" customHeight="1">
      <c r="A6" s="47"/>
      <c r="B6" s="47"/>
      <c r="C6" s="47"/>
      <c r="D6" s="47"/>
      <c r="E6" s="47"/>
      <c r="F6" s="47"/>
      <c r="G6" s="48"/>
      <c r="H6" s="47"/>
      <c r="I6" s="47"/>
      <c r="J6" s="47"/>
      <c r="K6" s="47"/>
      <c r="L6" s="47"/>
      <c r="M6" s="47"/>
    </row>
    <row r="7" spans="7:14" ht="15" customHeight="1">
      <c r="G7" s="43" t="s">
        <v>66</v>
      </c>
      <c r="H7" s="768"/>
      <c r="I7" s="768"/>
      <c r="J7" s="768"/>
      <c r="K7" s="768"/>
      <c r="L7" s="768"/>
      <c r="M7" s="768"/>
      <c r="N7" s="43" t="s">
        <v>67</v>
      </c>
    </row>
    <row r="8" spans="1:19" ht="87.75" customHeight="1">
      <c r="A8" s="50" t="s">
        <v>18</v>
      </c>
      <c r="B8" s="50" t="s">
        <v>68</v>
      </c>
      <c r="C8" s="50" t="s">
        <v>69</v>
      </c>
      <c r="D8" s="50" t="s">
        <v>70</v>
      </c>
      <c r="E8" s="50" t="s">
        <v>71</v>
      </c>
      <c r="F8" s="50" t="s">
        <v>72</v>
      </c>
      <c r="G8" s="50" t="s">
        <v>73</v>
      </c>
      <c r="H8" s="51" t="s">
        <v>18</v>
      </c>
      <c r="I8" s="51" t="s">
        <v>68</v>
      </c>
      <c r="J8" s="51" t="s">
        <v>69</v>
      </c>
      <c r="K8" s="51" t="s">
        <v>70</v>
      </c>
      <c r="L8" s="51" t="s">
        <v>71</v>
      </c>
      <c r="M8" s="51" t="s">
        <v>74</v>
      </c>
      <c r="N8" s="50" t="s">
        <v>22</v>
      </c>
      <c r="O8" s="50" t="str">
        <f>H8</f>
        <v>Rādītāji</v>
      </c>
      <c r="P8" s="50" t="str">
        <f>K8</f>
        <v>Izpilde no gada sākuma</v>
      </c>
      <c r="Q8" s="50" t="str">
        <f>'[1]februāris'!K8</f>
        <v>Izpilde no gada sākuma</v>
      </c>
      <c r="R8" s="50" t="s">
        <v>75</v>
      </c>
      <c r="S8" s="52"/>
    </row>
    <row r="9" spans="1:18" ht="10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3">
        <v>7</v>
      </c>
      <c r="H9" s="50">
        <v>1</v>
      </c>
      <c r="I9" s="50">
        <v>2</v>
      </c>
      <c r="J9" s="50">
        <v>3</v>
      </c>
      <c r="K9" s="50">
        <v>4</v>
      </c>
      <c r="L9" s="50">
        <v>5</v>
      </c>
      <c r="M9" s="50">
        <v>6</v>
      </c>
      <c r="N9" s="53">
        <v>7</v>
      </c>
      <c r="O9" s="50">
        <f aca="true" t="shared" si="0" ref="O9:O72">H9</f>
        <v>1</v>
      </c>
      <c r="P9" s="50">
        <f aca="true" t="shared" si="1" ref="P9:P72">K9</f>
        <v>4</v>
      </c>
      <c r="Q9" s="50">
        <f>'[1]februāris'!K9</f>
        <v>4</v>
      </c>
      <c r="R9" s="54"/>
    </row>
    <row r="10" spans="1:18" ht="10.5" customHeight="1">
      <c r="A10" s="50"/>
      <c r="B10" s="50"/>
      <c r="C10" s="50"/>
      <c r="D10" s="50"/>
      <c r="E10" s="50"/>
      <c r="F10" s="50"/>
      <c r="G10" s="53"/>
      <c r="H10" s="50"/>
      <c r="I10" s="50"/>
      <c r="J10" s="50"/>
      <c r="K10" s="50"/>
      <c r="L10" s="50"/>
      <c r="M10" s="50"/>
      <c r="N10" s="53"/>
      <c r="O10" s="50"/>
      <c r="P10" s="50"/>
      <c r="Q10" s="50"/>
      <c r="R10" s="54"/>
    </row>
    <row r="11" spans="1:104" s="61" customFormat="1" ht="12.75" customHeight="1">
      <c r="A11" s="55" t="s">
        <v>76</v>
      </c>
      <c r="B11" s="56">
        <f>SUM(B12:B13)</f>
        <v>759846889</v>
      </c>
      <c r="C11" s="56">
        <f>SUM(C12:C13)</f>
        <v>452796840</v>
      </c>
      <c r="D11" s="56">
        <f>SUM(D12:D13)</f>
        <v>418133744.22</v>
      </c>
      <c r="E11" s="57">
        <f>IF(ISERROR(D11/B11)," ",(D11/B11))</f>
        <v>0.5502868410375239</v>
      </c>
      <c r="F11" s="57">
        <f>IF(ISERROR(D11/C11)," ",(D11/C11))</f>
        <v>0.9234466923841607</v>
      </c>
      <c r="G11" s="56">
        <f>SUM(G12:G13)</f>
        <v>56934862.330000006</v>
      </c>
      <c r="H11" s="58" t="s">
        <v>76</v>
      </c>
      <c r="I11" s="56">
        <f>SUM(I12:I13)</f>
        <v>759831.3286138996</v>
      </c>
      <c r="J11" s="56">
        <f>SUM(J12:J13)</f>
        <v>452797</v>
      </c>
      <c r="K11" s="56">
        <f>SUM(K12:K13)</f>
        <v>418134</v>
      </c>
      <c r="L11" s="59">
        <f>IF(ISERROR(ROUND(K11,0)/ROUND(I11,0))," ",(ROUND(K11,)/ROUND(I11,)))</f>
        <v>0.5502986848391287</v>
      </c>
      <c r="M11" s="59">
        <f>IF(ISERROR(ROUND(K11,0)/ROUND(J11,0))," ",(ROUND(K11,)/ROUND(J11,)))</f>
        <v>0.9234469309646486</v>
      </c>
      <c r="N11" s="56">
        <f>SUM(N12:N13)</f>
        <v>56935</v>
      </c>
      <c r="O11" s="51" t="str">
        <f t="shared" si="0"/>
        <v>   Izdevumi - kopā </v>
      </c>
      <c r="P11" s="51">
        <f t="shared" si="1"/>
        <v>418134</v>
      </c>
      <c r="Q11" s="51">
        <v>361199</v>
      </c>
      <c r="R11" s="60">
        <v>418134</v>
      </c>
      <c r="S11" s="2">
        <v>361199</v>
      </c>
      <c r="T11" s="2"/>
      <c r="U11" s="2">
        <f>R11-S11</f>
        <v>56935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65" customFormat="1" ht="12.75" customHeight="1">
      <c r="A12" s="62" t="s">
        <v>77</v>
      </c>
      <c r="B12" s="23">
        <f>B15+B18+B21+B24+B27+B30+B33+B36+B39+B42+B45+B48+B51+B54+B57+B60+B63+B66+B68+B71+B74+B77+B79+B81+B84+B86+B89+B92+B95</f>
        <v>694317503</v>
      </c>
      <c r="C12" s="23">
        <f>C15+C18+C21+C24+C27+C30+C33+C36+C39+C42+C45+C48+C51+C54+C57+C60+C63+C66+C68+C71+C74+C77+C79+C81+C84+C86+C89+C92+C95</f>
        <v>414639361</v>
      </c>
      <c r="D12" s="23">
        <f>D15+D18+D21+D24+D27+D30+D33+D36+D39+D42+D45+D48+D51+D54+D57+D60+D63+D66+D68+D71+D74+D77+D79+D81+D84+D86+D89+D92+D95</f>
        <v>390606847.62</v>
      </c>
      <c r="E12" s="63">
        <f aca="true" t="shared" si="2" ref="E12:E75">IF(ISERROR(D12/B12)," ",(D12/B12))</f>
        <v>0.56257669716271</v>
      </c>
      <c r="F12" s="63">
        <f aca="true" t="shared" si="3" ref="F12:F75">IF(ISERROR(D12/C12)," ",(D12/C12))</f>
        <v>0.9420399613726012</v>
      </c>
      <c r="G12" s="23">
        <f>G15+G18+G21+G24+G27+G30+G33+G36+G39+G42+G45+G48+G51+G54+G57+G60+G63+G66+G68+G71+G74+G77+G79+G81+G84+G86+G89+G92+G95</f>
        <v>51564179.02</v>
      </c>
      <c r="H12" s="62" t="s">
        <v>77</v>
      </c>
      <c r="I12" s="23">
        <f>I15+I18+I21+I24+I27+I30+I33+I36+I39+I42+I45+I48+I51+I54+I57+I60+I63+I66+I68+I71+I74+I77+I79+I81+I84+I86+I89+I92+I95-2</f>
        <v>694318</v>
      </c>
      <c r="J12" s="23">
        <f>J15+J18+J21+J24+J27+J30+J33+J36+J39+J42+J45+J48+J51+J54+J57+J60+J63+J66+J68+J71+J74+J77+J79+J81+J84+J86+J89+J92+J95</f>
        <v>414640</v>
      </c>
      <c r="K12" s="23">
        <f>K15+K18+K21+K24+K27+K30+K33+K36+K39+K42+K45+K48+K51+K54+K57+K60+K63+K68+K71+K74+K81+K86+K89+K92+K66+K77+K79+K84+K95</f>
        <v>390607</v>
      </c>
      <c r="L12" s="64">
        <f>IF(ISERROR(K12/I12)," ",(K12/I12))</f>
        <v>0.5625765139316566</v>
      </c>
      <c r="M12" s="63">
        <f>IF(ISERROR(K12/J12)," ",(K12/J12))</f>
        <v>0.9420388770982057</v>
      </c>
      <c r="N12" s="23">
        <f>N15+N18+N21+N24+N27+N30+N33+N36+N39+N42+N45+N48+N51+N54+N57+N60+N63+N66+N68+N71+N74+N77+N79+N81+N84+N86+N89+N92+N95-3</f>
        <v>51564</v>
      </c>
      <c r="O12" s="50" t="str">
        <f t="shared" si="0"/>
        <v>     Uzturēšanas izdevumi</v>
      </c>
      <c r="P12" s="50">
        <f t="shared" si="1"/>
        <v>390607</v>
      </c>
      <c r="Q12" s="51">
        <v>339043</v>
      </c>
      <c r="R12" s="54">
        <v>390607</v>
      </c>
      <c r="S12" s="39">
        <v>339043</v>
      </c>
      <c r="T12" s="39"/>
      <c r="U12" s="2">
        <f aca="true" t="shared" si="4" ref="U12:U75">R12-S12</f>
        <v>51564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65" customFormat="1" ht="12.75" customHeight="1">
      <c r="A13" s="62" t="s">
        <v>78</v>
      </c>
      <c r="B13" s="23">
        <f>B16+B19+B22+B25+B28+B31+B34+B37+B40+B43+B46+B49+B52+B55+B58+B61+B64+B69+B72+B75+B82+B87+B90+B93</f>
        <v>65529386</v>
      </c>
      <c r="C13" s="23">
        <f>C16+C19+C22+C25+C28+C31+C34+C37+C40+C43+C46+C49+C52+C55+C58+C61+C64+C69+C72+C75+C82+C87+C90+C93</f>
        <v>38157479</v>
      </c>
      <c r="D13" s="23">
        <f>D16+D19+D22+D25+D28+D31+D34+D37+D40+D43+D46+D49+D52+D55+D58+D61+D64+D69+D72+D75+D82+D87+D90+D93</f>
        <v>27526896.599999998</v>
      </c>
      <c r="E13" s="63">
        <f t="shared" si="2"/>
        <v>0.4200695028639517</v>
      </c>
      <c r="F13" s="63">
        <f t="shared" si="3"/>
        <v>0.7214023913896408</v>
      </c>
      <c r="G13" s="23">
        <f>G16+G19+G22+G25+G28+G31+G34+G37+G40+G43+G46+G49+G52+G55+G58+G61+G64+G69+G72+G75+G82+G87+G90+G93</f>
        <v>5370683.31</v>
      </c>
      <c r="H13" s="62" t="s">
        <v>78</v>
      </c>
      <c r="I13" s="23">
        <f>I16+I19+I22+I25+I28+I31+I34+I37+I40+I43+I46+I49+I52+I55+I58+I61+I64+I69+I72+I75+I82+I87+I90+I93-1</f>
        <v>65513.32861389961</v>
      </c>
      <c r="J13" s="23">
        <f>J16+J19+J22+J25+J28+J31+J34+J37+J40+J43+J46+J49+J52+J55+J58+J61+J64+J69+J72+J75+J82+J87+J90+J93-1</f>
        <v>38157</v>
      </c>
      <c r="K13" s="23">
        <f>K16+K19+K22+K25+K28+K31+K34+K37+K40+K43+K46+K49+K52+K55+K58+K61+K64+K69+K72+K75+K82+K87+K90+K93</f>
        <v>27527</v>
      </c>
      <c r="L13" s="64">
        <f aca="true" t="shared" si="5" ref="L13:L76">IF(ISERROR(ROUND(K13,0)/ROUND(I13,0))," ",(ROUND(K13,)/ROUND(I13,)))</f>
        <v>0.4201761482453864</v>
      </c>
      <c r="M13" s="63">
        <f>IF(ISERROR(K13/J13)," ",(K13/J13))</f>
        <v>0.7214141572974815</v>
      </c>
      <c r="N13" s="23">
        <f>N16+N19+N22+N25+N28+N31+N34+N37+N40+N43+N46+N49+N52+N55+N58+N61+N64+N69+N72+N75+N82+N87+N90+N93+4</f>
        <v>5371</v>
      </c>
      <c r="O13" s="50" t="str">
        <f t="shared" si="0"/>
        <v>     Izdevumi kapitālieguldījumiem</v>
      </c>
      <c r="P13" s="50">
        <f t="shared" si="1"/>
        <v>27527</v>
      </c>
      <c r="Q13" s="51">
        <v>22156</v>
      </c>
      <c r="R13" s="66">
        <v>27527</v>
      </c>
      <c r="S13" s="39">
        <v>22156</v>
      </c>
      <c r="T13" s="39"/>
      <c r="U13" s="2">
        <f t="shared" si="4"/>
        <v>5371</v>
      </c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</row>
    <row r="14" spans="1:104" s="70" customFormat="1" ht="12.75" customHeight="1">
      <c r="A14" s="67" t="s">
        <v>79</v>
      </c>
      <c r="B14" s="68">
        <f>SUM(B15:B16)</f>
        <v>871809</v>
      </c>
      <c r="C14" s="68">
        <f>SUM(C15:C16)</f>
        <v>537899</v>
      </c>
      <c r="D14" s="68">
        <f>SUM(D15:D16)</f>
        <v>534089.97</v>
      </c>
      <c r="E14" s="57">
        <f t="shared" si="2"/>
        <v>0.6126226845559062</v>
      </c>
      <c r="F14" s="57">
        <f t="shared" si="3"/>
        <v>0.9929186891962989</v>
      </c>
      <c r="G14" s="68">
        <f>SUM(G15:G16)</f>
        <v>62121.89999999999</v>
      </c>
      <c r="H14" s="69" t="s">
        <v>80</v>
      </c>
      <c r="I14" s="68">
        <f>SUM(I15:I16)</f>
        <v>872</v>
      </c>
      <c r="J14" s="68">
        <f>SUM(J15:J16)</f>
        <v>538</v>
      </c>
      <c r="K14" s="68">
        <f>SUM(K15:K16)</f>
        <v>535</v>
      </c>
      <c r="L14" s="59">
        <f t="shared" si="5"/>
        <v>0.6135321100917431</v>
      </c>
      <c r="M14" s="59">
        <f aca="true" t="shared" si="6" ref="M14:M77">IF(ISERROR(ROUND(K14,0)/ROUND(J14,0))," ",(ROUND(K14,)/ROUND(J14,)))</f>
        <v>0.9944237918215614</v>
      </c>
      <c r="N14" s="68">
        <f>SUM(N15:N16)</f>
        <v>62</v>
      </c>
      <c r="O14" s="51" t="str">
        <f t="shared" si="0"/>
        <v>Valsts prezidenta kanceleja</v>
      </c>
      <c r="P14" s="51">
        <f t="shared" si="1"/>
        <v>535</v>
      </c>
      <c r="Q14" s="51">
        <v>472</v>
      </c>
      <c r="R14" s="60">
        <v>535</v>
      </c>
      <c r="S14" s="2">
        <v>472</v>
      </c>
      <c r="T14" s="2"/>
      <c r="U14" s="2">
        <f t="shared" si="4"/>
        <v>63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65" customFormat="1" ht="12.75" customHeight="1">
      <c r="A15" s="62" t="s">
        <v>77</v>
      </c>
      <c r="B15" s="71">
        <v>815909</v>
      </c>
      <c r="C15" s="71">
        <v>492099</v>
      </c>
      <c r="D15" s="72">
        <v>488507.82</v>
      </c>
      <c r="E15" s="63">
        <f t="shared" si="2"/>
        <v>0.5987283140644362</v>
      </c>
      <c r="F15" s="63">
        <f t="shared" si="3"/>
        <v>0.9927023220937251</v>
      </c>
      <c r="G15" s="71">
        <f>D15-'[1]Jūnijs'!D15</f>
        <v>58917.04999999999</v>
      </c>
      <c r="H15" s="62" t="s">
        <v>77</v>
      </c>
      <c r="I15" s="71">
        <f aca="true" t="shared" si="7" ref="I15:K16">ROUND(B15/1000,0)</f>
        <v>816</v>
      </c>
      <c r="J15" s="71">
        <f>ROUND(C15/1000,0)</f>
        <v>492</v>
      </c>
      <c r="K15" s="71">
        <f>ROUND(D15/1000,0)</f>
        <v>489</v>
      </c>
      <c r="L15" s="64">
        <f t="shared" si="5"/>
        <v>0.5992647058823529</v>
      </c>
      <c r="M15" s="64">
        <f t="shared" si="6"/>
        <v>0.9939024390243902</v>
      </c>
      <c r="N15" s="71">
        <f>K15-'[1]Jūnijs'!K15</f>
        <v>59</v>
      </c>
      <c r="O15" s="50" t="str">
        <f t="shared" si="0"/>
        <v>     Uzturēšanas izdevumi</v>
      </c>
      <c r="P15" s="50">
        <f t="shared" si="1"/>
        <v>489</v>
      </c>
      <c r="Q15" s="51">
        <v>430</v>
      </c>
      <c r="R15" s="54">
        <v>489</v>
      </c>
      <c r="S15" s="39">
        <v>430</v>
      </c>
      <c r="T15" s="39"/>
      <c r="U15" s="2">
        <f t="shared" si="4"/>
        <v>59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</row>
    <row r="16" spans="1:104" s="65" customFormat="1" ht="12.75" customHeight="1">
      <c r="A16" s="62" t="s">
        <v>78</v>
      </c>
      <c r="B16" s="71">
        <v>55900</v>
      </c>
      <c r="C16" s="71">
        <v>45800</v>
      </c>
      <c r="D16" s="72">
        <v>45582.15</v>
      </c>
      <c r="E16" s="63">
        <f t="shared" si="2"/>
        <v>0.8154230769230769</v>
      </c>
      <c r="F16" s="63">
        <f t="shared" si="3"/>
        <v>0.9952434497816595</v>
      </c>
      <c r="G16" s="71">
        <f>D16-'[1]Jūnijs'!D16</f>
        <v>3204.8499999999985</v>
      </c>
      <c r="H16" s="62" t="s">
        <v>78</v>
      </c>
      <c r="I16" s="71">
        <f t="shared" si="7"/>
        <v>56</v>
      </c>
      <c r="J16" s="71">
        <f>ROUND(C16/1000,0)</f>
        <v>46</v>
      </c>
      <c r="K16" s="71">
        <f t="shared" si="7"/>
        <v>46</v>
      </c>
      <c r="L16" s="64">
        <f t="shared" si="5"/>
        <v>0.8214285714285714</v>
      </c>
      <c r="M16" s="64">
        <f t="shared" si="6"/>
        <v>1</v>
      </c>
      <c r="N16" s="71">
        <f>K16-'[1]Jūnijs'!K16-1</f>
        <v>3</v>
      </c>
      <c r="O16" s="50" t="str">
        <f t="shared" si="0"/>
        <v>     Izdevumi kapitālieguldījumiem</v>
      </c>
      <c r="P16" s="50">
        <f t="shared" si="1"/>
        <v>46</v>
      </c>
      <c r="Q16" s="51">
        <v>42</v>
      </c>
      <c r="R16" s="54">
        <v>46</v>
      </c>
      <c r="S16" s="39">
        <v>42</v>
      </c>
      <c r="T16" s="39"/>
      <c r="U16" s="2">
        <f t="shared" si="4"/>
        <v>4</v>
      </c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</row>
    <row r="17" spans="1:104" s="70" customFormat="1" ht="12.75" customHeight="1">
      <c r="A17" s="73" t="s">
        <v>81</v>
      </c>
      <c r="B17" s="68">
        <f>SUM(B18:B19)</f>
        <v>6668322</v>
      </c>
      <c r="C17" s="68">
        <f>SUM(C18:C19)</f>
        <v>3804529</v>
      </c>
      <c r="D17" s="68">
        <f>SUM(D18:D19)</f>
        <v>3613693.6</v>
      </c>
      <c r="E17" s="57">
        <f t="shared" si="2"/>
        <v>0.5419194813927702</v>
      </c>
      <c r="F17" s="57">
        <f t="shared" si="3"/>
        <v>0.9498399407653353</v>
      </c>
      <c r="G17" s="68">
        <f>SUM(G18:G19)</f>
        <v>513820.4300000002</v>
      </c>
      <c r="H17" s="74" t="s">
        <v>81</v>
      </c>
      <c r="I17" s="68">
        <f>SUM(I18:I19)</f>
        <v>6668</v>
      </c>
      <c r="J17" s="68">
        <f>SUM(J18:J19)</f>
        <v>3804</v>
      </c>
      <c r="K17" s="68">
        <f>SUM(K18:K19)</f>
        <v>3614</v>
      </c>
      <c r="L17" s="59">
        <f t="shared" si="5"/>
        <v>0.5419916016796641</v>
      </c>
      <c r="M17" s="59">
        <f t="shared" si="6"/>
        <v>0.9500525762355415</v>
      </c>
      <c r="N17" s="68">
        <f>SUM(N18:N19)</f>
        <v>514</v>
      </c>
      <c r="O17" s="51" t="str">
        <f t="shared" si="0"/>
        <v>Saeima</v>
      </c>
      <c r="P17" s="51">
        <f t="shared" si="1"/>
        <v>3614</v>
      </c>
      <c r="Q17" s="51">
        <v>3100</v>
      </c>
      <c r="R17" s="60">
        <v>3614</v>
      </c>
      <c r="S17" s="2">
        <v>3100</v>
      </c>
      <c r="T17" s="2"/>
      <c r="U17" s="2">
        <f t="shared" si="4"/>
        <v>514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65" customFormat="1" ht="12.75" customHeight="1">
      <c r="A18" s="62" t="s">
        <v>77</v>
      </c>
      <c r="B18" s="71">
        <v>5553887</v>
      </c>
      <c r="C18" s="71">
        <v>3125094</v>
      </c>
      <c r="D18" s="71">
        <v>2957583.06</v>
      </c>
      <c r="E18" s="63">
        <f t="shared" si="2"/>
        <v>0.53252488932526</v>
      </c>
      <c r="F18" s="63">
        <f t="shared" si="3"/>
        <v>0.9463981115448048</v>
      </c>
      <c r="G18" s="71">
        <f>D18-'[1]Jūnijs'!D18</f>
        <v>378659.43000000017</v>
      </c>
      <c r="H18" s="62" t="s">
        <v>77</v>
      </c>
      <c r="I18" s="71">
        <f aca="true" t="shared" si="8" ref="I18:K19">ROUND(B18/1000,0)</f>
        <v>5554</v>
      </c>
      <c r="J18" s="71">
        <f t="shared" si="8"/>
        <v>3125</v>
      </c>
      <c r="K18" s="71">
        <f t="shared" si="8"/>
        <v>2958</v>
      </c>
      <c r="L18" s="64">
        <f t="shared" si="5"/>
        <v>0.5325891249549874</v>
      </c>
      <c r="M18" s="64">
        <f t="shared" si="6"/>
        <v>0.94656</v>
      </c>
      <c r="N18" s="71">
        <f>K18-'[1]Jūnijs'!K18</f>
        <v>379</v>
      </c>
      <c r="O18" s="50" t="str">
        <f t="shared" si="0"/>
        <v>     Uzturēšanas izdevumi</v>
      </c>
      <c r="P18" s="50">
        <f t="shared" si="1"/>
        <v>2958</v>
      </c>
      <c r="Q18" s="51">
        <v>2579</v>
      </c>
      <c r="R18" s="54">
        <v>2958</v>
      </c>
      <c r="S18" s="39">
        <v>2579</v>
      </c>
      <c r="T18" s="39"/>
      <c r="U18" s="2">
        <f t="shared" si="4"/>
        <v>379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</row>
    <row r="19" spans="1:104" s="65" customFormat="1" ht="12.75" customHeight="1">
      <c r="A19" s="62" t="s">
        <v>78</v>
      </c>
      <c r="B19" s="71">
        <v>1114435</v>
      </c>
      <c r="C19" s="71">
        <v>679435</v>
      </c>
      <c r="D19" s="71">
        <v>656110.54</v>
      </c>
      <c r="E19" s="63">
        <f t="shared" si="2"/>
        <v>0.5887382754489944</v>
      </c>
      <c r="F19" s="63">
        <f t="shared" si="3"/>
        <v>0.9656708000029437</v>
      </c>
      <c r="G19" s="71">
        <f>D19-'[1]Jūnijs'!D19</f>
        <v>135161.00000000006</v>
      </c>
      <c r="H19" s="62" t="s">
        <v>78</v>
      </c>
      <c r="I19" s="71">
        <f>ROUND(B19/1000,0)</f>
        <v>1114</v>
      </c>
      <c r="J19" s="71">
        <f t="shared" si="8"/>
        <v>679</v>
      </c>
      <c r="K19" s="71">
        <f>ROUND(D19/1000,0)</f>
        <v>656</v>
      </c>
      <c r="L19" s="64">
        <f t="shared" si="5"/>
        <v>0.5888689407540395</v>
      </c>
      <c r="M19" s="64">
        <f t="shared" si="6"/>
        <v>0.9661266568483063</v>
      </c>
      <c r="N19" s="71">
        <f>K19-'[1]Jūnijs'!K19</f>
        <v>135</v>
      </c>
      <c r="O19" s="50" t="str">
        <f t="shared" si="0"/>
        <v>     Izdevumi kapitālieguldījumiem</v>
      </c>
      <c r="P19" s="50">
        <f t="shared" si="1"/>
        <v>656</v>
      </c>
      <c r="Q19" s="51">
        <v>521</v>
      </c>
      <c r="R19" s="54">
        <v>656</v>
      </c>
      <c r="S19" s="39">
        <v>521</v>
      </c>
      <c r="T19" s="39"/>
      <c r="U19" s="2">
        <f t="shared" si="4"/>
        <v>135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</row>
    <row r="20" spans="1:104" s="70" customFormat="1" ht="12.75" customHeight="1">
      <c r="A20" s="73" t="s">
        <v>82</v>
      </c>
      <c r="B20" s="68">
        <f>SUM(B21:B22)</f>
        <v>3229056</v>
      </c>
      <c r="C20" s="68">
        <f>SUM(C21:C22)</f>
        <v>1905614</v>
      </c>
      <c r="D20" s="68">
        <f>SUM(D21:D22)</f>
        <v>1737037.3599999999</v>
      </c>
      <c r="E20" s="57">
        <f t="shared" si="2"/>
        <v>0.5379396826812541</v>
      </c>
      <c r="F20" s="57">
        <f t="shared" si="3"/>
        <v>0.9115368379955227</v>
      </c>
      <c r="G20" s="68">
        <f>SUM(G21:G22)</f>
        <v>266144.25999999995</v>
      </c>
      <c r="H20" s="74" t="s">
        <v>82</v>
      </c>
      <c r="I20" s="68">
        <f>SUM(I21:I22)</f>
        <v>3229</v>
      </c>
      <c r="J20" s="68">
        <f>SUM(J21:J22)</f>
        <v>1906</v>
      </c>
      <c r="K20" s="68">
        <f>SUM(K21:K22)</f>
        <v>1737</v>
      </c>
      <c r="L20" s="59">
        <f t="shared" si="5"/>
        <v>0.5379374419324868</v>
      </c>
      <c r="M20" s="59">
        <f t="shared" si="6"/>
        <v>0.9113326337880377</v>
      </c>
      <c r="N20" s="68">
        <f>SUM(N21:N22)</f>
        <v>266</v>
      </c>
      <c r="O20" s="51" t="str">
        <f t="shared" si="0"/>
        <v>Ministru Kabinets</v>
      </c>
      <c r="P20" s="51">
        <f t="shared" si="1"/>
        <v>1737</v>
      </c>
      <c r="Q20" s="51">
        <v>1471</v>
      </c>
      <c r="R20" s="60">
        <v>1737</v>
      </c>
      <c r="S20" s="2">
        <v>1471</v>
      </c>
      <c r="T20" s="2"/>
      <c r="U20" s="2">
        <f t="shared" si="4"/>
        <v>266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65" customFormat="1" ht="12.75" customHeight="1">
      <c r="A21" s="62" t="s">
        <v>77</v>
      </c>
      <c r="B21" s="71">
        <v>3092876</v>
      </c>
      <c r="C21" s="71">
        <v>1827094</v>
      </c>
      <c r="D21" s="71">
        <v>1710403.15</v>
      </c>
      <c r="E21" s="63">
        <f t="shared" si="2"/>
        <v>0.5530138130335649</v>
      </c>
      <c r="F21" s="63">
        <f t="shared" si="3"/>
        <v>0.9361330889379528</v>
      </c>
      <c r="G21" s="75">
        <f>D21-'[1]Jūnijs'!D21</f>
        <v>263748.94999999995</v>
      </c>
      <c r="H21" s="62" t="s">
        <v>77</v>
      </c>
      <c r="I21" s="71">
        <f>ROUND(B21/1000,0)</f>
        <v>3093</v>
      </c>
      <c r="J21" s="71">
        <f aca="true" t="shared" si="9" ref="I21:K22">ROUND(C21/1000,0)</f>
        <v>1827</v>
      </c>
      <c r="K21" s="71">
        <f>ROUND(D21/1000,0)</f>
        <v>1710</v>
      </c>
      <c r="L21" s="64">
        <f t="shared" si="5"/>
        <v>0.5528612997090203</v>
      </c>
      <c r="M21" s="64">
        <f t="shared" si="6"/>
        <v>0.9359605911330049</v>
      </c>
      <c r="N21" s="71">
        <f>K21-'[1]Jūnijs'!K21+1</f>
        <v>264</v>
      </c>
      <c r="O21" s="50" t="str">
        <f t="shared" si="0"/>
        <v>     Uzturēšanas izdevumi</v>
      </c>
      <c r="P21" s="50">
        <f t="shared" si="1"/>
        <v>1710</v>
      </c>
      <c r="Q21" s="51">
        <v>1447</v>
      </c>
      <c r="R21" s="54">
        <v>1710</v>
      </c>
      <c r="S21" s="39">
        <v>1447</v>
      </c>
      <c r="T21" s="39"/>
      <c r="U21" s="2">
        <f t="shared" si="4"/>
        <v>263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</row>
    <row r="22" spans="1:104" s="65" customFormat="1" ht="12.75" customHeight="1">
      <c r="A22" s="62" t="s">
        <v>78</v>
      </c>
      <c r="B22" s="71">
        <v>136180</v>
      </c>
      <c r="C22" s="71">
        <v>78520</v>
      </c>
      <c r="D22" s="71">
        <v>26634.21</v>
      </c>
      <c r="E22" s="63">
        <f t="shared" si="2"/>
        <v>0.19558092230870905</v>
      </c>
      <c r="F22" s="63">
        <f t="shared" si="3"/>
        <v>0.3392028782475802</v>
      </c>
      <c r="G22" s="75">
        <f>D22-'[1]Jūnijs'!D22</f>
        <v>2395.3099999999977</v>
      </c>
      <c r="H22" s="62" t="s">
        <v>78</v>
      </c>
      <c r="I22" s="71">
        <f t="shared" si="9"/>
        <v>136</v>
      </c>
      <c r="J22" s="71">
        <f t="shared" si="9"/>
        <v>79</v>
      </c>
      <c r="K22" s="71">
        <f t="shared" si="9"/>
        <v>27</v>
      </c>
      <c r="L22" s="64">
        <f t="shared" si="5"/>
        <v>0.19852941176470587</v>
      </c>
      <c r="M22" s="64">
        <f t="shared" si="6"/>
        <v>0.34177215189873417</v>
      </c>
      <c r="N22" s="71">
        <f>K22-'[1]Jūnijs'!K22-1</f>
        <v>2</v>
      </c>
      <c r="O22" s="50" t="str">
        <f t="shared" si="0"/>
        <v>     Izdevumi kapitālieguldījumiem</v>
      </c>
      <c r="P22" s="50">
        <f t="shared" si="1"/>
        <v>27</v>
      </c>
      <c r="Q22" s="51">
        <v>24</v>
      </c>
      <c r="R22" s="54">
        <v>27</v>
      </c>
      <c r="S22" s="39">
        <v>24</v>
      </c>
      <c r="T22" s="39"/>
      <c r="U22" s="2">
        <f t="shared" si="4"/>
        <v>3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</row>
    <row r="23" spans="1:104" s="70" customFormat="1" ht="12.75" customHeight="1">
      <c r="A23" s="73" t="s">
        <v>83</v>
      </c>
      <c r="B23" s="68">
        <f>SUM(B24:B25)</f>
        <v>43048485</v>
      </c>
      <c r="C23" s="68">
        <f>SUM(C24:C25)</f>
        <v>23405233</v>
      </c>
      <c r="D23" s="68">
        <f>SUM(D24:D25)</f>
        <v>21515850.349999998</v>
      </c>
      <c r="E23" s="57">
        <f t="shared" si="2"/>
        <v>0.49980505353440424</v>
      </c>
      <c r="F23" s="57">
        <f t="shared" si="3"/>
        <v>0.9192752043955298</v>
      </c>
      <c r="G23" s="68">
        <f>SUM(G24:G25)</f>
        <v>3214658.8599999975</v>
      </c>
      <c r="H23" s="74" t="s">
        <v>83</v>
      </c>
      <c r="I23" s="68">
        <f>SUM(I24:I25)</f>
        <v>43048</v>
      </c>
      <c r="J23" s="68">
        <f>SUM(J24:J25)</f>
        <v>23405</v>
      </c>
      <c r="K23" s="68">
        <f>SUM(K24:K25)</f>
        <v>21516</v>
      </c>
      <c r="L23" s="59">
        <f t="shared" si="5"/>
        <v>0.4998141609366289</v>
      </c>
      <c r="M23" s="59">
        <f t="shared" si="6"/>
        <v>0.9192907498397779</v>
      </c>
      <c r="N23" s="68">
        <f>SUM(N24:N25)</f>
        <v>3215</v>
      </c>
      <c r="O23" s="51" t="str">
        <f t="shared" si="0"/>
        <v>Aizsardzības ministrija</v>
      </c>
      <c r="P23" s="51">
        <f t="shared" si="1"/>
        <v>21516</v>
      </c>
      <c r="Q23" s="51">
        <v>18301</v>
      </c>
      <c r="R23" s="60">
        <v>21516</v>
      </c>
      <c r="S23" s="2">
        <v>18301</v>
      </c>
      <c r="T23" s="2"/>
      <c r="U23" s="2">
        <f t="shared" si="4"/>
        <v>3215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65" customFormat="1" ht="12.75" customHeight="1">
      <c r="A24" s="62" t="s">
        <v>77</v>
      </c>
      <c r="B24" s="71">
        <v>38658304</v>
      </c>
      <c r="C24" s="71">
        <v>21816196</v>
      </c>
      <c r="D24" s="71">
        <v>20690815.79</v>
      </c>
      <c r="E24" s="63">
        <f t="shared" si="2"/>
        <v>0.5352230607426544</v>
      </c>
      <c r="F24" s="63">
        <f t="shared" si="3"/>
        <v>0.9484153786480466</v>
      </c>
      <c r="G24" s="71">
        <f>D24-'[1]Jūnijs'!D24</f>
        <v>3009014.8699999973</v>
      </c>
      <c r="H24" s="62" t="s">
        <v>77</v>
      </c>
      <c r="I24" s="71">
        <f aca="true" t="shared" si="10" ref="I24:K25">ROUND(B24/1000,0)</f>
        <v>38658</v>
      </c>
      <c r="J24" s="71">
        <f>ROUND(C24/1000,0)</f>
        <v>21816</v>
      </c>
      <c r="K24" s="71">
        <f t="shared" si="10"/>
        <v>20691</v>
      </c>
      <c r="L24" s="64">
        <f t="shared" si="5"/>
        <v>0.5352320347664131</v>
      </c>
      <c r="M24" s="64">
        <f t="shared" si="6"/>
        <v>0.9484323432343235</v>
      </c>
      <c r="N24" s="71">
        <f>K24-'[1]Jūnijs'!K24</f>
        <v>3009</v>
      </c>
      <c r="O24" s="50" t="str">
        <f t="shared" si="0"/>
        <v>     Uzturēšanas izdevumi</v>
      </c>
      <c r="P24" s="50">
        <f t="shared" si="1"/>
        <v>20691</v>
      </c>
      <c r="Q24" s="51">
        <v>17682</v>
      </c>
      <c r="R24" s="54">
        <v>20691</v>
      </c>
      <c r="S24" s="39">
        <v>17682</v>
      </c>
      <c r="T24" s="39"/>
      <c r="U24" s="2">
        <f t="shared" si="4"/>
        <v>3009</v>
      </c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65" customFormat="1" ht="12.75" customHeight="1">
      <c r="A25" s="62" t="s">
        <v>78</v>
      </c>
      <c r="B25" s="71">
        <v>4390181</v>
      </c>
      <c r="C25" s="71">
        <v>1589037</v>
      </c>
      <c r="D25" s="71">
        <v>825034.56</v>
      </c>
      <c r="E25" s="63">
        <f t="shared" si="2"/>
        <v>0.18792723124627436</v>
      </c>
      <c r="F25" s="63">
        <f t="shared" si="3"/>
        <v>0.5192041217416586</v>
      </c>
      <c r="G25" s="71">
        <f>D25-'[1]Jūnijs'!D25</f>
        <v>205643.9900000001</v>
      </c>
      <c r="H25" s="62" t="s">
        <v>78</v>
      </c>
      <c r="I25" s="71">
        <f t="shared" si="10"/>
        <v>4390</v>
      </c>
      <c r="J25" s="71">
        <f t="shared" si="10"/>
        <v>1589</v>
      </c>
      <c r="K25" s="71">
        <f t="shared" si="10"/>
        <v>825</v>
      </c>
      <c r="L25" s="64">
        <f t="shared" si="5"/>
        <v>0.18792710706150342</v>
      </c>
      <c r="M25" s="64">
        <f t="shared" si="6"/>
        <v>0.5191944619257395</v>
      </c>
      <c r="N25" s="71">
        <f>K25-'[1]Jūnijs'!K25</f>
        <v>206</v>
      </c>
      <c r="O25" s="50" t="str">
        <f t="shared" si="0"/>
        <v>     Izdevumi kapitālieguldījumiem</v>
      </c>
      <c r="P25" s="50">
        <f t="shared" si="1"/>
        <v>825</v>
      </c>
      <c r="Q25" s="51">
        <v>619</v>
      </c>
      <c r="R25" s="54">
        <v>825</v>
      </c>
      <c r="S25" s="39">
        <v>619</v>
      </c>
      <c r="T25" s="39"/>
      <c r="U25" s="2">
        <f t="shared" si="4"/>
        <v>206</v>
      </c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s="70" customFormat="1" ht="12.75" customHeight="1">
      <c r="A26" s="73" t="s">
        <v>84</v>
      </c>
      <c r="B26" s="68">
        <f>SUM(B27:B28)</f>
        <v>10927250</v>
      </c>
      <c r="C26" s="68">
        <f>SUM(C27:C28)</f>
        <v>6058386</v>
      </c>
      <c r="D26" s="68">
        <f>SUM(D27:D28)</f>
        <v>5801881.16</v>
      </c>
      <c r="E26" s="57">
        <f t="shared" si="2"/>
        <v>0.5309552870118283</v>
      </c>
      <c r="F26" s="57">
        <f t="shared" si="3"/>
        <v>0.9576611922713409</v>
      </c>
      <c r="G26" s="68">
        <f>SUM(G27:G28)</f>
        <v>727082.1100000002</v>
      </c>
      <c r="H26" s="74" t="s">
        <v>84</v>
      </c>
      <c r="I26" s="68">
        <f>SUM(I27:I28)</f>
        <v>10927</v>
      </c>
      <c r="J26" s="68">
        <f>SUM(J27:J28)</f>
        <v>6058</v>
      </c>
      <c r="K26" s="68">
        <f>SUM(K27:K28)</f>
        <v>5802</v>
      </c>
      <c r="L26" s="59">
        <f t="shared" si="5"/>
        <v>0.5309783106067539</v>
      </c>
      <c r="M26" s="59">
        <f t="shared" si="6"/>
        <v>0.9577418289864642</v>
      </c>
      <c r="N26" s="68">
        <f>SUM(N27:N28)</f>
        <v>727</v>
      </c>
      <c r="O26" s="51" t="str">
        <f t="shared" si="0"/>
        <v>Ārlietu ministrija</v>
      </c>
      <c r="P26" s="51">
        <f t="shared" si="1"/>
        <v>5802</v>
      </c>
      <c r="Q26" s="51">
        <v>5075</v>
      </c>
      <c r="R26" s="60">
        <v>5802</v>
      </c>
      <c r="S26" s="2">
        <v>5075</v>
      </c>
      <c r="T26" s="2"/>
      <c r="U26" s="2">
        <f t="shared" si="4"/>
        <v>727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65" customFormat="1" ht="12.75" customHeight="1">
      <c r="A27" s="62" t="s">
        <v>77</v>
      </c>
      <c r="B27" s="71">
        <v>10619950</v>
      </c>
      <c r="C27" s="71">
        <v>5812086</v>
      </c>
      <c r="D27" s="71">
        <v>5596811.86</v>
      </c>
      <c r="E27" s="63">
        <f t="shared" si="2"/>
        <v>0.5270092476894901</v>
      </c>
      <c r="F27" s="63">
        <f t="shared" si="3"/>
        <v>0.9629609506810464</v>
      </c>
      <c r="G27" s="71">
        <f>D27-'[1]Jūnijs'!D27</f>
        <v>713071.9900000002</v>
      </c>
      <c r="H27" s="62" t="s">
        <v>77</v>
      </c>
      <c r="I27" s="71">
        <f aca="true" t="shared" si="11" ref="I27:K28">ROUND(B27/1000,0)</f>
        <v>10620</v>
      </c>
      <c r="J27" s="71">
        <f>ROUND(C27/1000,0)</f>
        <v>5812</v>
      </c>
      <c r="K27" s="71">
        <f t="shared" si="11"/>
        <v>5597</v>
      </c>
      <c r="L27" s="64">
        <f t="shared" si="5"/>
        <v>0.5270244821092279</v>
      </c>
      <c r="M27" s="64">
        <f t="shared" si="6"/>
        <v>0.9630075705437027</v>
      </c>
      <c r="N27" s="71">
        <f>K27-'[1]Jūnijs'!K27</f>
        <v>713</v>
      </c>
      <c r="O27" s="50" t="str">
        <f t="shared" si="0"/>
        <v>     Uzturēšanas izdevumi</v>
      </c>
      <c r="P27" s="50">
        <f t="shared" si="1"/>
        <v>5597</v>
      </c>
      <c r="Q27" s="51">
        <v>4884</v>
      </c>
      <c r="R27" s="54">
        <v>5597</v>
      </c>
      <c r="S27" s="39">
        <v>4884</v>
      </c>
      <c r="T27" s="39"/>
      <c r="U27" s="2">
        <f t="shared" si="4"/>
        <v>713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</row>
    <row r="28" spans="1:104" s="65" customFormat="1" ht="12.75" customHeight="1">
      <c r="A28" s="62" t="s">
        <v>78</v>
      </c>
      <c r="B28" s="71">
        <v>307300</v>
      </c>
      <c r="C28" s="71">
        <v>246300</v>
      </c>
      <c r="D28" s="71">
        <v>205069.3</v>
      </c>
      <c r="E28" s="63">
        <f t="shared" si="2"/>
        <v>0.6673260657338106</v>
      </c>
      <c r="F28" s="63">
        <f t="shared" si="3"/>
        <v>0.8325996751928542</v>
      </c>
      <c r="G28" s="71">
        <f>D28-'[1]Jūnijs'!D28</f>
        <v>14010.119999999995</v>
      </c>
      <c r="H28" s="62" t="s">
        <v>78</v>
      </c>
      <c r="I28" s="71">
        <f t="shared" si="11"/>
        <v>307</v>
      </c>
      <c r="J28" s="71">
        <f t="shared" si="11"/>
        <v>246</v>
      </c>
      <c r="K28" s="71">
        <f t="shared" si="11"/>
        <v>205</v>
      </c>
      <c r="L28" s="64">
        <f t="shared" si="5"/>
        <v>0.6677524429967426</v>
      </c>
      <c r="M28" s="64">
        <f t="shared" si="6"/>
        <v>0.8333333333333334</v>
      </c>
      <c r="N28" s="71">
        <f>K28-'[1]Jūnijs'!K28</f>
        <v>14</v>
      </c>
      <c r="O28" s="50" t="str">
        <f t="shared" si="0"/>
        <v>     Izdevumi kapitālieguldījumiem</v>
      </c>
      <c r="P28" s="50">
        <f t="shared" si="1"/>
        <v>205</v>
      </c>
      <c r="Q28" s="51">
        <v>191</v>
      </c>
      <c r="R28" s="54">
        <v>205</v>
      </c>
      <c r="S28" s="39">
        <v>191</v>
      </c>
      <c r="T28" s="39"/>
      <c r="U28" s="2">
        <f t="shared" si="4"/>
        <v>14</v>
      </c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</row>
    <row r="29" spans="1:104" s="70" customFormat="1" ht="12.75" customHeight="1">
      <c r="A29" s="73" t="s">
        <v>85</v>
      </c>
      <c r="B29" s="68">
        <f>SUM(B30:B31)</f>
        <v>8644865</v>
      </c>
      <c r="C29" s="68">
        <f>SUM(C30:C31)</f>
        <v>6076042</v>
      </c>
      <c r="D29" s="68">
        <f>SUM(D30:D31)</f>
        <v>3295751.5599999996</v>
      </c>
      <c r="E29" s="57">
        <f t="shared" si="2"/>
        <v>0.38123805981932624</v>
      </c>
      <c r="F29" s="57">
        <f>IF(ISERROR(D29/C29)," ",(D29/C29))</f>
        <v>0.5424175079764095</v>
      </c>
      <c r="G29" s="68">
        <f>SUM(G30:G31)</f>
        <v>561043.5199999997</v>
      </c>
      <c r="H29" s="74" t="s">
        <v>85</v>
      </c>
      <c r="I29" s="68">
        <f>SUM(I30:I31)</f>
        <v>8645</v>
      </c>
      <c r="J29" s="76">
        <f>SUM(J30:J31)</f>
        <v>6076</v>
      </c>
      <c r="K29" s="68">
        <f>SUM(K30:K31)</f>
        <v>3296</v>
      </c>
      <c r="L29" s="59">
        <f t="shared" si="5"/>
        <v>0.38126084441873914</v>
      </c>
      <c r="M29" s="59">
        <f t="shared" si="6"/>
        <v>0.5424621461487821</v>
      </c>
      <c r="N29" s="68">
        <f>SUM(N30:N31)</f>
        <v>562</v>
      </c>
      <c r="O29" s="51" t="str">
        <f t="shared" si="0"/>
        <v>Ekonomikas ministrija</v>
      </c>
      <c r="P29" s="51">
        <f t="shared" si="1"/>
        <v>3296</v>
      </c>
      <c r="Q29" s="51">
        <v>2735</v>
      </c>
      <c r="R29" s="60">
        <v>3296</v>
      </c>
      <c r="S29" s="2">
        <v>2735</v>
      </c>
      <c r="T29" s="2"/>
      <c r="U29" s="2">
        <f t="shared" si="4"/>
        <v>561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s="65" customFormat="1" ht="12.75" customHeight="1">
      <c r="A30" s="62" t="s">
        <v>77</v>
      </c>
      <c r="B30" s="71">
        <v>6804899</v>
      </c>
      <c r="C30" s="71">
        <v>4351592</v>
      </c>
      <c r="D30" s="71">
        <v>3209366.3</v>
      </c>
      <c r="E30" s="63">
        <f t="shared" si="2"/>
        <v>0.4716258536680706</v>
      </c>
      <c r="F30" s="63">
        <f>IF(ISERROR(D30/C30)," ",(D30/C30))</f>
        <v>0.7375154426242165</v>
      </c>
      <c r="G30" s="71">
        <f>D30-'[1]Jūnijs'!D30</f>
        <v>553159.3699999996</v>
      </c>
      <c r="H30" s="62" t="s">
        <v>77</v>
      </c>
      <c r="I30" s="71">
        <f>ROUND(B30/1000,0)</f>
        <v>6805</v>
      </c>
      <c r="J30" s="71">
        <f>ROUND(C30/1000,0)</f>
        <v>4352</v>
      </c>
      <c r="K30" s="75">
        <f>ROUND(D30/1000,0)+1</f>
        <v>3210</v>
      </c>
      <c r="L30" s="64">
        <f t="shared" si="5"/>
        <v>0.47171197648787655</v>
      </c>
      <c r="M30" s="64">
        <f t="shared" si="6"/>
        <v>0.7375919117647058</v>
      </c>
      <c r="N30" s="71">
        <f>K30-'[1]Jūnijs'!K30</f>
        <v>554</v>
      </c>
      <c r="O30" s="50" t="str">
        <f t="shared" si="0"/>
        <v>     Uzturēšanas izdevumi</v>
      </c>
      <c r="P30" s="50">
        <f t="shared" si="1"/>
        <v>3210</v>
      </c>
      <c r="Q30" s="51">
        <v>2656</v>
      </c>
      <c r="R30" s="54">
        <v>3210</v>
      </c>
      <c r="S30" s="39">
        <v>2656</v>
      </c>
      <c r="T30" s="39"/>
      <c r="U30" s="2">
        <f t="shared" si="4"/>
        <v>554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104" s="65" customFormat="1" ht="12.75" customHeight="1">
      <c r="A31" s="62" t="s">
        <v>78</v>
      </c>
      <c r="B31" s="71">
        <v>1839966</v>
      </c>
      <c r="C31" s="71">
        <v>1724450</v>
      </c>
      <c r="D31" s="71">
        <v>86385.26</v>
      </c>
      <c r="E31" s="63">
        <f t="shared" si="2"/>
        <v>0.04694937841242718</v>
      </c>
      <c r="F31" s="63">
        <f>IF(ISERROR(D31/C31)," ",(D31/C31))</f>
        <v>0.0500943837165473</v>
      </c>
      <c r="G31" s="71">
        <f>D31-'[1]Jūnijs'!D31</f>
        <v>7884.149999999994</v>
      </c>
      <c r="H31" s="62" t="s">
        <v>78</v>
      </c>
      <c r="I31" s="71">
        <f>ROUND(B31/1000,0)</f>
        <v>1840</v>
      </c>
      <c r="J31" s="71">
        <f>ROUND(C31/1000,0)</f>
        <v>1724</v>
      </c>
      <c r="K31" s="71">
        <f>ROUND(D31/1000,0)</f>
        <v>86</v>
      </c>
      <c r="L31" s="64">
        <f t="shared" si="5"/>
        <v>0.04673913043478261</v>
      </c>
      <c r="M31" s="64">
        <f t="shared" si="6"/>
        <v>0.04988399071925754</v>
      </c>
      <c r="N31" s="71">
        <f>K31-'[1]Jūnijs'!K31+1</f>
        <v>8</v>
      </c>
      <c r="O31" s="50" t="str">
        <f t="shared" si="0"/>
        <v>     Izdevumi kapitālieguldījumiem</v>
      </c>
      <c r="P31" s="50">
        <f t="shared" si="1"/>
        <v>86</v>
      </c>
      <c r="Q31" s="51">
        <v>79</v>
      </c>
      <c r="R31" s="54">
        <v>86</v>
      </c>
      <c r="S31" s="39">
        <v>79</v>
      </c>
      <c r="T31" s="39"/>
      <c r="U31" s="2">
        <f t="shared" si="4"/>
        <v>7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</row>
    <row r="32" spans="1:104" s="70" customFormat="1" ht="12.75" customHeight="1">
      <c r="A32" s="73" t="s">
        <v>86</v>
      </c>
      <c r="B32" s="68">
        <f>SUM(B33:B34)</f>
        <v>94170225</v>
      </c>
      <c r="C32" s="68">
        <f>SUM(C33:C34)</f>
        <v>59842953</v>
      </c>
      <c r="D32" s="68">
        <f>SUM(D33:D34)</f>
        <v>56361749.05</v>
      </c>
      <c r="E32" s="57">
        <f t="shared" si="2"/>
        <v>0.5985092320847699</v>
      </c>
      <c r="F32" s="57">
        <f t="shared" si="3"/>
        <v>0.9418276710041364</v>
      </c>
      <c r="G32" s="68">
        <f>SUM(G33:G34)</f>
        <v>6333645.17</v>
      </c>
      <c r="H32" s="74" t="s">
        <v>86</v>
      </c>
      <c r="I32" s="68">
        <f>SUM(I33:I34)</f>
        <v>94171</v>
      </c>
      <c r="J32" s="68">
        <f>SUM(J33:J34)</f>
        <v>59843</v>
      </c>
      <c r="K32" s="68">
        <f>SUM(K33:K34)</f>
        <v>56361</v>
      </c>
      <c r="L32" s="59">
        <f t="shared" si="5"/>
        <v>0.5984963523802445</v>
      </c>
      <c r="M32" s="59">
        <f t="shared" si="6"/>
        <v>0.9418144143843056</v>
      </c>
      <c r="N32" s="68">
        <f>SUM(N33:N34)</f>
        <v>6333</v>
      </c>
      <c r="O32" s="51" t="str">
        <f t="shared" si="0"/>
        <v>Finansu ministrija</v>
      </c>
      <c r="P32" s="51">
        <f t="shared" si="1"/>
        <v>56361</v>
      </c>
      <c r="Q32" s="51">
        <v>50028</v>
      </c>
      <c r="R32" s="60">
        <v>56361</v>
      </c>
      <c r="S32" s="2">
        <v>50028</v>
      </c>
      <c r="T32" s="2"/>
      <c r="U32" s="2">
        <f t="shared" si="4"/>
        <v>6333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s="65" customFormat="1" ht="12.75" customHeight="1">
      <c r="A33" s="62" t="s">
        <v>77</v>
      </c>
      <c r="B33" s="71">
        <v>85269146</v>
      </c>
      <c r="C33" s="71">
        <v>53588163</v>
      </c>
      <c r="D33" s="71">
        <v>51197200.29</v>
      </c>
      <c r="E33" s="63">
        <f t="shared" si="2"/>
        <v>0.6004188231227272</v>
      </c>
      <c r="F33" s="63">
        <f t="shared" si="3"/>
        <v>0.9553826334744857</v>
      </c>
      <c r="G33" s="71">
        <f>D33-'[1]Jūnijs'!D33</f>
        <v>5846880.18</v>
      </c>
      <c r="H33" s="62" t="s">
        <v>77</v>
      </c>
      <c r="I33" s="71">
        <f>ROUND(B33/1000,0)+1</f>
        <v>85270</v>
      </c>
      <c r="J33" s="71">
        <f>ROUND(C33/1000,0)</f>
        <v>53588</v>
      </c>
      <c r="K33" s="71">
        <f>ROUND(D33/1000,0)</f>
        <v>51197</v>
      </c>
      <c r="L33" s="64">
        <f t="shared" si="5"/>
        <v>0.600410460888941</v>
      </c>
      <c r="M33" s="64">
        <f t="shared" si="6"/>
        <v>0.9553818018959469</v>
      </c>
      <c r="N33" s="71">
        <f>K33-'[1]Jūnijs'!K33</f>
        <v>5847</v>
      </c>
      <c r="O33" s="50" t="str">
        <f t="shared" si="0"/>
        <v>     Uzturēšanas izdevumi</v>
      </c>
      <c r="P33" s="50">
        <f t="shared" si="1"/>
        <v>51197</v>
      </c>
      <c r="Q33" s="51">
        <v>45350</v>
      </c>
      <c r="R33" s="54">
        <v>51197</v>
      </c>
      <c r="S33" s="39">
        <v>45350</v>
      </c>
      <c r="T33" s="39"/>
      <c r="U33" s="2">
        <f t="shared" si="4"/>
        <v>5847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104" s="65" customFormat="1" ht="12.75" customHeight="1">
      <c r="A34" s="62" t="s">
        <v>78</v>
      </c>
      <c r="B34" s="71">
        <v>8901079</v>
      </c>
      <c r="C34" s="71">
        <v>6254790</v>
      </c>
      <c r="D34" s="71">
        <v>5164548.76</v>
      </c>
      <c r="E34" s="63">
        <f t="shared" si="2"/>
        <v>0.5802160344830104</v>
      </c>
      <c r="F34" s="63">
        <f t="shared" si="3"/>
        <v>0.8256949889604607</v>
      </c>
      <c r="G34" s="71">
        <f>D34-'[1]Jūnijs'!D34</f>
        <v>486764.9900000002</v>
      </c>
      <c r="H34" s="62" t="s">
        <v>78</v>
      </c>
      <c r="I34" s="71">
        <f>ROUND(B34/1000,0)</f>
        <v>8901</v>
      </c>
      <c r="J34" s="71">
        <f>ROUND(C34/1000,0)</f>
        <v>6255</v>
      </c>
      <c r="K34" s="71">
        <f>ROUND(D34/1000,0)-1</f>
        <v>5164</v>
      </c>
      <c r="L34" s="64">
        <f t="shared" si="5"/>
        <v>0.5801595326367824</v>
      </c>
      <c r="M34" s="64">
        <f t="shared" si="6"/>
        <v>0.8255795363709033</v>
      </c>
      <c r="N34" s="71">
        <f>K34-'[1]Jūnijs'!K34</f>
        <v>486</v>
      </c>
      <c r="O34" s="50" t="str">
        <f t="shared" si="0"/>
        <v>     Izdevumi kapitālieguldījumiem</v>
      </c>
      <c r="P34" s="50">
        <f t="shared" si="1"/>
        <v>5164</v>
      </c>
      <c r="Q34" s="51">
        <v>4678</v>
      </c>
      <c r="R34" s="54">
        <v>5164</v>
      </c>
      <c r="S34" s="39">
        <v>4678</v>
      </c>
      <c r="T34" s="39"/>
      <c r="U34" s="2">
        <f t="shared" si="4"/>
        <v>486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</row>
    <row r="35" spans="1:104" s="70" customFormat="1" ht="12.75" customHeight="1">
      <c r="A35" s="73" t="s">
        <v>87</v>
      </c>
      <c r="B35" s="68">
        <f>SUM(B36:B37)</f>
        <v>80356226</v>
      </c>
      <c r="C35" s="68">
        <f>SUM(C36:C37)</f>
        <v>47532025</v>
      </c>
      <c r="D35" s="68">
        <f>SUM(D36:D37)</f>
        <v>46122441.05</v>
      </c>
      <c r="E35" s="57">
        <f t="shared" si="2"/>
        <v>0.573974704212714</v>
      </c>
      <c r="F35" s="57">
        <f t="shared" si="3"/>
        <v>0.9703445424427004</v>
      </c>
      <c r="G35" s="68">
        <f>SUM(G36:G37)</f>
        <v>6757970.090000004</v>
      </c>
      <c r="H35" s="74" t="s">
        <v>87</v>
      </c>
      <c r="I35" s="68">
        <f>SUM(I36:I37)</f>
        <v>80356</v>
      </c>
      <c r="J35" s="76">
        <f>SUM(J36:J37)</f>
        <v>47532</v>
      </c>
      <c r="K35" s="68">
        <f>SUM(K36:K37)</f>
        <v>46122</v>
      </c>
      <c r="L35" s="59">
        <f t="shared" si="5"/>
        <v>0.5739708298073573</v>
      </c>
      <c r="M35" s="59">
        <f t="shared" si="6"/>
        <v>0.9703357737944963</v>
      </c>
      <c r="N35" s="68">
        <f>SUM(N36:N37)</f>
        <v>6757</v>
      </c>
      <c r="O35" s="51" t="str">
        <f t="shared" si="0"/>
        <v>Iekšlietu ministrija</v>
      </c>
      <c r="P35" s="51">
        <f t="shared" si="1"/>
        <v>46122</v>
      </c>
      <c r="Q35" s="51">
        <v>39365</v>
      </c>
      <c r="R35" s="60">
        <v>46122</v>
      </c>
      <c r="S35" s="2">
        <v>39365</v>
      </c>
      <c r="T35" s="2"/>
      <c r="U35" s="2">
        <f t="shared" si="4"/>
        <v>6757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s="65" customFormat="1" ht="12.75" customHeight="1">
      <c r="A36" s="62" t="s">
        <v>77</v>
      </c>
      <c r="B36" s="71">
        <v>71471397</v>
      </c>
      <c r="C36" s="71">
        <v>42577963</v>
      </c>
      <c r="D36" s="71">
        <v>41682548.78</v>
      </c>
      <c r="E36" s="63">
        <f t="shared" si="2"/>
        <v>0.5832060170868075</v>
      </c>
      <c r="F36" s="63">
        <f t="shared" si="3"/>
        <v>0.9789700080297407</v>
      </c>
      <c r="G36" s="75">
        <f>D36-'[1]Jūnijs'!D36</f>
        <v>5816627.0500000045</v>
      </c>
      <c r="H36" s="62" t="s">
        <v>77</v>
      </c>
      <c r="I36" s="71">
        <f>ROUND(B36/1000,0)</f>
        <v>71471</v>
      </c>
      <c r="J36" s="71">
        <f>ROUND(C36/1000,0)</f>
        <v>42578</v>
      </c>
      <c r="K36" s="71">
        <f>ROUND(D36/1000,0)-1</f>
        <v>41682</v>
      </c>
      <c r="L36" s="64">
        <f t="shared" si="5"/>
        <v>0.5832015782625121</v>
      </c>
      <c r="M36" s="64">
        <f t="shared" si="6"/>
        <v>0.9789562684954671</v>
      </c>
      <c r="N36" s="71">
        <f>K36-'[1]Jūnijs'!K36</f>
        <v>5816</v>
      </c>
      <c r="O36" s="50" t="str">
        <f t="shared" si="0"/>
        <v>     Uzturēšanas izdevumi</v>
      </c>
      <c r="P36" s="50">
        <f t="shared" si="1"/>
        <v>41682</v>
      </c>
      <c r="Q36" s="51">
        <v>35866</v>
      </c>
      <c r="R36" s="54">
        <v>41682</v>
      </c>
      <c r="S36" s="39">
        <v>35866</v>
      </c>
      <c r="T36" s="39"/>
      <c r="U36" s="2">
        <f t="shared" si="4"/>
        <v>5816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104" s="65" customFormat="1" ht="12.75" customHeight="1">
      <c r="A37" s="62" t="s">
        <v>78</v>
      </c>
      <c r="B37" s="71">
        <v>8884829</v>
      </c>
      <c r="C37" s="71">
        <v>4954062</v>
      </c>
      <c r="D37" s="71">
        <v>4439892.27</v>
      </c>
      <c r="E37" s="63">
        <f t="shared" si="2"/>
        <v>0.4997161194661146</v>
      </c>
      <c r="F37" s="63">
        <f t="shared" si="3"/>
        <v>0.8962124959275842</v>
      </c>
      <c r="G37" s="71">
        <f>D37-'[1]Jūnijs'!D37</f>
        <v>941343.0399999996</v>
      </c>
      <c r="H37" s="62" t="s">
        <v>78</v>
      </c>
      <c r="I37" s="71">
        <f>ROUND(B37/1000,0)</f>
        <v>8885</v>
      </c>
      <c r="J37" s="71">
        <f>ROUND(C37/1000,0)</f>
        <v>4954</v>
      </c>
      <c r="K37" s="71">
        <f>ROUND(D37/1000,0)</f>
        <v>4440</v>
      </c>
      <c r="L37" s="64">
        <f t="shared" si="5"/>
        <v>0.49971862689926844</v>
      </c>
      <c r="M37" s="64">
        <f t="shared" si="6"/>
        <v>0.8962454582155833</v>
      </c>
      <c r="N37" s="71">
        <f>K37-'[1]Jūnijs'!K37</f>
        <v>941</v>
      </c>
      <c r="O37" s="50" t="str">
        <f t="shared" si="0"/>
        <v>     Izdevumi kapitālieguldījumiem</v>
      </c>
      <c r="P37" s="50">
        <f t="shared" si="1"/>
        <v>4440</v>
      </c>
      <c r="Q37" s="51">
        <v>3499</v>
      </c>
      <c r="R37" s="54">
        <v>4440</v>
      </c>
      <c r="S37" s="39">
        <v>3499</v>
      </c>
      <c r="T37" s="39"/>
      <c r="U37" s="2">
        <f t="shared" si="4"/>
        <v>941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1:104" s="70" customFormat="1" ht="12.75" customHeight="1">
      <c r="A38" s="67" t="s">
        <v>88</v>
      </c>
      <c r="B38" s="68">
        <f>SUM(B39:B40)</f>
        <v>76848226</v>
      </c>
      <c r="C38" s="68">
        <f>SUM(C39:C40)</f>
        <v>42646325</v>
      </c>
      <c r="D38" s="68">
        <f>SUM(D39:D40)</f>
        <v>37811016.1</v>
      </c>
      <c r="E38" s="57">
        <f t="shared" si="2"/>
        <v>0.4920219771891677</v>
      </c>
      <c r="F38" s="57">
        <f t="shared" si="3"/>
        <v>0.8866183920888846</v>
      </c>
      <c r="G38" s="68">
        <f>SUM(G39:G40)</f>
        <v>6205990.059999999</v>
      </c>
      <c r="H38" s="69" t="s">
        <v>88</v>
      </c>
      <c r="I38" s="68">
        <f>SUM(I39:I40)</f>
        <v>76848</v>
      </c>
      <c r="J38" s="68">
        <f>SUM(J39:J40)</f>
        <v>42646</v>
      </c>
      <c r="K38" s="68">
        <f>SUM(K39:K40)</f>
        <v>37811</v>
      </c>
      <c r="L38" s="59">
        <f t="shared" si="5"/>
        <v>0.4920232146575057</v>
      </c>
      <c r="M38" s="59">
        <f t="shared" si="6"/>
        <v>0.8866247713736342</v>
      </c>
      <c r="N38" s="68">
        <f>SUM(N39:N40)</f>
        <v>6206</v>
      </c>
      <c r="O38" s="51" t="str">
        <f t="shared" si="0"/>
        <v>Izglītības un zinātnes ministrija</v>
      </c>
      <c r="P38" s="51">
        <f t="shared" si="1"/>
        <v>37811</v>
      </c>
      <c r="Q38" s="51">
        <v>31605</v>
      </c>
      <c r="R38" s="60">
        <v>37811</v>
      </c>
      <c r="S38" s="2">
        <v>31605</v>
      </c>
      <c r="T38" s="2"/>
      <c r="U38" s="2">
        <f t="shared" si="4"/>
        <v>6206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s="65" customFormat="1" ht="12.75" customHeight="1">
      <c r="A39" s="62" t="s">
        <v>77</v>
      </c>
      <c r="B39" s="71">
        <v>71672045</v>
      </c>
      <c r="C39" s="71">
        <v>39875413</v>
      </c>
      <c r="D39" s="71">
        <v>35799405.22</v>
      </c>
      <c r="E39" s="63">
        <f t="shared" si="2"/>
        <v>0.49948909955059884</v>
      </c>
      <c r="F39" s="63">
        <f t="shared" si="3"/>
        <v>0.8977814278688474</v>
      </c>
      <c r="G39" s="71">
        <f>D39-'[1]Jūnijs'!D39</f>
        <v>5646450.239999998</v>
      </c>
      <c r="H39" s="62" t="s">
        <v>77</v>
      </c>
      <c r="I39" s="71">
        <f aca="true" t="shared" si="12" ref="I39:K40">ROUND(B39/1000,0)</f>
        <v>71672</v>
      </c>
      <c r="J39" s="71">
        <f>ROUND(C39/1000,0)</f>
        <v>39875</v>
      </c>
      <c r="K39" s="71">
        <f t="shared" si="12"/>
        <v>35799</v>
      </c>
      <c r="L39" s="64">
        <f t="shared" si="5"/>
        <v>0.49948375934814154</v>
      </c>
      <c r="M39" s="64">
        <f t="shared" si="6"/>
        <v>0.8977805642633229</v>
      </c>
      <c r="N39" s="71">
        <f>K39-'[1]Jūnijs'!K39</f>
        <v>5646</v>
      </c>
      <c r="O39" s="50" t="str">
        <f t="shared" si="0"/>
        <v>     Uzturēšanas izdevumi</v>
      </c>
      <c r="P39" s="50">
        <f t="shared" si="1"/>
        <v>35799</v>
      </c>
      <c r="Q39" s="51">
        <v>30153</v>
      </c>
      <c r="R39" s="54">
        <v>35799</v>
      </c>
      <c r="S39" s="39">
        <v>30153</v>
      </c>
      <c r="T39" s="39"/>
      <c r="U39" s="2">
        <f t="shared" si="4"/>
        <v>5646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104" s="65" customFormat="1" ht="12.75" customHeight="1">
      <c r="A40" s="62" t="s">
        <v>78</v>
      </c>
      <c r="B40" s="71">
        <v>5176181</v>
      </c>
      <c r="C40" s="71">
        <v>2770912</v>
      </c>
      <c r="D40" s="71">
        <v>2011610.88</v>
      </c>
      <c r="E40" s="63">
        <f t="shared" si="2"/>
        <v>0.3886283883813182</v>
      </c>
      <c r="F40" s="63">
        <f t="shared" si="3"/>
        <v>0.7259742929403749</v>
      </c>
      <c r="G40" s="71">
        <f>D40-'[1]Jūnijs'!D40</f>
        <v>559539.8199999998</v>
      </c>
      <c r="H40" s="62" t="s">
        <v>78</v>
      </c>
      <c r="I40" s="71">
        <f t="shared" si="12"/>
        <v>5176</v>
      </c>
      <c r="J40" s="71">
        <f>ROUND(C40/1000,0)</f>
        <v>2771</v>
      </c>
      <c r="K40" s="71">
        <f t="shared" si="12"/>
        <v>2012</v>
      </c>
      <c r="L40" s="64">
        <f t="shared" si="5"/>
        <v>0.38871715610510044</v>
      </c>
      <c r="M40" s="64">
        <f t="shared" si="6"/>
        <v>0.7260916636593288</v>
      </c>
      <c r="N40" s="71">
        <f>K40-'[1]Jūnijs'!K40</f>
        <v>560</v>
      </c>
      <c r="O40" s="50" t="str">
        <f t="shared" si="0"/>
        <v>     Izdevumi kapitālieguldījumiem</v>
      </c>
      <c r="P40" s="50">
        <f t="shared" si="1"/>
        <v>2012</v>
      </c>
      <c r="Q40" s="51">
        <v>1452</v>
      </c>
      <c r="R40" s="54">
        <v>2012</v>
      </c>
      <c r="S40" s="39">
        <v>1452</v>
      </c>
      <c r="T40" s="39"/>
      <c r="U40" s="2">
        <f t="shared" si="4"/>
        <v>560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</row>
    <row r="41" spans="1:21" s="2" customFormat="1" ht="12.75" customHeight="1">
      <c r="A41" s="73" t="s">
        <v>89</v>
      </c>
      <c r="B41" s="68">
        <f>SUM(B42:B43)</f>
        <v>71481894</v>
      </c>
      <c r="C41" s="68">
        <f>SUM(C42:C43)</f>
        <v>39737094</v>
      </c>
      <c r="D41" s="68">
        <f>SUM(D42:D43)</f>
        <v>29596753.63</v>
      </c>
      <c r="E41" s="57">
        <f t="shared" si="2"/>
        <v>0.4140454592599351</v>
      </c>
      <c r="F41" s="57">
        <f t="shared" si="3"/>
        <v>0.7448142440914275</v>
      </c>
      <c r="G41" s="68">
        <f>SUM(G42:G43)</f>
        <v>5253131.119999999</v>
      </c>
      <c r="H41" s="74" t="s">
        <v>89</v>
      </c>
      <c r="I41" s="68">
        <f>SUM(I42:I43)</f>
        <v>71482</v>
      </c>
      <c r="J41" s="68">
        <f>SUM(J42:J43)</f>
        <v>39737</v>
      </c>
      <c r="K41" s="68">
        <f>SUM(K42:K43)</f>
        <v>29597</v>
      </c>
      <c r="L41" s="59">
        <f t="shared" si="5"/>
        <v>0.4140482918776755</v>
      </c>
      <c r="M41" s="59">
        <f t="shared" si="6"/>
        <v>0.7448222060044795</v>
      </c>
      <c r="N41" s="68">
        <f>SUM(N42:N43)</f>
        <v>5253</v>
      </c>
      <c r="O41" s="51" t="str">
        <f t="shared" si="0"/>
        <v>Zemkopības ministrija</v>
      </c>
      <c r="P41" s="51">
        <f t="shared" si="1"/>
        <v>29597</v>
      </c>
      <c r="Q41" s="51">
        <v>24344</v>
      </c>
      <c r="R41" s="60">
        <v>29597</v>
      </c>
      <c r="S41" s="2">
        <v>24344</v>
      </c>
      <c r="U41" s="2">
        <f t="shared" si="4"/>
        <v>5253</v>
      </c>
    </row>
    <row r="42" spans="1:21" s="39" customFormat="1" ht="12.75" customHeight="1">
      <c r="A42" s="62" t="s">
        <v>77</v>
      </c>
      <c r="B42" s="71">
        <v>66762744</v>
      </c>
      <c r="C42" s="71">
        <v>36406034</v>
      </c>
      <c r="D42" s="71">
        <v>27747555.08</v>
      </c>
      <c r="E42" s="63">
        <f t="shared" si="2"/>
        <v>0.41561435940979297</v>
      </c>
      <c r="F42" s="63">
        <f t="shared" si="3"/>
        <v>0.762169125041195</v>
      </c>
      <c r="G42" s="75">
        <f>D42-'[1]Jūnijs'!D42</f>
        <v>4860933.789999999</v>
      </c>
      <c r="H42" s="62" t="s">
        <v>77</v>
      </c>
      <c r="I42" s="71">
        <f aca="true" t="shared" si="13" ref="I42:K43">ROUND(B42/1000,0)</f>
        <v>66763</v>
      </c>
      <c r="J42" s="71">
        <f t="shared" si="13"/>
        <v>36406</v>
      </c>
      <c r="K42" s="71">
        <f t="shared" si="13"/>
        <v>27748</v>
      </c>
      <c r="L42" s="64">
        <f t="shared" si="5"/>
        <v>0.41561942992376016</v>
      </c>
      <c r="M42" s="64">
        <f t="shared" si="6"/>
        <v>0.7621820579025436</v>
      </c>
      <c r="N42" s="71">
        <f>K42-'[1]Jūnijs'!K42</f>
        <v>4861</v>
      </c>
      <c r="O42" s="50" t="str">
        <f t="shared" si="0"/>
        <v>     Uzturēšanas izdevumi</v>
      </c>
      <c r="P42" s="50">
        <f t="shared" si="1"/>
        <v>27748</v>
      </c>
      <c r="Q42" s="51">
        <v>22887</v>
      </c>
      <c r="R42" s="54">
        <v>27748</v>
      </c>
      <c r="S42" s="39">
        <v>22887</v>
      </c>
      <c r="U42" s="2">
        <f t="shared" si="4"/>
        <v>4861</v>
      </c>
    </row>
    <row r="43" spans="1:21" s="39" customFormat="1" ht="12.75" customHeight="1">
      <c r="A43" s="62" t="s">
        <v>78</v>
      </c>
      <c r="B43" s="71">
        <v>4719150</v>
      </c>
      <c r="C43" s="75">
        <v>3331060</v>
      </c>
      <c r="D43" s="71">
        <v>1849198.55</v>
      </c>
      <c r="E43" s="63">
        <f t="shared" si="2"/>
        <v>0.39184992000678087</v>
      </c>
      <c r="F43" s="63">
        <f t="shared" si="3"/>
        <v>0.5551381692314158</v>
      </c>
      <c r="G43" s="71">
        <f>D43-'[1]Jūnijs'!D43</f>
        <v>392197.3300000001</v>
      </c>
      <c r="H43" s="62" t="s">
        <v>78</v>
      </c>
      <c r="I43" s="71">
        <f t="shared" si="13"/>
        <v>4719</v>
      </c>
      <c r="J43" s="71">
        <f t="shared" si="13"/>
        <v>3331</v>
      </c>
      <c r="K43" s="71">
        <f t="shared" si="13"/>
        <v>1849</v>
      </c>
      <c r="L43" s="64">
        <f t="shared" si="5"/>
        <v>0.39182030091121</v>
      </c>
      <c r="M43" s="64">
        <f t="shared" si="6"/>
        <v>0.5550885619933954</v>
      </c>
      <c r="N43" s="71">
        <f>K43-'[1]Jūnijs'!K43</f>
        <v>392</v>
      </c>
      <c r="O43" s="50" t="str">
        <f t="shared" si="0"/>
        <v>     Izdevumi kapitālieguldījumiem</v>
      </c>
      <c r="P43" s="50">
        <f t="shared" si="1"/>
        <v>1849</v>
      </c>
      <c r="Q43" s="51">
        <v>1457</v>
      </c>
      <c r="R43" s="54">
        <v>1849</v>
      </c>
      <c r="S43" s="39">
        <v>1457</v>
      </c>
      <c r="U43" s="2">
        <f t="shared" si="4"/>
        <v>392</v>
      </c>
    </row>
    <row r="44" spans="1:21" s="2" customFormat="1" ht="12.75" customHeight="1">
      <c r="A44" s="73" t="s">
        <v>90</v>
      </c>
      <c r="B44" s="68">
        <f>SUM(B45:B46)</f>
        <v>13889364</v>
      </c>
      <c r="C44" s="68">
        <f>SUM(C45:C46)</f>
        <v>6897970</v>
      </c>
      <c r="D44" s="68">
        <f>SUM(D45:D46)</f>
        <v>6173412.99</v>
      </c>
      <c r="E44" s="57">
        <f t="shared" si="2"/>
        <v>0.4444705308320813</v>
      </c>
      <c r="F44" s="57">
        <f t="shared" si="3"/>
        <v>0.8949608348543122</v>
      </c>
      <c r="G44" s="68">
        <f>SUM(G45:G46)</f>
        <v>1169232.31</v>
      </c>
      <c r="H44" s="74" t="s">
        <v>90</v>
      </c>
      <c r="I44" s="68">
        <f>SUM(I45:I46)</f>
        <v>13890</v>
      </c>
      <c r="J44" s="68">
        <f>SUM(J45:J46)</f>
        <v>6898</v>
      </c>
      <c r="K44" s="68">
        <f>SUM(K45:K46)</f>
        <v>6173</v>
      </c>
      <c r="L44" s="59">
        <f t="shared" si="5"/>
        <v>0.44442044636429084</v>
      </c>
      <c r="M44" s="59">
        <f t="shared" si="6"/>
        <v>0.8948970716149609</v>
      </c>
      <c r="N44" s="68">
        <f>SUM(N45:N46)</f>
        <v>1169</v>
      </c>
      <c r="O44" s="51" t="str">
        <f t="shared" si="0"/>
        <v>Satiksmes ministrija</v>
      </c>
      <c r="P44" s="51">
        <f t="shared" si="1"/>
        <v>6173</v>
      </c>
      <c r="Q44" s="51">
        <v>5004</v>
      </c>
      <c r="R44" s="60">
        <v>6173</v>
      </c>
      <c r="S44" s="2">
        <v>5004</v>
      </c>
      <c r="U44" s="2">
        <f t="shared" si="4"/>
        <v>1169</v>
      </c>
    </row>
    <row r="45" spans="1:21" s="39" customFormat="1" ht="12.75" customHeight="1">
      <c r="A45" s="62" t="s">
        <v>77</v>
      </c>
      <c r="B45" s="71">
        <v>6909764</v>
      </c>
      <c r="C45" s="71">
        <v>4070970</v>
      </c>
      <c r="D45" s="71">
        <v>3987210.36</v>
      </c>
      <c r="E45" s="63">
        <f t="shared" si="2"/>
        <v>0.5770400204695848</v>
      </c>
      <c r="F45" s="63">
        <f t="shared" si="3"/>
        <v>0.9794251394630763</v>
      </c>
      <c r="G45" s="71">
        <f>D45-'[1]Jūnijs'!D45</f>
        <v>545802.3500000001</v>
      </c>
      <c r="H45" s="62" t="s">
        <v>77</v>
      </c>
      <c r="I45" s="71">
        <f>ROUND(B45/1000,0)</f>
        <v>6910</v>
      </c>
      <c r="J45" s="71">
        <f>ROUND(C45/1000,0)</f>
        <v>4071</v>
      </c>
      <c r="K45" s="71">
        <f aca="true" t="shared" si="14" ref="I45:K46">ROUND(D45/1000,0)</f>
        <v>3987</v>
      </c>
      <c r="L45" s="64">
        <f t="shared" si="5"/>
        <v>0.5769898697539797</v>
      </c>
      <c r="M45" s="64">
        <f t="shared" si="6"/>
        <v>0.9793662490788504</v>
      </c>
      <c r="N45" s="71">
        <f>K45-'[1]Jūnijs'!K45</f>
        <v>546</v>
      </c>
      <c r="O45" s="50" t="str">
        <f t="shared" si="0"/>
        <v>     Uzturēšanas izdevumi</v>
      </c>
      <c r="P45" s="50">
        <f t="shared" si="1"/>
        <v>3987</v>
      </c>
      <c r="Q45" s="51">
        <v>3441</v>
      </c>
      <c r="R45" s="54">
        <v>3987</v>
      </c>
      <c r="S45" s="39">
        <v>3441</v>
      </c>
      <c r="U45" s="2">
        <f t="shared" si="4"/>
        <v>546</v>
      </c>
    </row>
    <row r="46" spans="1:21" s="39" customFormat="1" ht="12.75" customHeight="1">
      <c r="A46" s="62" t="s">
        <v>78</v>
      </c>
      <c r="B46" s="71">
        <v>6979600</v>
      </c>
      <c r="C46" s="71">
        <v>2827000</v>
      </c>
      <c r="D46" s="71">
        <v>2186202.63</v>
      </c>
      <c r="E46" s="63">
        <f t="shared" si="2"/>
        <v>0.31322749584503407</v>
      </c>
      <c r="F46" s="63">
        <f t="shared" si="3"/>
        <v>0.7733295472232048</v>
      </c>
      <c r="G46" s="71">
        <f>D46-'[1]Jūnijs'!D46</f>
        <v>623429.96</v>
      </c>
      <c r="H46" s="62" t="s">
        <v>78</v>
      </c>
      <c r="I46" s="71">
        <f t="shared" si="14"/>
        <v>6980</v>
      </c>
      <c r="J46" s="71">
        <f>ROUND(C46/1000,0)</f>
        <v>2827</v>
      </c>
      <c r="K46" s="71">
        <f t="shared" si="14"/>
        <v>2186</v>
      </c>
      <c r="L46" s="64">
        <f t="shared" si="5"/>
        <v>0.31318051575931233</v>
      </c>
      <c r="M46" s="64">
        <f t="shared" si="6"/>
        <v>0.7732578705341351</v>
      </c>
      <c r="N46" s="71">
        <f>K46-'[1]Jūnijs'!K46</f>
        <v>623</v>
      </c>
      <c r="O46" s="50" t="str">
        <f t="shared" si="0"/>
        <v>     Izdevumi kapitālieguldījumiem</v>
      </c>
      <c r="P46" s="50">
        <f t="shared" si="1"/>
        <v>2186</v>
      </c>
      <c r="Q46" s="51">
        <v>1563</v>
      </c>
      <c r="R46" s="54">
        <v>2186</v>
      </c>
      <c r="S46" s="39">
        <v>1563</v>
      </c>
      <c r="U46" s="2">
        <f t="shared" si="4"/>
        <v>623</v>
      </c>
    </row>
    <row r="47" spans="1:21" s="2" customFormat="1" ht="12.75" customHeight="1">
      <c r="A47" s="73" t="s">
        <v>91</v>
      </c>
      <c r="B47" s="68">
        <f>SUM(B48:B49)</f>
        <v>157533223</v>
      </c>
      <c r="C47" s="68">
        <f>SUM(C48:C49)</f>
        <v>93479317</v>
      </c>
      <c r="D47" s="68">
        <f>SUM(D48:D49)</f>
        <v>91911008.95</v>
      </c>
      <c r="E47" s="57">
        <f t="shared" si="2"/>
        <v>0.5834388911728163</v>
      </c>
      <c r="F47" s="57">
        <f t="shared" si="3"/>
        <v>0.9832229406425809</v>
      </c>
      <c r="G47" s="68">
        <f>SUM(G48:G49)</f>
        <v>12825249.580000008</v>
      </c>
      <c r="H47" s="74" t="s">
        <v>91</v>
      </c>
      <c r="I47" s="68">
        <f>SUM(I48:I49)</f>
        <v>157534</v>
      </c>
      <c r="J47" s="76">
        <f>SUM(J48:J49)</f>
        <v>93479</v>
      </c>
      <c r="K47" s="68">
        <f>SUM(K48:K49)</f>
        <v>91911</v>
      </c>
      <c r="L47" s="59">
        <f t="shared" si="5"/>
        <v>0.583435956682367</v>
      </c>
      <c r="M47" s="59">
        <f t="shared" si="6"/>
        <v>0.9832261791418393</v>
      </c>
      <c r="N47" s="68">
        <f>SUM(N48:N49)</f>
        <v>12825</v>
      </c>
      <c r="O47" s="51" t="str">
        <f t="shared" si="0"/>
        <v>Labklājības ministrija</v>
      </c>
      <c r="P47" s="51">
        <f t="shared" si="1"/>
        <v>91911</v>
      </c>
      <c r="Q47" s="51">
        <v>79086</v>
      </c>
      <c r="R47" s="60">
        <v>91911</v>
      </c>
      <c r="S47" s="2">
        <v>79086</v>
      </c>
      <c r="U47" s="2">
        <f t="shared" si="4"/>
        <v>12825</v>
      </c>
    </row>
    <row r="48" spans="1:21" s="39" customFormat="1" ht="12.75" customHeight="1">
      <c r="A48" s="62" t="s">
        <v>77</v>
      </c>
      <c r="B48" s="71">
        <v>153188509</v>
      </c>
      <c r="C48" s="71">
        <v>90599495</v>
      </c>
      <c r="D48" s="71">
        <v>89577953.68</v>
      </c>
      <c r="E48" s="63">
        <f t="shared" si="2"/>
        <v>0.584756351927154</v>
      </c>
      <c r="F48" s="63">
        <f t="shared" si="3"/>
        <v>0.9887246466440018</v>
      </c>
      <c r="G48" s="71">
        <f>D48-'[1]Jūnijs'!D48</f>
        <v>12525351.570000008</v>
      </c>
      <c r="H48" s="62" t="s">
        <v>77</v>
      </c>
      <c r="I48" s="71">
        <f aca="true" t="shared" si="15" ref="I48:K49">ROUND(B48/1000,0)</f>
        <v>153189</v>
      </c>
      <c r="J48" s="71">
        <f>ROUND(C48/1000,0)</f>
        <v>90599</v>
      </c>
      <c r="K48" s="71">
        <f t="shared" si="15"/>
        <v>89578</v>
      </c>
      <c r="L48" s="64">
        <f t="shared" si="5"/>
        <v>0.5847547800429534</v>
      </c>
      <c r="M48" s="64">
        <f t="shared" si="6"/>
        <v>0.9887305599399552</v>
      </c>
      <c r="N48" s="71">
        <f>K48-'[1]Jūnijs'!K48</f>
        <v>12525</v>
      </c>
      <c r="O48" s="50" t="str">
        <f t="shared" si="0"/>
        <v>     Uzturēšanas izdevumi</v>
      </c>
      <c r="P48" s="50">
        <f t="shared" si="1"/>
        <v>89578</v>
      </c>
      <c r="Q48" s="51">
        <v>77053</v>
      </c>
      <c r="R48" s="54">
        <v>89578</v>
      </c>
      <c r="S48" s="39">
        <v>77053</v>
      </c>
      <c r="U48" s="2">
        <f t="shared" si="4"/>
        <v>12525</v>
      </c>
    </row>
    <row r="49" spans="1:21" s="39" customFormat="1" ht="12.75" customHeight="1">
      <c r="A49" s="62" t="s">
        <v>78</v>
      </c>
      <c r="B49" s="71">
        <v>4344714</v>
      </c>
      <c r="C49" s="71">
        <v>2879822</v>
      </c>
      <c r="D49" s="71">
        <v>2333055.27</v>
      </c>
      <c r="E49" s="63">
        <f t="shared" si="2"/>
        <v>0.5369870767097673</v>
      </c>
      <c r="F49" s="63">
        <f t="shared" si="3"/>
        <v>0.8101387064894983</v>
      </c>
      <c r="G49" s="71">
        <f>D49-'[1]Jūnijs'!D49</f>
        <v>299898.01</v>
      </c>
      <c r="H49" s="62" t="s">
        <v>78</v>
      </c>
      <c r="I49" s="71">
        <f t="shared" si="15"/>
        <v>4345</v>
      </c>
      <c r="J49" s="71">
        <f>ROUND(C49/1000,0)</f>
        <v>2880</v>
      </c>
      <c r="K49" s="71">
        <f>ROUND(D49/1000,0)</f>
        <v>2333</v>
      </c>
      <c r="L49" s="64">
        <f t="shared" si="5"/>
        <v>0.5369390103567319</v>
      </c>
      <c r="M49" s="64">
        <f t="shared" si="6"/>
        <v>0.8100694444444444</v>
      </c>
      <c r="N49" s="71">
        <f>K49-'[1]Jūnijs'!K49</f>
        <v>300</v>
      </c>
      <c r="O49" s="50" t="str">
        <f t="shared" si="0"/>
        <v>     Izdevumi kapitālieguldījumiem</v>
      </c>
      <c r="P49" s="50">
        <f t="shared" si="1"/>
        <v>2333</v>
      </c>
      <c r="Q49" s="51">
        <v>2033</v>
      </c>
      <c r="R49" s="54">
        <v>2333</v>
      </c>
      <c r="S49" s="39">
        <v>2033</v>
      </c>
      <c r="U49" s="2">
        <f t="shared" si="4"/>
        <v>300</v>
      </c>
    </row>
    <row r="50" spans="1:21" s="2" customFormat="1" ht="12.75" customHeight="1">
      <c r="A50" s="73" t="s">
        <v>92</v>
      </c>
      <c r="B50" s="68">
        <f>SUM(B51:B52)</f>
        <v>28718346</v>
      </c>
      <c r="C50" s="68">
        <f>SUM(C51:C52)</f>
        <v>17068711</v>
      </c>
      <c r="D50" s="68">
        <f>SUM(D51:D52)</f>
        <v>15724387.479999999</v>
      </c>
      <c r="E50" s="57">
        <f t="shared" si="2"/>
        <v>0.5475380608618615</v>
      </c>
      <c r="F50" s="57">
        <f t="shared" si="3"/>
        <v>0.9212404779716522</v>
      </c>
      <c r="G50" s="68">
        <f>SUM(G51:G52)</f>
        <v>2123801.1199999996</v>
      </c>
      <c r="H50" s="74" t="s">
        <v>92</v>
      </c>
      <c r="I50" s="68">
        <f>SUM(I51:I52)</f>
        <v>28718</v>
      </c>
      <c r="J50" s="68">
        <f>SUM(J51:J52)</f>
        <v>17069</v>
      </c>
      <c r="K50" s="68">
        <f>SUM(K51:K52)</f>
        <v>15725</v>
      </c>
      <c r="L50" s="59">
        <f t="shared" si="5"/>
        <v>0.5475659864893099</v>
      </c>
      <c r="M50" s="59">
        <f t="shared" si="6"/>
        <v>0.9212607651297674</v>
      </c>
      <c r="N50" s="68">
        <f>SUM(N51:N52)</f>
        <v>2124</v>
      </c>
      <c r="O50" s="51" t="str">
        <f t="shared" si="0"/>
        <v>Tieslietu ministrija</v>
      </c>
      <c r="P50" s="51">
        <f t="shared" si="1"/>
        <v>15725</v>
      </c>
      <c r="Q50" s="51">
        <v>13601</v>
      </c>
      <c r="R50" s="60">
        <v>15725</v>
      </c>
      <c r="S50" s="2">
        <v>13601</v>
      </c>
      <c r="U50" s="2">
        <f t="shared" si="4"/>
        <v>2124</v>
      </c>
    </row>
    <row r="51" spans="1:21" s="39" customFormat="1" ht="12.75" customHeight="1">
      <c r="A51" s="62" t="s">
        <v>77</v>
      </c>
      <c r="B51" s="71">
        <v>25357301</v>
      </c>
      <c r="C51" s="71">
        <v>14793201</v>
      </c>
      <c r="D51" s="71">
        <v>14066823.54</v>
      </c>
      <c r="E51" s="63">
        <f t="shared" si="2"/>
        <v>0.5547445108609942</v>
      </c>
      <c r="F51" s="63">
        <f t="shared" si="3"/>
        <v>0.9508978847782842</v>
      </c>
      <c r="G51" s="71">
        <f>D51-'[1]Jūnijs'!D51</f>
        <v>1812012.6799999997</v>
      </c>
      <c r="H51" s="62" t="s">
        <v>77</v>
      </c>
      <c r="I51" s="71">
        <f aca="true" t="shared" si="16" ref="I51:K52">ROUND(B51/1000,0)</f>
        <v>25357</v>
      </c>
      <c r="J51" s="71">
        <f t="shared" si="16"/>
        <v>14793</v>
      </c>
      <c r="K51" s="71">
        <f>ROUND(D51/1000,0)</f>
        <v>14067</v>
      </c>
      <c r="L51" s="64">
        <f t="shared" si="5"/>
        <v>0.5547580549749576</v>
      </c>
      <c r="M51" s="64">
        <f t="shared" si="6"/>
        <v>0.9509227337254107</v>
      </c>
      <c r="N51" s="71">
        <f>K51-'[1]Jūnijs'!K51</f>
        <v>1812</v>
      </c>
      <c r="O51" s="50" t="str">
        <f t="shared" si="0"/>
        <v>     Uzturēšanas izdevumi</v>
      </c>
      <c r="P51" s="50">
        <f t="shared" si="1"/>
        <v>14067</v>
      </c>
      <c r="Q51" s="51">
        <v>12255</v>
      </c>
      <c r="R51" s="54">
        <v>14067</v>
      </c>
      <c r="S51" s="39">
        <v>12255</v>
      </c>
      <c r="U51" s="2">
        <f t="shared" si="4"/>
        <v>1812</v>
      </c>
    </row>
    <row r="52" spans="1:21" s="39" customFormat="1" ht="12.75" customHeight="1">
      <c r="A52" s="62" t="s">
        <v>78</v>
      </c>
      <c r="B52" s="71">
        <v>3361045</v>
      </c>
      <c r="C52" s="71">
        <v>2275510</v>
      </c>
      <c r="D52" s="71">
        <v>1657563.94</v>
      </c>
      <c r="E52" s="63">
        <f t="shared" si="2"/>
        <v>0.4931692196920898</v>
      </c>
      <c r="F52" s="63">
        <f t="shared" si="3"/>
        <v>0.7284362362723081</v>
      </c>
      <c r="G52" s="71">
        <f>D52-'[1]Jūnijs'!D52</f>
        <v>311788.43999999994</v>
      </c>
      <c r="H52" s="62" t="s">
        <v>78</v>
      </c>
      <c r="I52" s="71">
        <f t="shared" si="16"/>
        <v>3361</v>
      </c>
      <c r="J52" s="71">
        <f t="shared" si="16"/>
        <v>2276</v>
      </c>
      <c r="K52" s="71">
        <f t="shared" si="16"/>
        <v>1658</v>
      </c>
      <c r="L52" s="64">
        <f t="shared" si="5"/>
        <v>0.49330556382029156</v>
      </c>
      <c r="M52" s="64">
        <f t="shared" si="6"/>
        <v>0.7284710017574693</v>
      </c>
      <c r="N52" s="71">
        <f>K52-'[1]Jūnijs'!K52</f>
        <v>312</v>
      </c>
      <c r="O52" s="50" t="str">
        <f t="shared" si="0"/>
        <v>     Izdevumi kapitālieguldījumiem</v>
      </c>
      <c r="P52" s="50">
        <f t="shared" si="1"/>
        <v>1658</v>
      </c>
      <c r="Q52" s="51">
        <v>1346</v>
      </c>
      <c r="R52" s="54">
        <v>1658</v>
      </c>
      <c r="S52" s="39">
        <v>1346</v>
      </c>
      <c r="U52" s="2">
        <f t="shared" si="4"/>
        <v>312</v>
      </c>
    </row>
    <row r="53" spans="1:21" s="2" customFormat="1" ht="12.75" customHeight="1">
      <c r="A53" s="67" t="s">
        <v>93</v>
      </c>
      <c r="B53" s="68">
        <f>SUM(B54:B55)</f>
        <v>8868401</v>
      </c>
      <c r="C53" s="68">
        <f>SUM(C54:C55)</f>
        <v>4928276</v>
      </c>
      <c r="D53" s="68">
        <f>SUM(D54:D55)</f>
        <v>4320259.23</v>
      </c>
      <c r="E53" s="57">
        <f t="shared" si="2"/>
        <v>0.487151993916378</v>
      </c>
      <c r="F53" s="57">
        <f t="shared" si="3"/>
        <v>0.8766268833157884</v>
      </c>
      <c r="G53" s="68">
        <f>SUM(G54:G55)</f>
        <v>583480.25</v>
      </c>
      <c r="H53" s="69" t="s">
        <v>93</v>
      </c>
      <c r="I53" s="68">
        <f>SUM(I54:I55)</f>
        <v>8868</v>
      </c>
      <c r="J53" s="76">
        <f>SUM(J54:J55)</f>
        <v>4928</v>
      </c>
      <c r="K53" s="68">
        <f>SUM(K54:K55)</f>
        <v>4320</v>
      </c>
      <c r="L53" s="59">
        <f t="shared" si="5"/>
        <v>0.4871447902571042</v>
      </c>
      <c r="M53" s="59">
        <f t="shared" si="6"/>
        <v>0.8766233766233766</v>
      </c>
      <c r="N53" s="68">
        <f>SUM(N54:N55)</f>
        <v>583</v>
      </c>
      <c r="O53" s="51" t="str">
        <f t="shared" si="0"/>
        <v>Vides aizsardzības un reģionālās attīstības ministrija</v>
      </c>
      <c r="P53" s="51">
        <f t="shared" si="1"/>
        <v>4320</v>
      </c>
      <c r="Q53" s="51">
        <v>3736</v>
      </c>
      <c r="R53" s="60">
        <v>4320</v>
      </c>
      <c r="S53" s="2">
        <v>3736</v>
      </c>
      <c r="U53" s="2">
        <f t="shared" si="4"/>
        <v>584</v>
      </c>
    </row>
    <row r="54" spans="1:21" s="39" customFormat="1" ht="12.75" customHeight="1">
      <c r="A54" s="62" t="s">
        <v>77</v>
      </c>
      <c r="B54" s="71">
        <v>7581021</v>
      </c>
      <c r="C54" s="71">
        <v>4276072</v>
      </c>
      <c r="D54" s="71">
        <v>3767495.48</v>
      </c>
      <c r="E54" s="77">
        <f t="shared" si="2"/>
        <v>0.49696412659983397</v>
      </c>
      <c r="F54" s="77">
        <f t="shared" si="3"/>
        <v>0.8810645564433901</v>
      </c>
      <c r="G54" s="71">
        <f>D54-'[1]Jūnijs'!D54</f>
        <v>505143.0800000001</v>
      </c>
      <c r="H54" s="62" t="s">
        <v>77</v>
      </c>
      <c r="I54" s="71">
        <f aca="true" t="shared" si="17" ref="I54:K57">ROUND(B54/1000,0)</f>
        <v>7581</v>
      </c>
      <c r="J54" s="71">
        <f>ROUND(C54/1000,0)</f>
        <v>4276</v>
      </c>
      <c r="K54" s="71">
        <f>ROUND(D54/1000,0)</f>
        <v>3767</v>
      </c>
      <c r="L54" s="64">
        <f t="shared" si="5"/>
        <v>0.4969001450995911</v>
      </c>
      <c r="M54" s="64">
        <f t="shared" si="6"/>
        <v>0.8809635173058934</v>
      </c>
      <c r="N54" s="78">
        <f>K54-'[1]Jūnijs'!K54</f>
        <v>505</v>
      </c>
      <c r="O54" s="50" t="str">
        <f t="shared" si="0"/>
        <v>     Uzturēšanas izdevumi</v>
      </c>
      <c r="P54" s="50">
        <f t="shared" si="1"/>
        <v>3767</v>
      </c>
      <c r="Q54" s="51">
        <v>3262</v>
      </c>
      <c r="R54" s="54">
        <v>3767</v>
      </c>
      <c r="S54" s="39">
        <v>3262</v>
      </c>
      <c r="U54" s="2">
        <f t="shared" si="4"/>
        <v>505</v>
      </c>
    </row>
    <row r="55" spans="1:21" s="39" customFormat="1" ht="12.75" customHeight="1">
      <c r="A55" s="79" t="s">
        <v>78</v>
      </c>
      <c r="B55" s="71">
        <v>1287380</v>
      </c>
      <c r="C55" s="71">
        <v>652204</v>
      </c>
      <c r="D55" s="71">
        <v>552763.75</v>
      </c>
      <c r="E55" s="77">
        <f t="shared" si="2"/>
        <v>0.4293710870139353</v>
      </c>
      <c r="F55" s="77">
        <f t="shared" si="3"/>
        <v>0.8475319838578114</v>
      </c>
      <c r="G55" s="71">
        <f>D55-'[1]Jūnijs'!D55</f>
        <v>78337.16999999998</v>
      </c>
      <c r="H55" s="79" t="s">
        <v>78</v>
      </c>
      <c r="I55" s="71">
        <f t="shared" si="17"/>
        <v>1287</v>
      </c>
      <c r="J55" s="71">
        <f t="shared" si="17"/>
        <v>652</v>
      </c>
      <c r="K55" s="71">
        <f t="shared" si="17"/>
        <v>553</v>
      </c>
      <c r="L55" s="64">
        <f t="shared" si="5"/>
        <v>0.4296814296814297</v>
      </c>
      <c r="M55" s="64">
        <f t="shared" si="6"/>
        <v>0.848159509202454</v>
      </c>
      <c r="N55" s="71">
        <f>K55-'[1]Jūnijs'!K55-1</f>
        <v>78</v>
      </c>
      <c r="O55" s="50" t="str">
        <f t="shared" si="0"/>
        <v>     Izdevumi kapitālieguldījumiem</v>
      </c>
      <c r="P55" s="50">
        <f t="shared" si="1"/>
        <v>553</v>
      </c>
      <c r="Q55" s="51">
        <v>474</v>
      </c>
      <c r="R55" s="54">
        <v>553</v>
      </c>
      <c r="S55" s="39">
        <v>474</v>
      </c>
      <c r="U55" s="2">
        <f t="shared" si="4"/>
        <v>79</v>
      </c>
    </row>
    <row r="56" spans="1:21" s="2" customFormat="1" ht="12.75" customHeight="1">
      <c r="A56" s="73" t="s">
        <v>94</v>
      </c>
      <c r="B56" s="68">
        <f>B57+B58</f>
        <v>16429548</v>
      </c>
      <c r="C56" s="68">
        <f>C57+C58</f>
        <v>10458401</v>
      </c>
      <c r="D56" s="76">
        <f>D57+D58</f>
        <v>10119187.059999999</v>
      </c>
      <c r="E56" s="57">
        <f t="shared" si="2"/>
        <v>0.6159139046308516</v>
      </c>
      <c r="F56" s="57">
        <f t="shared" si="3"/>
        <v>0.9675654108118439</v>
      </c>
      <c r="G56" s="68">
        <f>SUM(G57:G58)</f>
        <v>1450329.9699999997</v>
      </c>
      <c r="H56" s="74" t="s">
        <v>94</v>
      </c>
      <c r="I56" s="80">
        <f t="shared" si="17"/>
        <v>16430</v>
      </c>
      <c r="J56" s="68">
        <f>SUM(J57:J58)</f>
        <v>10458</v>
      </c>
      <c r="K56" s="68">
        <f>SUM(K57:K58)</f>
        <v>10119</v>
      </c>
      <c r="L56" s="59">
        <f t="shared" si="5"/>
        <v>0.6158855751673767</v>
      </c>
      <c r="M56" s="59">
        <f t="shared" si="6"/>
        <v>0.9675846242111302</v>
      </c>
      <c r="N56" s="68">
        <f>SUM(N57:N58)</f>
        <v>1450</v>
      </c>
      <c r="O56" s="51" t="str">
        <f t="shared" si="0"/>
        <v>Kultūras ministrija</v>
      </c>
      <c r="P56" s="51">
        <f t="shared" si="1"/>
        <v>10119</v>
      </c>
      <c r="Q56" s="51">
        <v>8669</v>
      </c>
      <c r="R56" s="60">
        <v>10119</v>
      </c>
      <c r="S56" s="2">
        <v>8669</v>
      </c>
      <c r="U56" s="2">
        <f t="shared" si="4"/>
        <v>1450</v>
      </c>
    </row>
    <row r="57" spans="1:21" s="39" customFormat="1" ht="12.75" customHeight="1">
      <c r="A57" s="62" t="s">
        <v>77</v>
      </c>
      <c r="B57" s="71">
        <v>14801982</v>
      </c>
      <c r="C57" s="71">
        <v>9406335</v>
      </c>
      <c r="D57" s="71">
        <v>9142479.94</v>
      </c>
      <c r="E57" s="63">
        <f t="shared" si="2"/>
        <v>0.6176524157372979</v>
      </c>
      <c r="F57" s="63">
        <f t="shared" si="3"/>
        <v>0.971949217203087</v>
      </c>
      <c r="G57" s="71">
        <f>D57-'[1]Jūnijs'!D57</f>
        <v>1309689.8399999999</v>
      </c>
      <c r="H57" s="62" t="s">
        <v>77</v>
      </c>
      <c r="I57" s="71">
        <f t="shared" si="17"/>
        <v>14802</v>
      </c>
      <c r="J57" s="71">
        <f t="shared" si="17"/>
        <v>9406</v>
      </c>
      <c r="K57" s="71">
        <f>ROUND(D57/1000,0)</f>
        <v>9142</v>
      </c>
      <c r="L57" s="81">
        <f t="shared" si="5"/>
        <v>0.6176192406431563</v>
      </c>
      <c r="M57" s="81">
        <f>IF(ISERROR(K57/J57)," ",(K57/J57))</f>
        <v>0.9719328088454178</v>
      </c>
      <c r="N57" s="78">
        <f>K57-'[1]Jūnijs'!K57+1</f>
        <v>1310</v>
      </c>
      <c r="O57" s="50" t="str">
        <f t="shared" si="0"/>
        <v>     Uzturēšanas izdevumi</v>
      </c>
      <c r="P57" s="50">
        <f t="shared" si="1"/>
        <v>9142</v>
      </c>
      <c r="Q57" s="51">
        <v>7833</v>
      </c>
      <c r="R57" s="54">
        <v>9142</v>
      </c>
      <c r="S57" s="39">
        <v>7833</v>
      </c>
      <c r="U57" s="2">
        <f t="shared" si="4"/>
        <v>1309</v>
      </c>
    </row>
    <row r="58" spans="1:21" s="39" customFormat="1" ht="12.75" customHeight="1">
      <c r="A58" s="62" t="s">
        <v>78</v>
      </c>
      <c r="B58" s="71">
        <v>1627566</v>
      </c>
      <c r="C58" s="71">
        <v>1052066</v>
      </c>
      <c r="D58" s="71">
        <v>976707.12</v>
      </c>
      <c r="E58" s="63">
        <f t="shared" si="2"/>
        <v>0.6001029267015899</v>
      </c>
      <c r="F58" s="63">
        <f t="shared" si="3"/>
        <v>0.9283705775112968</v>
      </c>
      <c r="G58" s="71">
        <f>D58-'[1]Jūnijs'!D58</f>
        <v>140640.13</v>
      </c>
      <c r="H58" s="62" t="s">
        <v>78</v>
      </c>
      <c r="I58" s="71">
        <f>ROUND(B58/1000,0)</f>
        <v>1628</v>
      </c>
      <c r="J58" s="71">
        <f>ROUND(C58/1000,0)</f>
        <v>1052</v>
      </c>
      <c r="K58" s="71">
        <f>ROUND(D58/1000,0)</f>
        <v>977</v>
      </c>
      <c r="L58" s="64">
        <f t="shared" si="5"/>
        <v>0.6001228501228502</v>
      </c>
      <c r="M58" s="64">
        <f t="shared" si="6"/>
        <v>0.9287072243346007</v>
      </c>
      <c r="N58" s="71">
        <f>K58-'[1]Jūnijs'!K58-1</f>
        <v>140</v>
      </c>
      <c r="O58" s="50" t="str">
        <f t="shared" si="0"/>
        <v>     Izdevumi kapitālieguldījumiem</v>
      </c>
      <c r="P58" s="50">
        <f t="shared" si="1"/>
        <v>977</v>
      </c>
      <c r="Q58" s="51">
        <v>836</v>
      </c>
      <c r="R58" s="54">
        <v>977</v>
      </c>
      <c r="S58" s="39">
        <v>836</v>
      </c>
      <c r="U58" s="2">
        <f t="shared" si="4"/>
        <v>141</v>
      </c>
    </row>
    <row r="59" spans="1:21" s="2" customFormat="1" ht="12.75" customHeight="1">
      <c r="A59" s="73" t="s">
        <v>95</v>
      </c>
      <c r="B59" s="68">
        <f>SUM(B60:B61)</f>
        <v>14846381</v>
      </c>
      <c r="C59" s="68">
        <f>SUM(C60:C61)</f>
        <v>8528084</v>
      </c>
      <c r="D59" s="68">
        <f>SUM(D60:D61)</f>
        <v>7675531.949999999</v>
      </c>
      <c r="E59" s="57">
        <f t="shared" si="2"/>
        <v>0.5169968324267038</v>
      </c>
      <c r="F59" s="57">
        <f t="shared" si="3"/>
        <v>0.9000300595069185</v>
      </c>
      <c r="G59" s="68">
        <f>SUM(G60:G61)</f>
        <v>1053080.06</v>
      </c>
      <c r="H59" s="74" t="s">
        <v>95</v>
      </c>
      <c r="I59" s="68">
        <f>SUM(I60:I61)</f>
        <v>14847</v>
      </c>
      <c r="J59" s="68">
        <f>SUM(J60:J61)</f>
        <v>8528</v>
      </c>
      <c r="K59" s="68">
        <f>SUM(K60:K61)</f>
        <v>7675</v>
      </c>
      <c r="L59" s="59">
        <f t="shared" si="5"/>
        <v>0.5169394490469456</v>
      </c>
      <c r="M59" s="59">
        <f t="shared" si="6"/>
        <v>0.8999765478424016</v>
      </c>
      <c r="N59" s="68">
        <f>SUM(N60:N61)</f>
        <v>1053</v>
      </c>
      <c r="O59" s="51" t="str">
        <f t="shared" si="0"/>
        <v>Valsts zemes dienests</v>
      </c>
      <c r="P59" s="51">
        <f t="shared" si="1"/>
        <v>7675</v>
      </c>
      <c r="Q59" s="51">
        <v>6622</v>
      </c>
      <c r="R59" s="60">
        <v>7675</v>
      </c>
      <c r="S59" s="2">
        <v>6622</v>
      </c>
      <c r="U59" s="2">
        <f t="shared" si="4"/>
        <v>1053</v>
      </c>
    </row>
    <row r="60" spans="1:21" s="39" customFormat="1" ht="12.75" customHeight="1">
      <c r="A60" s="62" t="s">
        <v>77</v>
      </c>
      <c r="B60" s="71">
        <v>13564881</v>
      </c>
      <c r="C60" s="71">
        <v>7735903</v>
      </c>
      <c r="D60" s="71">
        <v>7117240.27</v>
      </c>
      <c r="E60" s="63">
        <f t="shared" si="2"/>
        <v>0.5246813643260121</v>
      </c>
      <c r="F60" s="63">
        <f t="shared" si="3"/>
        <v>0.9200270828111469</v>
      </c>
      <c r="G60" s="71">
        <f>D60-'[1]Jūnijs'!D60</f>
        <v>1004766.3799999999</v>
      </c>
      <c r="H60" s="62" t="s">
        <v>77</v>
      </c>
      <c r="I60" s="71">
        <f aca="true" t="shared" si="18" ref="I60:K61">ROUND(B60/1000,0)</f>
        <v>13565</v>
      </c>
      <c r="J60" s="71">
        <f t="shared" si="18"/>
        <v>7736</v>
      </c>
      <c r="K60" s="71">
        <f t="shared" si="18"/>
        <v>7117</v>
      </c>
      <c r="L60" s="64">
        <f t="shared" si="5"/>
        <v>0.5246590490232216</v>
      </c>
      <c r="M60" s="64">
        <f t="shared" si="6"/>
        <v>0.9199844881075491</v>
      </c>
      <c r="N60" s="78">
        <f>K60-'[1]Jūnijs'!K60</f>
        <v>1005</v>
      </c>
      <c r="O60" s="50" t="str">
        <f t="shared" si="0"/>
        <v>     Uzturēšanas izdevumi</v>
      </c>
      <c r="P60" s="50">
        <f t="shared" si="1"/>
        <v>7117</v>
      </c>
      <c r="Q60" s="51">
        <v>6112</v>
      </c>
      <c r="R60" s="54">
        <v>7117</v>
      </c>
      <c r="S60" s="39">
        <v>6112</v>
      </c>
      <c r="U60" s="2">
        <f t="shared" si="4"/>
        <v>1005</v>
      </c>
    </row>
    <row r="61" spans="1:21" s="39" customFormat="1" ht="12.75" customHeight="1">
      <c r="A61" s="62" t="s">
        <v>78</v>
      </c>
      <c r="B61" s="71">
        <v>1281500</v>
      </c>
      <c r="C61" s="71">
        <v>792181</v>
      </c>
      <c r="D61" s="71">
        <v>558291.68</v>
      </c>
      <c r="E61" s="63">
        <f t="shared" si="2"/>
        <v>0.43565484198205234</v>
      </c>
      <c r="F61" s="63">
        <f t="shared" si="3"/>
        <v>0.704752676471665</v>
      </c>
      <c r="G61" s="71">
        <f>D61-'[1]Jūnijs'!D61</f>
        <v>48313.68000000005</v>
      </c>
      <c r="H61" s="62" t="s">
        <v>78</v>
      </c>
      <c r="I61" s="71">
        <f t="shared" si="18"/>
        <v>1282</v>
      </c>
      <c r="J61" s="71">
        <f t="shared" si="18"/>
        <v>792</v>
      </c>
      <c r="K61" s="71">
        <f t="shared" si="18"/>
        <v>558</v>
      </c>
      <c r="L61" s="64">
        <f t="shared" si="5"/>
        <v>0.43525741029641185</v>
      </c>
      <c r="M61" s="64">
        <f t="shared" si="6"/>
        <v>0.7045454545454546</v>
      </c>
      <c r="N61" s="71">
        <f>K61-'[1]Jūnijs'!K61</f>
        <v>48</v>
      </c>
      <c r="O61" s="50" t="str">
        <f t="shared" si="0"/>
        <v>     Izdevumi kapitālieguldījumiem</v>
      </c>
      <c r="P61" s="50">
        <f t="shared" si="1"/>
        <v>558</v>
      </c>
      <c r="Q61" s="51">
        <v>510</v>
      </c>
      <c r="R61" s="54">
        <v>558</v>
      </c>
      <c r="S61" s="39">
        <v>510</v>
      </c>
      <c r="U61" s="2">
        <f t="shared" si="4"/>
        <v>48</v>
      </c>
    </row>
    <row r="62" spans="1:21" s="2" customFormat="1" ht="12.75" customHeight="1">
      <c r="A62" s="73" t="s">
        <v>96</v>
      </c>
      <c r="B62" s="68">
        <f>SUM(B63:B64)</f>
        <v>1165852</v>
      </c>
      <c r="C62" s="68">
        <f>SUM(C63:C64)</f>
        <v>677352</v>
      </c>
      <c r="D62" s="68">
        <f>SUM(D63:D64)</f>
        <v>664287.15</v>
      </c>
      <c r="E62" s="57">
        <f t="shared" si="2"/>
        <v>0.569786859738629</v>
      </c>
      <c r="F62" s="57">
        <f t="shared" si="3"/>
        <v>0.9807118750664352</v>
      </c>
      <c r="G62" s="68">
        <f>SUM(G63:G64)</f>
        <v>109652.70000000004</v>
      </c>
      <c r="H62" s="74" t="s">
        <v>96</v>
      </c>
      <c r="I62" s="68">
        <f>SUM(I63:I64)</f>
        <v>1151.3286138996139</v>
      </c>
      <c r="J62" s="68">
        <f>SUM(J63:J64)</f>
        <v>678</v>
      </c>
      <c r="K62" s="68">
        <f>SUM(K63:K64)</f>
        <v>664</v>
      </c>
      <c r="L62" s="59">
        <f t="shared" si="5"/>
        <v>0.576889661164205</v>
      </c>
      <c r="M62" s="59">
        <f t="shared" si="6"/>
        <v>0.9793510324483776</v>
      </c>
      <c r="N62" s="68">
        <f>SUM(N63:N64)</f>
        <v>109</v>
      </c>
      <c r="O62" s="51" t="str">
        <f t="shared" si="0"/>
        <v>Valsts kontrole</v>
      </c>
      <c r="P62" s="51">
        <f t="shared" si="1"/>
        <v>664</v>
      </c>
      <c r="Q62" s="51">
        <v>554</v>
      </c>
      <c r="R62" s="60">
        <v>664</v>
      </c>
      <c r="S62" s="2">
        <v>554</v>
      </c>
      <c r="U62" s="2">
        <f t="shared" si="4"/>
        <v>110</v>
      </c>
    </row>
    <row r="63" spans="1:21" s="39" customFormat="1" ht="12.75" customHeight="1">
      <c r="A63" s="62" t="s">
        <v>77</v>
      </c>
      <c r="B63" s="71">
        <v>1150312</v>
      </c>
      <c r="C63" s="71">
        <v>661812</v>
      </c>
      <c r="D63" s="71">
        <v>651786.63</v>
      </c>
      <c r="E63" s="63">
        <f t="shared" si="2"/>
        <v>0.56661725688335</v>
      </c>
      <c r="F63" s="63">
        <f t="shared" si="3"/>
        <v>0.9848516346031804</v>
      </c>
      <c r="G63" s="71">
        <f>D63-'[1]Jūnijs'!D63</f>
        <v>104546.04000000004</v>
      </c>
      <c r="H63" s="62" t="s">
        <v>77</v>
      </c>
      <c r="I63" s="71">
        <f>ROUND(B63/1000,0)+1</f>
        <v>1151</v>
      </c>
      <c r="J63" s="71">
        <f>ROUND(C63/1000,0)</f>
        <v>662</v>
      </c>
      <c r="K63" s="71">
        <f>ROUND(D63/1000,0)</f>
        <v>652</v>
      </c>
      <c r="L63" s="64">
        <f t="shared" si="5"/>
        <v>0.5664639443961772</v>
      </c>
      <c r="M63" s="64">
        <f t="shared" si="6"/>
        <v>0.9848942598187311</v>
      </c>
      <c r="N63" s="39">
        <f>K63-'[1]Jūnijs'!K63</f>
        <v>105</v>
      </c>
      <c r="O63" s="50" t="str">
        <f t="shared" si="0"/>
        <v>     Uzturēšanas izdevumi</v>
      </c>
      <c r="P63" s="50">
        <f t="shared" si="1"/>
        <v>652</v>
      </c>
      <c r="Q63" s="51">
        <v>547</v>
      </c>
      <c r="R63" s="54">
        <v>652</v>
      </c>
      <c r="S63" s="39">
        <v>547</v>
      </c>
      <c r="U63" s="2">
        <f t="shared" si="4"/>
        <v>105</v>
      </c>
    </row>
    <row r="64" spans="1:21" s="39" customFormat="1" ht="12.75" customHeight="1">
      <c r="A64" s="62" t="s">
        <v>78</v>
      </c>
      <c r="B64" s="71">
        <v>15540</v>
      </c>
      <c r="C64" s="71">
        <v>15540</v>
      </c>
      <c r="D64" s="71">
        <v>12500.52</v>
      </c>
      <c r="E64" s="63">
        <f t="shared" si="2"/>
        <v>0.8044092664092665</v>
      </c>
      <c r="F64" s="63">
        <f t="shared" si="3"/>
        <v>0.8044092664092665</v>
      </c>
      <c r="G64" s="71">
        <f>D64-'[1]Jūnijs'!D64</f>
        <v>5106.660000000001</v>
      </c>
      <c r="H64" s="62" t="s">
        <v>78</v>
      </c>
      <c r="I64" s="71">
        <f>F64-'[1]Jūnijs'!F64</f>
        <v>0.3286138996138997</v>
      </c>
      <c r="J64" s="71">
        <f>ROUND(C64/1000,0)</f>
        <v>16</v>
      </c>
      <c r="K64" s="75">
        <f>ROUND(D64/1000,0)-1</f>
        <v>12</v>
      </c>
      <c r="L64" s="64">
        <v>0.8</v>
      </c>
      <c r="M64" s="64">
        <f t="shared" si="6"/>
        <v>0.75</v>
      </c>
      <c r="N64" s="71">
        <f>K64-'[1]Jūnijs'!K64-1</f>
        <v>4</v>
      </c>
      <c r="O64" s="50" t="str">
        <f t="shared" si="0"/>
        <v>     Izdevumi kapitālieguldījumiem</v>
      </c>
      <c r="P64" s="50">
        <f t="shared" si="1"/>
        <v>12</v>
      </c>
      <c r="Q64" s="51">
        <v>7</v>
      </c>
      <c r="R64" s="54">
        <v>12</v>
      </c>
      <c r="S64" s="39">
        <v>7</v>
      </c>
      <c r="U64" s="2">
        <f t="shared" si="4"/>
        <v>5</v>
      </c>
    </row>
    <row r="65" spans="1:21" s="2" customFormat="1" ht="12.75" customHeight="1">
      <c r="A65" s="73" t="s">
        <v>97</v>
      </c>
      <c r="B65" s="68">
        <f>B66</f>
        <v>743059</v>
      </c>
      <c r="C65" s="68">
        <f>SUM(C66:C66)</f>
        <v>421100</v>
      </c>
      <c r="D65" s="68">
        <f>SUM(D66:D66)</f>
        <v>421099.58</v>
      </c>
      <c r="E65" s="57">
        <f t="shared" si="2"/>
        <v>0.5667108264619634</v>
      </c>
      <c r="F65" s="57">
        <f t="shared" si="3"/>
        <v>0.9999990026122062</v>
      </c>
      <c r="G65" s="68">
        <f>G66</f>
        <v>64692.080000000016</v>
      </c>
      <c r="H65" s="74" t="s">
        <v>97</v>
      </c>
      <c r="I65" s="68">
        <f>F65-'[1]Jūnijs'!F65</f>
        <v>0.02246883256283705</v>
      </c>
      <c r="J65" s="68">
        <f>SUM(J66:J66)</f>
        <v>421</v>
      </c>
      <c r="K65" s="68">
        <f>SUM(K66:K66)</f>
        <v>421</v>
      </c>
      <c r="L65" s="81">
        <v>0.567</v>
      </c>
      <c r="M65" s="59">
        <f t="shared" si="6"/>
        <v>1</v>
      </c>
      <c r="N65" s="68">
        <f>SUM(N66)</f>
        <v>65</v>
      </c>
      <c r="O65" s="51" t="str">
        <f t="shared" si="0"/>
        <v>Augstākā tiesa</v>
      </c>
      <c r="P65" s="51">
        <f t="shared" si="1"/>
        <v>421</v>
      </c>
      <c r="Q65" s="51">
        <v>356</v>
      </c>
      <c r="R65" s="60">
        <v>421</v>
      </c>
      <c r="S65" s="2">
        <v>356</v>
      </c>
      <c r="U65" s="2">
        <f t="shared" si="4"/>
        <v>65</v>
      </c>
    </row>
    <row r="66" spans="1:21" s="39" customFormat="1" ht="12.75" customHeight="1">
      <c r="A66" s="62" t="s">
        <v>77</v>
      </c>
      <c r="B66" s="71">
        <v>743059</v>
      </c>
      <c r="C66" s="71">
        <v>421100</v>
      </c>
      <c r="D66" s="71">
        <v>421099.58</v>
      </c>
      <c r="E66" s="63">
        <f t="shared" si="2"/>
        <v>0.5667108264619634</v>
      </c>
      <c r="F66" s="63">
        <f t="shared" si="3"/>
        <v>0.9999990026122062</v>
      </c>
      <c r="G66" s="71">
        <f>D66-'[1]Jūnijs'!D66</f>
        <v>64692.080000000016</v>
      </c>
      <c r="H66" s="62" t="s">
        <v>77</v>
      </c>
      <c r="I66" s="71">
        <f>ROUND(B66/1000,0)</f>
        <v>743</v>
      </c>
      <c r="J66" s="71">
        <f>ROUND(C66/1000,0)</f>
        <v>421</v>
      </c>
      <c r="K66" s="71">
        <f>ROUND(D66/1000,0)</f>
        <v>421</v>
      </c>
      <c r="L66" s="64">
        <f t="shared" si="5"/>
        <v>0.566621803499327</v>
      </c>
      <c r="M66" s="64">
        <f t="shared" si="6"/>
        <v>1</v>
      </c>
      <c r="N66" s="71">
        <f>K66-'[1]Jūnijs'!K66</f>
        <v>65</v>
      </c>
      <c r="O66" s="50" t="str">
        <f t="shared" si="0"/>
        <v>     Uzturēšanas izdevumi</v>
      </c>
      <c r="P66" s="50">
        <f t="shared" si="1"/>
        <v>421</v>
      </c>
      <c r="Q66" s="51">
        <v>356</v>
      </c>
      <c r="R66" s="54">
        <v>421</v>
      </c>
      <c r="S66" s="39">
        <v>356</v>
      </c>
      <c r="U66" s="2">
        <f t="shared" si="4"/>
        <v>65</v>
      </c>
    </row>
    <row r="67" spans="1:21" s="2" customFormat="1" ht="12.75" customHeight="1">
      <c r="A67" s="73" t="s">
        <v>98</v>
      </c>
      <c r="B67" s="68">
        <f>SUM(B68:B69)</f>
        <v>337498</v>
      </c>
      <c r="C67" s="68">
        <f>SUM(C68:C69)</f>
        <v>196000</v>
      </c>
      <c r="D67" s="76">
        <f>SUM(D68:D69)</f>
        <v>182314.05</v>
      </c>
      <c r="E67" s="57">
        <f t="shared" si="2"/>
        <v>0.5401929789213565</v>
      </c>
      <c r="F67" s="57">
        <f t="shared" si="3"/>
        <v>0.9301737244897959</v>
      </c>
      <c r="G67" s="68">
        <f>D67-'[1]Jūnijs'!D67</f>
        <v>29744.02999999997</v>
      </c>
      <c r="H67" s="74" t="s">
        <v>98</v>
      </c>
      <c r="I67" s="68">
        <f>SUM(I68:I69)</f>
        <v>338</v>
      </c>
      <c r="J67" s="68">
        <f>SUM(J68:J69)</f>
        <v>196</v>
      </c>
      <c r="K67" s="68">
        <f>SUM(K68:K69)</f>
        <v>182</v>
      </c>
      <c r="L67" s="59">
        <f t="shared" si="5"/>
        <v>0.5384615384615384</v>
      </c>
      <c r="M67" s="59">
        <f t="shared" si="6"/>
        <v>0.9285714285714286</v>
      </c>
      <c r="N67" s="68">
        <f>N68+N69</f>
        <v>30</v>
      </c>
      <c r="O67" s="51" t="str">
        <f t="shared" si="0"/>
        <v>Satversmes tiesa</v>
      </c>
      <c r="P67" s="51">
        <f t="shared" si="1"/>
        <v>182</v>
      </c>
      <c r="Q67" s="51">
        <v>153</v>
      </c>
      <c r="R67" s="60">
        <v>182</v>
      </c>
      <c r="S67" s="2">
        <v>153</v>
      </c>
      <c r="U67" s="2">
        <f t="shared" si="4"/>
        <v>29</v>
      </c>
    </row>
    <row r="68" spans="1:21" s="39" customFormat="1" ht="12.75" customHeight="1">
      <c r="A68" s="62" t="s">
        <v>77</v>
      </c>
      <c r="B68" s="71">
        <v>311998</v>
      </c>
      <c r="C68" s="71">
        <v>181000</v>
      </c>
      <c r="D68" s="71">
        <v>167314.05</v>
      </c>
      <c r="E68" s="63">
        <f t="shared" si="2"/>
        <v>0.5362664183744767</v>
      </c>
      <c r="F68" s="63">
        <f t="shared" si="3"/>
        <v>0.9243870165745856</v>
      </c>
      <c r="G68" s="71">
        <f>D68-'[1]Jūnijs'!D68</f>
        <v>27613.569999999978</v>
      </c>
      <c r="H68" s="62" t="s">
        <v>77</v>
      </c>
      <c r="I68" s="71">
        <f aca="true" t="shared" si="19" ref="I68:K69">ROUND(B68/1000,0)</f>
        <v>312</v>
      </c>
      <c r="J68" s="71">
        <f t="shared" si="19"/>
        <v>181</v>
      </c>
      <c r="K68" s="71">
        <f t="shared" si="19"/>
        <v>167</v>
      </c>
      <c r="L68" s="64">
        <f t="shared" si="5"/>
        <v>0.5352564102564102</v>
      </c>
      <c r="M68" s="64">
        <f t="shared" si="6"/>
        <v>0.9226519337016574</v>
      </c>
      <c r="N68" s="71">
        <f>K68-'[1]Jūnijs'!K68+1</f>
        <v>28</v>
      </c>
      <c r="O68" s="50" t="str">
        <f t="shared" si="0"/>
        <v>     Uzturēšanas izdevumi</v>
      </c>
      <c r="P68" s="50">
        <f t="shared" si="1"/>
        <v>167</v>
      </c>
      <c r="Q68" s="51">
        <v>140</v>
      </c>
      <c r="R68" s="54">
        <v>167</v>
      </c>
      <c r="S68" s="39">
        <v>140</v>
      </c>
      <c r="U68" s="2">
        <f t="shared" si="4"/>
        <v>27</v>
      </c>
    </row>
    <row r="69" spans="1:21" s="39" customFormat="1" ht="12.75" customHeight="1">
      <c r="A69" s="62" t="s">
        <v>78</v>
      </c>
      <c r="B69" s="71">
        <v>25500</v>
      </c>
      <c r="C69" s="71">
        <v>15000</v>
      </c>
      <c r="D69" s="72">
        <v>15000</v>
      </c>
      <c r="E69" s="63">
        <f t="shared" si="2"/>
        <v>0.5882352941176471</v>
      </c>
      <c r="F69" s="63">
        <f t="shared" si="3"/>
        <v>1</v>
      </c>
      <c r="G69" s="71">
        <f>D69-'[1]Jūnijs'!D69</f>
        <v>2130.459999999999</v>
      </c>
      <c r="H69" s="62" t="s">
        <v>78</v>
      </c>
      <c r="I69" s="71">
        <f t="shared" si="19"/>
        <v>26</v>
      </c>
      <c r="J69" s="71">
        <f>ROUND(C69/1000,0)</f>
        <v>15</v>
      </c>
      <c r="K69" s="82">
        <f t="shared" si="19"/>
        <v>15</v>
      </c>
      <c r="L69" s="64">
        <f t="shared" si="5"/>
        <v>0.5769230769230769</v>
      </c>
      <c r="M69" s="64">
        <f t="shared" si="6"/>
        <v>1</v>
      </c>
      <c r="N69" s="71">
        <f>K69-'[1]Jūnijs'!K69</f>
        <v>2</v>
      </c>
      <c r="O69" s="50" t="str">
        <f t="shared" si="0"/>
        <v>     Izdevumi kapitālieguldījumiem</v>
      </c>
      <c r="P69" s="50">
        <f t="shared" si="1"/>
        <v>15</v>
      </c>
      <c r="Q69" s="51">
        <v>13</v>
      </c>
      <c r="R69" s="54">
        <v>15</v>
      </c>
      <c r="S69" s="39">
        <v>13</v>
      </c>
      <c r="U69" s="2">
        <f t="shared" si="4"/>
        <v>2</v>
      </c>
    </row>
    <row r="70" spans="1:21" s="2" customFormat="1" ht="15" customHeight="1">
      <c r="A70" s="73" t="s">
        <v>99</v>
      </c>
      <c r="B70" s="68">
        <f>SUM(B71:B72)</f>
        <v>6261805</v>
      </c>
      <c r="C70" s="68">
        <f>SUM(C71:C72)</f>
        <v>3628620</v>
      </c>
      <c r="D70" s="68">
        <f>SUM(D71:D72)</f>
        <v>3563698.34</v>
      </c>
      <c r="E70" s="57">
        <f t="shared" si="2"/>
        <v>0.5691167866134444</v>
      </c>
      <c r="F70" s="57">
        <f t="shared" si="3"/>
        <v>0.9821084434302848</v>
      </c>
      <c r="G70" s="68">
        <f>SUM(G71:G72)</f>
        <v>518893.80999999994</v>
      </c>
      <c r="H70" s="74" t="s">
        <v>99</v>
      </c>
      <c r="I70" s="68">
        <f>SUM(I71:I72)</f>
        <v>6262</v>
      </c>
      <c r="J70" s="83">
        <f>SUM(J71:J72)</f>
        <v>3629</v>
      </c>
      <c r="K70" s="84">
        <f>SUM(K71:K72)</f>
        <v>3564</v>
      </c>
      <c r="L70" s="85">
        <f t="shared" si="5"/>
        <v>0.5691472373043756</v>
      </c>
      <c r="M70" s="59">
        <f t="shared" si="6"/>
        <v>0.9820887296775971</v>
      </c>
      <c r="N70" s="68">
        <f>SUM(N71:N72)</f>
        <v>519</v>
      </c>
      <c r="O70" s="51" t="str">
        <f t="shared" si="0"/>
        <v>Prokuratūra</v>
      </c>
      <c r="P70" s="51">
        <f t="shared" si="1"/>
        <v>3564</v>
      </c>
      <c r="Q70" s="51">
        <v>3045</v>
      </c>
      <c r="R70" s="60">
        <v>3564</v>
      </c>
      <c r="S70" s="2">
        <v>3045</v>
      </c>
      <c r="U70" s="2">
        <f t="shared" si="4"/>
        <v>519</v>
      </c>
    </row>
    <row r="71" spans="1:21" s="39" customFormat="1" ht="12.75" customHeight="1">
      <c r="A71" s="62" t="s">
        <v>77</v>
      </c>
      <c r="B71" s="71">
        <v>6184745</v>
      </c>
      <c r="C71" s="71">
        <v>3574820</v>
      </c>
      <c r="D71" s="71">
        <v>3518345.76</v>
      </c>
      <c r="E71" s="63">
        <f t="shared" si="2"/>
        <v>0.5688748299242733</v>
      </c>
      <c r="F71" s="63">
        <f t="shared" si="3"/>
        <v>0.9842022143772273</v>
      </c>
      <c r="G71" s="71">
        <f>D71-'[1]Jūnijs'!D71</f>
        <v>512426.18999999994</v>
      </c>
      <c r="H71" s="62" t="s">
        <v>77</v>
      </c>
      <c r="I71" s="71">
        <f aca="true" t="shared" si="20" ref="I71:K72">ROUND(B71/1000,0)</f>
        <v>6185</v>
      </c>
      <c r="J71" s="71">
        <f t="shared" si="20"/>
        <v>3575</v>
      </c>
      <c r="K71" s="86">
        <f>ROUND(D71/1000,0)+1</f>
        <v>3519</v>
      </c>
      <c r="L71" s="64">
        <f t="shared" si="5"/>
        <v>0.5689571544058205</v>
      </c>
      <c r="M71" s="64">
        <f t="shared" si="6"/>
        <v>0.9843356643356643</v>
      </c>
      <c r="N71" s="71">
        <f>K71-'[1]Jūnijs'!K71</f>
        <v>513</v>
      </c>
      <c r="O71" s="50" t="str">
        <f t="shared" si="0"/>
        <v>     Uzturēšanas izdevumi</v>
      </c>
      <c r="P71" s="50">
        <f t="shared" si="1"/>
        <v>3519</v>
      </c>
      <c r="Q71" s="51">
        <v>3006</v>
      </c>
      <c r="R71" s="54">
        <v>3519</v>
      </c>
      <c r="S71" s="39">
        <v>3006</v>
      </c>
      <c r="U71" s="2">
        <f t="shared" si="4"/>
        <v>513</v>
      </c>
    </row>
    <row r="72" spans="1:21" s="39" customFormat="1" ht="12.75" customHeight="1">
      <c r="A72" s="62" t="s">
        <v>78</v>
      </c>
      <c r="B72" s="71">
        <v>77060</v>
      </c>
      <c r="C72" s="75">
        <v>53800</v>
      </c>
      <c r="D72" s="71">
        <v>45352.58</v>
      </c>
      <c r="E72" s="63">
        <f t="shared" si="2"/>
        <v>0.5885359460160914</v>
      </c>
      <c r="F72" s="63">
        <f t="shared" si="3"/>
        <v>0.8429847583643123</v>
      </c>
      <c r="G72" s="71">
        <f>D72-'[1]Jūnijs'!D72</f>
        <v>6467.620000000003</v>
      </c>
      <c r="H72" s="62" t="s">
        <v>78</v>
      </c>
      <c r="I72" s="71">
        <f t="shared" si="20"/>
        <v>77</v>
      </c>
      <c r="J72" s="71">
        <f t="shared" si="20"/>
        <v>54</v>
      </c>
      <c r="K72" s="71">
        <f t="shared" si="20"/>
        <v>45</v>
      </c>
      <c r="L72" s="64">
        <f t="shared" si="5"/>
        <v>0.5844155844155844</v>
      </c>
      <c r="M72" s="64">
        <f t="shared" si="6"/>
        <v>0.8333333333333334</v>
      </c>
      <c r="N72" s="71">
        <f>K72-'[1]Jūnijs'!K72</f>
        <v>6</v>
      </c>
      <c r="O72" s="50" t="str">
        <f t="shared" si="0"/>
        <v>     Izdevumi kapitālieguldījumiem</v>
      </c>
      <c r="P72" s="50">
        <f t="shared" si="1"/>
        <v>45</v>
      </c>
      <c r="Q72" s="51">
        <v>39</v>
      </c>
      <c r="R72" s="54">
        <v>45</v>
      </c>
      <c r="S72" s="39">
        <v>39</v>
      </c>
      <c r="U72" s="2">
        <f t="shared" si="4"/>
        <v>6</v>
      </c>
    </row>
    <row r="73" spans="1:21" s="2" customFormat="1" ht="12.75" customHeight="1">
      <c r="A73" s="87" t="s">
        <v>100</v>
      </c>
      <c r="B73" s="68">
        <f>SUM(B74:B75)</f>
        <v>77359</v>
      </c>
      <c r="C73" s="68">
        <f>C74+C75</f>
        <v>43850</v>
      </c>
      <c r="D73" s="68">
        <f>SUM(D74:D75)</f>
        <v>40168.53</v>
      </c>
      <c r="E73" s="57">
        <f t="shared" si="2"/>
        <v>0.5192483098282036</v>
      </c>
      <c r="F73" s="57">
        <f t="shared" si="3"/>
        <v>0.9160440136830102</v>
      </c>
      <c r="G73" s="68">
        <f>SUM(G74:G75)</f>
        <v>6783.609999999996</v>
      </c>
      <c r="H73" s="88" t="s">
        <v>100</v>
      </c>
      <c r="I73" s="68">
        <f>SUM(I74:I75)</f>
        <v>77</v>
      </c>
      <c r="J73" s="68">
        <f>SUM(J74:J75)</f>
        <v>44</v>
      </c>
      <c r="K73" s="68">
        <f>SUM(K74:K75)</f>
        <v>40</v>
      </c>
      <c r="L73" s="59">
        <f t="shared" si="5"/>
        <v>0.5194805194805194</v>
      </c>
      <c r="M73" s="59">
        <f t="shared" si="6"/>
        <v>0.9090909090909091</v>
      </c>
      <c r="N73" s="68">
        <f>SUM(N74:N75)</f>
        <v>7</v>
      </c>
      <c r="O73" s="51" t="str">
        <f aca="true" t="shared" si="21" ref="O73:O95">H73</f>
        <v>Centrālā vēlēšanu komisija</v>
      </c>
      <c r="P73" s="51">
        <f aca="true" t="shared" si="22" ref="P73:P95">K73</f>
        <v>40</v>
      </c>
      <c r="Q73" s="51">
        <v>33</v>
      </c>
      <c r="R73" s="60">
        <v>40</v>
      </c>
      <c r="S73" s="2">
        <v>33</v>
      </c>
      <c r="U73" s="2">
        <f t="shared" si="4"/>
        <v>7</v>
      </c>
    </row>
    <row r="74" spans="1:21" s="39" customFormat="1" ht="12.75" customHeight="1">
      <c r="A74" s="62" t="s">
        <v>77</v>
      </c>
      <c r="B74" s="71">
        <v>75359</v>
      </c>
      <c r="C74" s="71">
        <v>41850</v>
      </c>
      <c r="D74" s="71">
        <v>38470.24</v>
      </c>
      <c r="E74" s="63">
        <f t="shared" si="2"/>
        <v>0.5104929736328773</v>
      </c>
      <c r="F74" s="63">
        <f t="shared" si="3"/>
        <v>0.9192410991636798</v>
      </c>
      <c r="G74" s="71">
        <f>D74-'[1]Jūnijs'!D74</f>
        <v>6363.249999999996</v>
      </c>
      <c r="H74" s="62" t="s">
        <v>77</v>
      </c>
      <c r="I74" s="71">
        <f aca="true" t="shared" si="23" ref="I74:K75">ROUND(B74/1000,0)</f>
        <v>75</v>
      </c>
      <c r="J74" s="71">
        <f t="shared" si="23"/>
        <v>42</v>
      </c>
      <c r="K74" s="71">
        <f t="shared" si="23"/>
        <v>38</v>
      </c>
      <c r="L74" s="64">
        <f t="shared" si="5"/>
        <v>0.5066666666666667</v>
      </c>
      <c r="M74" s="64">
        <f t="shared" si="6"/>
        <v>0.9047619047619048</v>
      </c>
      <c r="N74" s="71">
        <f>K74-'[1]Jūnijs'!K74</f>
        <v>6</v>
      </c>
      <c r="O74" s="50" t="str">
        <f t="shared" si="21"/>
        <v>     Uzturēšanas izdevumi</v>
      </c>
      <c r="P74" s="50">
        <f t="shared" si="22"/>
        <v>38</v>
      </c>
      <c r="Q74" s="51">
        <v>32</v>
      </c>
      <c r="R74" s="54">
        <v>38</v>
      </c>
      <c r="S74" s="39">
        <v>32</v>
      </c>
      <c r="U74" s="2">
        <f t="shared" si="4"/>
        <v>6</v>
      </c>
    </row>
    <row r="75" spans="1:21" s="39" customFormat="1" ht="12.75" customHeight="1">
      <c r="A75" s="62" t="s">
        <v>78</v>
      </c>
      <c r="B75" s="71">
        <v>2000</v>
      </c>
      <c r="C75" s="71">
        <v>2000</v>
      </c>
      <c r="D75" s="71">
        <v>1698.29</v>
      </c>
      <c r="E75" s="63">
        <f t="shared" si="2"/>
        <v>0.8491449999999999</v>
      </c>
      <c r="F75" s="63">
        <f t="shared" si="3"/>
        <v>0.8491449999999999</v>
      </c>
      <c r="G75" s="71">
        <f>D75-'[1]Jūnijs'!D75</f>
        <v>420.3599999999999</v>
      </c>
      <c r="H75" s="62" t="s">
        <v>78</v>
      </c>
      <c r="I75" s="71">
        <f t="shared" si="23"/>
        <v>2</v>
      </c>
      <c r="J75" s="71">
        <f t="shared" si="23"/>
        <v>2</v>
      </c>
      <c r="K75" s="71">
        <f t="shared" si="23"/>
        <v>2</v>
      </c>
      <c r="L75" s="64">
        <f t="shared" si="5"/>
        <v>1</v>
      </c>
      <c r="M75" s="64">
        <f t="shared" si="6"/>
        <v>1</v>
      </c>
      <c r="N75" s="71">
        <f>K75-'[1]Jūnijs'!K75</f>
        <v>1</v>
      </c>
      <c r="O75" s="50" t="str">
        <f t="shared" si="21"/>
        <v>     Izdevumi kapitālieguldījumiem</v>
      </c>
      <c r="P75" s="50">
        <f t="shared" si="22"/>
        <v>2</v>
      </c>
      <c r="Q75" s="51">
        <v>1</v>
      </c>
      <c r="R75" s="54">
        <v>2</v>
      </c>
      <c r="S75" s="39">
        <v>1</v>
      </c>
      <c r="U75" s="2">
        <f t="shared" si="4"/>
        <v>1</v>
      </c>
    </row>
    <row r="76" spans="1:21" s="2" customFormat="1" ht="12.75" customHeight="1">
      <c r="A76" s="67" t="s">
        <v>101</v>
      </c>
      <c r="B76" s="68">
        <f>SUM(B77)</f>
        <v>52299</v>
      </c>
      <c r="C76" s="68">
        <f>SUM(C77)</f>
        <v>29650</v>
      </c>
      <c r="D76" s="68">
        <f>SUM(D77)</f>
        <v>27231.53</v>
      </c>
      <c r="E76" s="57">
        <f aca="true" t="shared" si="24" ref="E76:E95">IF(ISERROR(D76/B76)," ",(D76/B76))</f>
        <v>0.5206893057228628</v>
      </c>
      <c r="F76" s="57">
        <f aca="true" t="shared" si="25" ref="F76:F90">IF(ISERROR(D76/C76)," ",(D76/C76))</f>
        <v>0.9184327150084317</v>
      </c>
      <c r="G76" s="68">
        <f>G77</f>
        <v>2590.34</v>
      </c>
      <c r="H76" s="69" t="s">
        <v>101</v>
      </c>
      <c r="I76" s="68">
        <f>SUM(I77)</f>
        <v>52</v>
      </c>
      <c r="J76" s="68">
        <f>SUM(J77)</f>
        <v>30</v>
      </c>
      <c r="K76" s="68">
        <f>SUM(K77)</f>
        <v>27</v>
      </c>
      <c r="L76" s="59">
        <f t="shared" si="5"/>
        <v>0.5192307692307693</v>
      </c>
      <c r="M76" s="59">
        <f t="shared" si="6"/>
        <v>0.9</v>
      </c>
      <c r="N76" s="68">
        <f>SUM(N77)</f>
        <v>3</v>
      </c>
      <c r="O76" s="51" t="str">
        <f t="shared" si="21"/>
        <v>Centrālā zemes komisija</v>
      </c>
      <c r="P76" s="51">
        <f t="shared" si="22"/>
        <v>27</v>
      </c>
      <c r="Q76" s="51">
        <v>25</v>
      </c>
      <c r="R76" s="60">
        <v>27</v>
      </c>
      <c r="S76" s="2">
        <v>25</v>
      </c>
      <c r="U76" s="2">
        <f aca="true" t="shared" si="26" ref="U76:U95">R76-S76</f>
        <v>2</v>
      </c>
    </row>
    <row r="77" spans="1:21" s="39" customFormat="1" ht="12.75" customHeight="1">
      <c r="A77" s="62" t="s">
        <v>77</v>
      </c>
      <c r="B77" s="71">
        <v>52299</v>
      </c>
      <c r="C77" s="71">
        <v>29650</v>
      </c>
      <c r="D77" s="71">
        <v>27231.53</v>
      </c>
      <c r="E77" s="63">
        <f t="shared" si="24"/>
        <v>0.5206893057228628</v>
      </c>
      <c r="F77" s="63">
        <f t="shared" si="25"/>
        <v>0.9184327150084317</v>
      </c>
      <c r="G77" s="71">
        <f>D77-'[1]Jūnijs'!D77</f>
        <v>2590.34</v>
      </c>
      <c r="H77" s="62" t="s">
        <v>77</v>
      </c>
      <c r="I77" s="71">
        <f>ROUND(B77/1000,0)</f>
        <v>52</v>
      </c>
      <c r="J77" s="71">
        <f>ROUND(C77/1000,0)</f>
        <v>30</v>
      </c>
      <c r="K77" s="71">
        <f>ROUND(D77/1000,0)</f>
        <v>27</v>
      </c>
      <c r="L77" s="64">
        <f aca="true" t="shared" si="27" ref="L77:L95">IF(ISERROR(ROUND(K77,0)/ROUND(I77,0))," ",(ROUND(K77,)/ROUND(I77,)))</f>
        <v>0.5192307692307693</v>
      </c>
      <c r="M77" s="64">
        <f t="shared" si="6"/>
        <v>0.9</v>
      </c>
      <c r="N77" s="71">
        <f>K77-'[1]Jūnijs'!K77+1</f>
        <v>3</v>
      </c>
      <c r="O77" s="50" t="str">
        <f t="shared" si="21"/>
        <v>     Uzturēšanas izdevumi</v>
      </c>
      <c r="P77" s="50">
        <f t="shared" si="22"/>
        <v>27</v>
      </c>
      <c r="Q77" s="51">
        <v>25</v>
      </c>
      <c r="R77" s="54">
        <v>27</v>
      </c>
      <c r="S77" s="39">
        <v>25</v>
      </c>
      <c r="U77" s="2">
        <f t="shared" si="26"/>
        <v>2</v>
      </c>
    </row>
    <row r="78" spans="1:21" s="2" customFormat="1" ht="12.75" customHeight="1">
      <c r="A78" s="67" t="s">
        <v>102</v>
      </c>
      <c r="B78" s="68">
        <f>SUM(B79)</f>
        <v>784088</v>
      </c>
      <c r="C78" s="68">
        <f>SUM(C79)</f>
        <v>444518</v>
      </c>
      <c r="D78" s="68">
        <f>SUM(D79)</f>
        <v>444518</v>
      </c>
      <c r="E78" s="57">
        <f t="shared" si="24"/>
        <v>0.5669236106151351</v>
      </c>
      <c r="F78" s="57">
        <f t="shared" si="25"/>
        <v>1</v>
      </c>
      <c r="G78" s="68">
        <f>SUM(G79)</f>
        <v>59670</v>
      </c>
      <c r="H78" s="69" t="s">
        <v>102</v>
      </c>
      <c r="I78" s="68">
        <f>SUM(I79)</f>
        <v>784</v>
      </c>
      <c r="J78" s="68">
        <f>SUM(J79)</f>
        <v>445</v>
      </c>
      <c r="K78" s="68">
        <f>SUM(K79)</f>
        <v>445</v>
      </c>
      <c r="L78" s="59">
        <f t="shared" si="27"/>
        <v>0.5676020408163265</v>
      </c>
      <c r="M78" s="59">
        <f aca="true" t="shared" si="28" ref="M78:M95">IF(ISERROR(ROUND(K78,0)/ROUND(J78,0))," ",(ROUND(K78,)/ROUND(J78,)))</f>
        <v>1</v>
      </c>
      <c r="N78" s="68">
        <f>K78-'[1]Jūnijs'!K78</f>
        <v>60</v>
      </c>
      <c r="O78" s="51" t="str">
        <f t="shared" si="21"/>
        <v>Satversmes aizsardzības birojs</v>
      </c>
      <c r="P78" s="51">
        <f t="shared" si="22"/>
        <v>445</v>
      </c>
      <c r="Q78" s="51">
        <v>385</v>
      </c>
      <c r="R78" s="60">
        <v>445</v>
      </c>
      <c r="S78" s="2">
        <v>385</v>
      </c>
      <c r="U78" s="2">
        <f t="shared" si="26"/>
        <v>60</v>
      </c>
    </row>
    <row r="79" spans="1:21" s="39" customFormat="1" ht="12.75" customHeight="1">
      <c r="A79" s="62" t="s">
        <v>77</v>
      </c>
      <c r="B79" s="71">
        <v>784088</v>
      </c>
      <c r="C79" s="71">
        <v>444518</v>
      </c>
      <c r="D79" s="71">
        <v>444518</v>
      </c>
      <c r="E79" s="63">
        <f t="shared" si="24"/>
        <v>0.5669236106151351</v>
      </c>
      <c r="F79" s="63">
        <f t="shared" si="25"/>
        <v>1</v>
      </c>
      <c r="G79" s="71">
        <f>D79-'[1]Jūnijs'!D79</f>
        <v>59670</v>
      </c>
      <c r="H79" s="62" t="s">
        <v>77</v>
      </c>
      <c r="I79" s="71">
        <f>ROUND(B79/1000,0)</f>
        <v>784</v>
      </c>
      <c r="J79" s="71">
        <f>ROUND(C79/1000,0)</f>
        <v>445</v>
      </c>
      <c r="K79" s="71">
        <f>ROUND(D79/1000,0)</f>
        <v>445</v>
      </c>
      <c r="L79" s="64">
        <f t="shared" si="27"/>
        <v>0.5676020408163265</v>
      </c>
      <c r="M79" s="64">
        <f t="shared" si="28"/>
        <v>1</v>
      </c>
      <c r="N79" s="71">
        <f>K79-'[1]Jūnijs'!K79</f>
        <v>60</v>
      </c>
      <c r="O79" s="50" t="str">
        <f t="shared" si="21"/>
        <v>     Uzturēšanas izdevumi</v>
      </c>
      <c r="P79" s="50">
        <f t="shared" si="22"/>
        <v>445</v>
      </c>
      <c r="Q79" s="51">
        <v>385</v>
      </c>
      <c r="R79" s="54">
        <v>445</v>
      </c>
      <c r="S79" s="39">
        <v>385</v>
      </c>
      <c r="U79" s="2">
        <f t="shared" si="26"/>
        <v>60</v>
      </c>
    </row>
    <row r="80" spans="1:21" s="2" customFormat="1" ht="12.75" customHeight="1">
      <c r="A80" s="73" t="s">
        <v>103</v>
      </c>
      <c r="B80" s="68">
        <f>SUM(B81:B82)</f>
        <v>6784329</v>
      </c>
      <c r="C80" s="68">
        <f>SUM(C81:C82)</f>
        <v>3988818</v>
      </c>
      <c r="D80" s="76">
        <f>SUM(D81:D82)</f>
        <v>3980664.31</v>
      </c>
      <c r="E80" s="57">
        <f t="shared" si="24"/>
        <v>0.5867439963480545</v>
      </c>
      <c r="F80" s="57">
        <f t="shared" si="25"/>
        <v>0.9979558631153389</v>
      </c>
      <c r="G80" s="68">
        <f>SUM(G81:G82)</f>
        <v>549942.1799999999</v>
      </c>
      <c r="H80" s="74" t="s">
        <v>103</v>
      </c>
      <c r="I80" s="68">
        <f>SUM(I81:I82)</f>
        <v>6783</v>
      </c>
      <c r="J80" s="68">
        <f>SUM(J81:J82)</f>
        <v>3989</v>
      </c>
      <c r="K80" s="68">
        <f>SUM(K81:K82)</f>
        <v>3981</v>
      </c>
      <c r="L80" s="59">
        <f t="shared" si="27"/>
        <v>0.5869084475895622</v>
      </c>
      <c r="M80" s="59">
        <f t="shared" si="28"/>
        <v>0.9979944848332916</v>
      </c>
      <c r="N80" s="68">
        <f>K80-'[1]Jūnijs'!K80</f>
        <v>550</v>
      </c>
      <c r="O80" s="51" t="str">
        <f t="shared" si="21"/>
        <v>Radio un televīzija</v>
      </c>
      <c r="P80" s="51">
        <f t="shared" si="22"/>
        <v>3981</v>
      </c>
      <c r="Q80" s="51">
        <v>3431</v>
      </c>
      <c r="R80" s="60">
        <v>3981</v>
      </c>
      <c r="S80" s="2">
        <v>3431</v>
      </c>
      <c r="U80" s="2">
        <f t="shared" si="26"/>
        <v>550</v>
      </c>
    </row>
    <row r="81" spans="1:21" s="39" customFormat="1" ht="12.75" customHeight="1">
      <c r="A81" s="62" t="s">
        <v>77</v>
      </c>
      <c r="B81" s="71">
        <v>6576329</v>
      </c>
      <c r="C81" s="71">
        <v>3827918</v>
      </c>
      <c r="D81" s="71">
        <v>3822159.41</v>
      </c>
      <c r="E81" s="63">
        <f t="shared" si="24"/>
        <v>0.5811995430885529</v>
      </c>
      <c r="F81" s="63">
        <f t="shared" si="25"/>
        <v>0.998495633919013</v>
      </c>
      <c r="G81" s="71">
        <f>D81-'[1]Jūnijs'!D81</f>
        <v>549012.1699999999</v>
      </c>
      <c r="H81" s="62" t="s">
        <v>77</v>
      </c>
      <c r="I81" s="71">
        <f aca="true" t="shared" si="29" ref="I81:K82">ROUND(B81/1000,0)</f>
        <v>6576</v>
      </c>
      <c r="J81" s="71">
        <f>ROUND(C81/1000,0)</f>
        <v>3828</v>
      </c>
      <c r="K81" s="71">
        <f t="shared" si="29"/>
        <v>3822</v>
      </c>
      <c r="L81" s="64">
        <f t="shared" si="27"/>
        <v>0.5812043795620438</v>
      </c>
      <c r="M81" s="64">
        <f t="shared" si="28"/>
        <v>0.9984326018808778</v>
      </c>
      <c r="N81" s="71">
        <f>K81-'[1]Jūnijs'!K81</f>
        <v>549</v>
      </c>
      <c r="O81" s="50" t="str">
        <f t="shared" si="21"/>
        <v>     Uzturēšanas izdevumi</v>
      </c>
      <c r="P81" s="50">
        <f t="shared" si="22"/>
        <v>3822</v>
      </c>
      <c r="Q81" s="51">
        <v>3273</v>
      </c>
      <c r="R81" s="54">
        <v>3822</v>
      </c>
      <c r="S81" s="39">
        <v>3273</v>
      </c>
      <c r="U81" s="2">
        <f t="shared" si="26"/>
        <v>549</v>
      </c>
    </row>
    <row r="82" spans="1:21" s="39" customFormat="1" ht="12.75" customHeight="1">
      <c r="A82" s="62" t="s">
        <v>78</v>
      </c>
      <c r="B82" s="71">
        <v>208000</v>
      </c>
      <c r="C82" s="71">
        <v>160900</v>
      </c>
      <c r="D82" s="71">
        <v>158504.9</v>
      </c>
      <c r="E82" s="63">
        <f t="shared" si="24"/>
        <v>0.7620427884615384</v>
      </c>
      <c r="F82" s="63">
        <f t="shared" si="25"/>
        <v>0.9851143567433188</v>
      </c>
      <c r="G82" s="71">
        <f>D82-'[1]Jūnijs'!D82</f>
        <v>930.0099999999802</v>
      </c>
      <c r="H82" s="62" t="s">
        <v>78</v>
      </c>
      <c r="I82" s="71">
        <f>ROUND(B82/1000,0)-1</f>
        <v>207</v>
      </c>
      <c r="J82" s="71">
        <f t="shared" si="29"/>
        <v>161</v>
      </c>
      <c r="K82" s="71">
        <f>ROUND(D82/1000,0)</f>
        <v>159</v>
      </c>
      <c r="L82" s="64">
        <f t="shared" si="27"/>
        <v>0.7681159420289855</v>
      </c>
      <c r="M82" s="64">
        <f t="shared" si="28"/>
        <v>0.9875776397515528</v>
      </c>
      <c r="N82" s="71">
        <f>K82-'[1]Jūnijs'!K82</f>
        <v>1</v>
      </c>
      <c r="O82" s="50" t="str">
        <f t="shared" si="21"/>
        <v>     Izdevumi kapitālieguldījumiem</v>
      </c>
      <c r="P82" s="50">
        <f t="shared" si="22"/>
        <v>159</v>
      </c>
      <c r="Q82" s="51">
        <v>158</v>
      </c>
      <c r="R82" s="54">
        <v>159</v>
      </c>
      <c r="S82" s="39">
        <v>158</v>
      </c>
      <c r="U82" s="2">
        <f t="shared" si="26"/>
        <v>1</v>
      </c>
    </row>
    <row r="83" spans="1:21" s="2" customFormat="1" ht="12.75" customHeight="1">
      <c r="A83" s="67" t="s">
        <v>104</v>
      </c>
      <c r="B83" s="68">
        <f>SUM(B84)</f>
        <v>96621</v>
      </c>
      <c r="C83" s="68">
        <f>SUM(C84)</f>
        <v>58588</v>
      </c>
      <c r="D83" s="68">
        <f>SUM(D84)</f>
        <v>58588</v>
      </c>
      <c r="E83" s="57">
        <f t="shared" si="24"/>
        <v>0.6063692158019478</v>
      </c>
      <c r="F83" s="57">
        <f t="shared" si="25"/>
        <v>1</v>
      </c>
      <c r="G83" s="68">
        <f>SUM(G84)</f>
        <v>8264</v>
      </c>
      <c r="H83" s="69" t="s">
        <v>104</v>
      </c>
      <c r="I83" s="68">
        <f>SUM(I84)</f>
        <v>97</v>
      </c>
      <c r="J83" s="68">
        <f>SUM(J84)</f>
        <v>59</v>
      </c>
      <c r="K83" s="68">
        <f>SUM(K84)</f>
        <v>59</v>
      </c>
      <c r="L83" s="59">
        <f t="shared" si="27"/>
        <v>0.6082474226804123</v>
      </c>
      <c r="M83" s="59">
        <f t="shared" si="28"/>
        <v>1</v>
      </c>
      <c r="N83" s="68">
        <f>SUM(N84)</f>
        <v>9</v>
      </c>
      <c r="O83" s="51" t="str">
        <f t="shared" si="21"/>
        <v>Valsts cilvēktiesību birojs</v>
      </c>
      <c r="P83" s="51">
        <f t="shared" si="22"/>
        <v>59</v>
      </c>
      <c r="Q83" s="51">
        <v>50</v>
      </c>
      <c r="R83" s="60">
        <v>59</v>
      </c>
      <c r="S83" s="2">
        <v>50</v>
      </c>
      <c r="U83" s="2">
        <f t="shared" si="26"/>
        <v>9</v>
      </c>
    </row>
    <row r="84" spans="1:21" s="39" customFormat="1" ht="12.75" customHeight="1">
      <c r="A84" s="62" t="s">
        <v>77</v>
      </c>
      <c r="B84" s="71">
        <v>96621</v>
      </c>
      <c r="C84" s="71">
        <v>58588</v>
      </c>
      <c r="D84" s="71">
        <v>58588</v>
      </c>
      <c r="E84" s="63">
        <f t="shared" si="24"/>
        <v>0.6063692158019478</v>
      </c>
      <c r="F84" s="63">
        <f t="shared" si="25"/>
        <v>1</v>
      </c>
      <c r="G84" s="71">
        <f>D84-'[1]Jūnijs'!D84</f>
        <v>8264</v>
      </c>
      <c r="H84" s="62" t="s">
        <v>77</v>
      </c>
      <c r="I84" s="71">
        <f>ROUND(B84/1000,0)</f>
        <v>97</v>
      </c>
      <c r="J84" s="71">
        <f>ROUND(C84/1000,0)</f>
        <v>59</v>
      </c>
      <c r="K84" s="71">
        <f>ROUND(D84/1000,0)</f>
        <v>59</v>
      </c>
      <c r="L84" s="64">
        <f t="shared" si="27"/>
        <v>0.6082474226804123</v>
      </c>
      <c r="M84" s="64">
        <f t="shared" si="28"/>
        <v>1</v>
      </c>
      <c r="N84" s="71">
        <f>K84-'[1]Jūnijs'!K84</f>
        <v>9</v>
      </c>
      <c r="O84" s="50" t="str">
        <f t="shared" si="21"/>
        <v>     Uzturēšanas izdevumi</v>
      </c>
      <c r="P84" s="50">
        <f t="shared" si="22"/>
        <v>59</v>
      </c>
      <c r="Q84" s="51">
        <v>50</v>
      </c>
      <c r="R84" s="54">
        <v>59</v>
      </c>
      <c r="S84" s="39">
        <v>50</v>
      </c>
      <c r="U84" s="2">
        <f t="shared" si="26"/>
        <v>9</v>
      </c>
    </row>
    <row r="85" spans="1:21" s="2" customFormat="1" ht="38.25" customHeight="1">
      <c r="A85" s="89" t="s">
        <v>105</v>
      </c>
      <c r="B85" s="68">
        <f>SUM(B86:B87)</f>
        <v>2265881</v>
      </c>
      <c r="C85" s="68">
        <f>SUM(C86:C87)</f>
        <v>1463903</v>
      </c>
      <c r="D85" s="76">
        <f>SUM(D86:D87)</f>
        <v>707266.63</v>
      </c>
      <c r="E85" s="57">
        <f t="shared" si="24"/>
        <v>0.3121375879845411</v>
      </c>
      <c r="F85" s="57">
        <f t="shared" si="25"/>
        <v>0.48313763275298977</v>
      </c>
      <c r="G85" s="68">
        <f>SUM(G86:G87)</f>
        <v>34118.54000000001</v>
      </c>
      <c r="H85" s="90" t="s">
        <v>105</v>
      </c>
      <c r="I85" s="68">
        <f>SUM(I86:I87)</f>
        <v>2266</v>
      </c>
      <c r="J85" s="68">
        <f>SUM(J86:J87)</f>
        <v>1464</v>
      </c>
      <c r="K85" s="68">
        <f>SUM(K86:K87)</f>
        <v>707</v>
      </c>
      <c r="L85" s="59">
        <f t="shared" si="27"/>
        <v>0.3120035304501324</v>
      </c>
      <c r="M85" s="59">
        <f t="shared" si="28"/>
        <v>0.48292349726775957</v>
      </c>
      <c r="N85" s="68">
        <f>K85-'[1]Jūnijs'!K85</f>
        <v>34</v>
      </c>
      <c r="O85" s="51" t="str">
        <f t="shared" si="21"/>
        <v>Īpašu uzdevumu ministra sadarbībai  ar starptautiskajām finansu institūcijām sekretariāts</v>
      </c>
      <c r="P85" s="51">
        <f t="shared" si="22"/>
        <v>707</v>
      </c>
      <c r="Q85" s="51">
        <v>673</v>
      </c>
      <c r="R85" s="60">
        <v>707</v>
      </c>
      <c r="S85" s="2">
        <v>673</v>
      </c>
      <c r="U85" s="2">
        <f t="shared" si="26"/>
        <v>34</v>
      </c>
    </row>
    <row r="86" spans="1:21" s="39" customFormat="1" ht="12.75" customHeight="1">
      <c r="A86" s="62" t="s">
        <v>77</v>
      </c>
      <c r="B86" s="71">
        <v>2261881</v>
      </c>
      <c r="C86" s="71">
        <v>1459903</v>
      </c>
      <c r="D86" s="71">
        <v>703266.63</v>
      </c>
      <c r="E86" s="77">
        <f>IF(ISERROR(D86/B86)," ",(D86/B86))</f>
        <v>0.31092114483476363</v>
      </c>
      <c r="F86" s="77">
        <f>IF(ISERROR(D86/C86)," ",(D86/C86))</f>
        <v>0.4817214773858263</v>
      </c>
      <c r="G86" s="71">
        <f>D86-'[1]Jūnijs'!D86</f>
        <v>31865.880000000005</v>
      </c>
      <c r="H86" s="62" t="s">
        <v>77</v>
      </c>
      <c r="I86" s="71">
        <f aca="true" t="shared" si="30" ref="I86:K87">ROUND(B86/1000,0)</f>
        <v>2262</v>
      </c>
      <c r="J86" s="71">
        <f t="shared" si="30"/>
        <v>1460</v>
      </c>
      <c r="K86" s="71">
        <f t="shared" si="30"/>
        <v>703</v>
      </c>
      <c r="L86" s="64">
        <f t="shared" si="27"/>
        <v>0.3107869142351901</v>
      </c>
      <c r="M86" s="64">
        <f t="shared" si="28"/>
        <v>0.4815068493150685</v>
      </c>
      <c r="N86" s="71">
        <f>K86-'[1]Jūnijs'!K86</f>
        <v>32</v>
      </c>
      <c r="O86" s="50" t="str">
        <f t="shared" si="21"/>
        <v>     Uzturēšanas izdevumi</v>
      </c>
      <c r="P86" s="50">
        <f t="shared" si="22"/>
        <v>703</v>
      </c>
      <c r="Q86" s="51">
        <v>671</v>
      </c>
      <c r="R86" s="54">
        <v>703</v>
      </c>
      <c r="S86" s="39">
        <v>671</v>
      </c>
      <c r="U86" s="2">
        <f t="shared" si="26"/>
        <v>32</v>
      </c>
    </row>
    <row r="87" spans="1:21" s="39" customFormat="1" ht="12.75" customHeight="1">
      <c r="A87" s="62" t="s">
        <v>78</v>
      </c>
      <c r="B87" s="71">
        <v>4000</v>
      </c>
      <c r="C87" s="71">
        <v>4000</v>
      </c>
      <c r="D87" s="71">
        <v>4000</v>
      </c>
      <c r="E87" s="77">
        <f t="shared" si="24"/>
        <v>1</v>
      </c>
      <c r="F87" s="77">
        <f>IF(ISERROR(D87/C87)," ",(D87/C87))</f>
        <v>1</v>
      </c>
      <c r="G87" s="71">
        <f>D87-'[1]Jūnijs'!D87</f>
        <v>2252.66</v>
      </c>
      <c r="H87" s="62" t="s">
        <v>78</v>
      </c>
      <c r="I87" s="71">
        <f t="shared" si="30"/>
        <v>4</v>
      </c>
      <c r="J87" s="71">
        <f t="shared" si="30"/>
        <v>4</v>
      </c>
      <c r="K87" s="71">
        <f t="shared" si="30"/>
        <v>4</v>
      </c>
      <c r="L87" s="64">
        <f t="shared" si="27"/>
        <v>1</v>
      </c>
      <c r="M87" s="64">
        <f t="shared" si="28"/>
        <v>1</v>
      </c>
      <c r="N87" s="71">
        <f>K87-'[1]Jūnijs'!K87</f>
        <v>2</v>
      </c>
      <c r="O87" s="50" t="str">
        <f t="shared" si="21"/>
        <v>     Izdevumi kapitālieguldījumiem</v>
      </c>
      <c r="P87" s="50">
        <f t="shared" si="22"/>
        <v>4</v>
      </c>
      <c r="Q87" s="51">
        <v>2</v>
      </c>
      <c r="R87" s="54">
        <v>4</v>
      </c>
      <c r="S87" s="39">
        <v>2</v>
      </c>
      <c r="U87" s="2">
        <f t="shared" si="26"/>
        <v>2</v>
      </c>
    </row>
    <row r="88" spans="1:21" s="2" customFormat="1" ht="36" customHeight="1">
      <c r="A88" s="89" t="s">
        <v>106</v>
      </c>
      <c r="B88" s="68">
        <f>SUM(B89:B90)</f>
        <v>2790200</v>
      </c>
      <c r="C88" s="68">
        <f>SUM(C89:C90)</f>
        <v>1558576</v>
      </c>
      <c r="D88" s="76">
        <f>SUM(D89:D90)</f>
        <v>635072.81</v>
      </c>
      <c r="E88" s="57">
        <f t="shared" si="24"/>
        <v>0.2276083470718945</v>
      </c>
      <c r="F88" s="57">
        <f t="shared" si="25"/>
        <v>0.4074699020131197</v>
      </c>
      <c r="G88" s="68">
        <f>SUM(G89:G90)</f>
        <v>56362.18000000005</v>
      </c>
      <c r="H88" s="90" t="s">
        <v>107</v>
      </c>
      <c r="I88" s="68">
        <f>SUM(I89:I90)</f>
        <v>2791</v>
      </c>
      <c r="J88" s="68">
        <f>SUM(J89:J90)</f>
        <v>1559</v>
      </c>
      <c r="K88" s="68">
        <f>SUM(K89:K90)</f>
        <v>635</v>
      </c>
      <c r="L88" s="59">
        <f t="shared" si="27"/>
        <v>0.22751701898960947</v>
      </c>
      <c r="M88" s="59">
        <f t="shared" si="28"/>
        <v>0.40731237973059653</v>
      </c>
      <c r="N88" s="68">
        <f>K88-'[1]Jūnijs'!K88</f>
        <v>56</v>
      </c>
      <c r="O88" s="51" t="str">
        <f t="shared" si="21"/>
        <v>Īpašu uzdevumu ministra valsts pārvaldes  un  pašvaldību  reformas jautājumos  sekretariāts</v>
      </c>
      <c r="P88" s="51">
        <f t="shared" si="22"/>
        <v>635</v>
      </c>
      <c r="Q88" s="51">
        <v>579</v>
      </c>
      <c r="R88" s="60">
        <v>635</v>
      </c>
      <c r="S88" s="2">
        <v>579</v>
      </c>
      <c r="U88" s="2">
        <f t="shared" si="26"/>
        <v>56</v>
      </c>
    </row>
    <row r="89" spans="1:21" s="39" customFormat="1" ht="12.75" customHeight="1">
      <c r="A89" s="62" t="s">
        <v>77</v>
      </c>
      <c r="B89" s="71">
        <v>2764643</v>
      </c>
      <c r="C89" s="71">
        <v>1539519</v>
      </c>
      <c r="D89" s="71">
        <v>624935.17</v>
      </c>
      <c r="E89" s="77">
        <f t="shared" si="24"/>
        <v>0.22604552197155295</v>
      </c>
      <c r="F89" s="77">
        <f t="shared" si="25"/>
        <v>0.40592884530817747</v>
      </c>
      <c r="G89" s="71">
        <f>D89-'[1]Jūnijs'!D89</f>
        <v>56214.68000000005</v>
      </c>
      <c r="H89" s="62" t="s">
        <v>77</v>
      </c>
      <c r="I89" s="71">
        <f aca="true" t="shared" si="31" ref="I89:K90">ROUND(B89/1000,0)</f>
        <v>2765</v>
      </c>
      <c r="J89" s="71">
        <f t="shared" si="31"/>
        <v>1540</v>
      </c>
      <c r="K89" s="71">
        <f>ROUND(D89/1000,0)</f>
        <v>625</v>
      </c>
      <c r="L89" s="64">
        <f t="shared" si="27"/>
        <v>0.22603978300180833</v>
      </c>
      <c r="M89" s="64">
        <f t="shared" si="28"/>
        <v>0.40584415584415584</v>
      </c>
      <c r="N89" s="71">
        <f>K89-'[1]Jūnijs'!K89</f>
        <v>56</v>
      </c>
      <c r="O89" s="50" t="str">
        <f t="shared" si="21"/>
        <v>     Uzturēšanas izdevumi</v>
      </c>
      <c r="P89" s="50">
        <f t="shared" si="22"/>
        <v>625</v>
      </c>
      <c r="Q89" s="51">
        <v>569</v>
      </c>
      <c r="R89" s="54">
        <v>625</v>
      </c>
      <c r="S89" s="39">
        <v>569</v>
      </c>
      <c r="U89" s="2">
        <f t="shared" si="26"/>
        <v>56</v>
      </c>
    </row>
    <row r="90" spans="1:21" s="39" customFormat="1" ht="12.75" customHeight="1">
      <c r="A90" s="62" t="s">
        <v>78</v>
      </c>
      <c r="B90" s="71">
        <v>25557</v>
      </c>
      <c r="C90" s="71">
        <v>19057</v>
      </c>
      <c r="D90" s="71">
        <v>10137.64</v>
      </c>
      <c r="E90" s="77">
        <f t="shared" si="24"/>
        <v>0.3966678405133623</v>
      </c>
      <c r="F90" s="77">
        <f t="shared" si="25"/>
        <v>0.5319641076769691</v>
      </c>
      <c r="G90" s="71">
        <f>D90-'[1]Jūnijs'!D90</f>
        <v>147.5</v>
      </c>
      <c r="H90" s="62" t="s">
        <v>78</v>
      </c>
      <c r="I90" s="71">
        <f t="shared" si="31"/>
        <v>26</v>
      </c>
      <c r="J90" s="71">
        <f>ROUND(C90/1000,0)</f>
        <v>19</v>
      </c>
      <c r="K90" s="71">
        <f t="shared" si="31"/>
        <v>10</v>
      </c>
      <c r="L90" s="64">
        <f t="shared" si="27"/>
        <v>0.38461538461538464</v>
      </c>
      <c r="M90" s="64">
        <f t="shared" si="28"/>
        <v>0.5263157894736842</v>
      </c>
      <c r="N90" s="71">
        <f>K90-'[1]Jūnijs'!K90</f>
        <v>0</v>
      </c>
      <c r="O90" s="50" t="str">
        <f t="shared" si="21"/>
        <v>     Izdevumi kapitālieguldījumiem</v>
      </c>
      <c r="P90" s="50">
        <f t="shared" si="22"/>
        <v>10</v>
      </c>
      <c r="Q90" s="51">
        <v>10</v>
      </c>
      <c r="R90" s="54">
        <v>10</v>
      </c>
      <c r="S90" s="39">
        <v>10</v>
      </c>
      <c r="U90" s="2">
        <f t="shared" si="26"/>
        <v>0</v>
      </c>
    </row>
    <row r="91" spans="1:21" s="2" customFormat="1" ht="12.75" customHeight="1">
      <c r="A91" s="67" t="s">
        <v>108</v>
      </c>
      <c r="B91" s="68">
        <f>SUM(B92:B93)</f>
        <v>94493267</v>
      </c>
      <c r="C91" s="68">
        <f>SUM(C92:C93)</f>
        <v>62899666</v>
      </c>
      <c r="D91" s="68">
        <f>SUM(D92:D93)</f>
        <v>60870684.8</v>
      </c>
      <c r="E91" s="57">
        <f t="shared" si="24"/>
        <v>0.644180127669837</v>
      </c>
      <c r="F91" s="57">
        <f>IF(ISERROR(D91/C91)," ",(D91/C91))</f>
        <v>0.9677425759303714</v>
      </c>
      <c r="G91" s="68">
        <f>SUM(G92:G93)</f>
        <v>5841128.05</v>
      </c>
      <c r="H91" s="69" t="s">
        <v>108</v>
      </c>
      <c r="I91" s="68">
        <f>SUM(I92:I93)</f>
        <v>94494</v>
      </c>
      <c r="J91" s="68">
        <f>SUM(J92:J93)</f>
        <v>62900</v>
      </c>
      <c r="K91" s="68">
        <f>SUM(K92:K93)</f>
        <v>60871</v>
      </c>
      <c r="L91" s="59">
        <f t="shared" si="27"/>
        <v>0.6441784663576523</v>
      </c>
      <c r="M91" s="59">
        <f t="shared" si="28"/>
        <v>0.9677424483306837</v>
      </c>
      <c r="N91" s="68">
        <f>SUM(N92:N93)</f>
        <v>5841</v>
      </c>
      <c r="O91" s="51" t="str">
        <f t="shared" si="21"/>
        <v>Mērķdotācijas pašvaldībām</v>
      </c>
      <c r="P91" s="51">
        <f t="shared" si="22"/>
        <v>60871</v>
      </c>
      <c r="Q91" s="51">
        <v>55029</v>
      </c>
      <c r="R91" s="60">
        <v>60871</v>
      </c>
      <c r="S91" s="2">
        <v>55029</v>
      </c>
      <c r="U91" s="2">
        <f t="shared" si="26"/>
        <v>5842</v>
      </c>
    </row>
    <row r="92" spans="1:21" s="39" customFormat="1" ht="12.75" customHeight="1">
      <c r="A92" s="62" t="s">
        <v>77</v>
      </c>
      <c r="B92" s="71">
        <v>83728544</v>
      </c>
      <c r="C92" s="71">
        <v>57165633</v>
      </c>
      <c r="D92" s="71">
        <v>57165633</v>
      </c>
      <c r="E92" s="63">
        <f t="shared" si="24"/>
        <v>0.6827496367308142</v>
      </c>
      <c r="F92" s="63">
        <f>IF(ISERROR(D92/C92)," ",(D92/C92))</f>
        <v>1</v>
      </c>
      <c r="G92" s="71">
        <f>D92-'[1]Jūnijs'!D92</f>
        <v>4738452</v>
      </c>
      <c r="H92" s="62" t="s">
        <v>77</v>
      </c>
      <c r="I92" s="71">
        <f aca="true" t="shared" si="32" ref="I92:K93">ROUND(B92/1000,0)</f>
        <v>83729</v>
      </c>
      <c r="J92" s="71">
        <f t="shared" si="32"/>
        <v>57166</v>
      </c>
      <c r="K92" s="71">
        <f t="shared" si="32"/>
        <v>57166</v>
      </c>
      <c r="L92" s="64">
        <f t="shared" si="27"/>
        <v>0.6827503015681544</v>
      </c>
      <c r="M92" s="64">
        <f t="shared" si="28"/>
        <v>1</v>
      </c>
      <c r="N92" s="71">
        <f>K92-'[1]Jūnijs'!K92-1</f>
        <v>4738</v>
      </c>
      <c r="O92" s="50" t="str">
        <f t="shared" si="21"/>
        <v>     Uzturēšanas izdevumi</v>
      </c>
      <c r="P92" s="50">
        <f t="shared" si="22"/>
        <v>57166</v>
      </c>
      <c r="Q92" s="51">
        <v>52427</v>
      </c>
      <c r="R92" s="54">
        <v>57166</v>
      </c>
      <c r="S92" s="39">
        <v>52427</v>
      </c>
      <c r="U92" s="2">
        <f t="shared" si="26"/>
        <v>4739</v>
      </c>
    </row>
    <row r="93" spans="1:21" s="39" customFormat="1" ht="12.75" customHeight="1">
      <c r="A93" s="62" t="s">
        <v>78</v>
      </c>
      <c r="B93" s="71">
        <v>10764723</v>
      </c>
      <c r="C93" s="71">
        <v>5734033</v>
      </c>
      <c r="D93" s="71">
        <v>3705051.8</v>
      </c>
      <c r="E93" s="63">
        <f t="shared" si="24"/>
        <v>0.34418459258078443</v>
      </c>
      <c r="F93" s="63">
        <f>IF(ISERROR(D93/C93)," ",(D93/C93))</f>
        <v>0.6461511121404429</v>
      </c>
      <c r="G93" s="71">
        <f>D93-'[1]Jūnijs'!D93</f>
        <v>1102676.0499999998</v>
      </c>
      <c r="H93" s="62" t="s">
        <v>78</v>
      </c>
      <c r="I93" s="71">
        <f t="shared" si="32"/>
        <v>10765</v>
      </c>
      <c r="J93" s="71">
        <f>ROUND(C93/1000,0)</f>
        <v>5734</v>
      </c>
      <c r="K93" s="71">
        <f t="shared" si="32"/>
        <v>3705</v>
      </c>
      <c r="L93" s="64">
        <f t="shared" si="27"/>
        <v>0.344170924291686</v>
      </c>
      <c r="M93" s="64">
        <f t="shared" si="28"/>
        <v>0.6461457970003488</v>
      </c>
      <c r="N93" s="71">
        <f>K93-'[1]Jūnijs'!K93</f>
        <v>1103</v>
      </c>
      <c r="O93" s="50" t="str">
        <f t="shared" si="21"/>
        <v>     Izdevumi kapitālieguldījumiem</v>
      </c>
      <c r="P93" s="50">
        <f t="shared" si="22"/>
        <v>3705</v>
      </c>
      <c r="Q93" s="51">
        <v>2602</v>
      </c>
      <c r="R93" s="54">
        <v>3705</v>
      </c>
      <c r="S93" s="39">
        <v>2602</v>
      </c>
      <c r="U93" s="2">
        <f t="shared" si="26"/>
        <v>1103</v>
      </c>
    </row>
    <row r="94" spans="1:21" s="2" customFormat="1" ht="12.75" customHeight="1">
      <c r="A94" s="67" t="s">
        <v>109</v>
      </c>
      <c r="B94" s="68">
        <f>SUM(B95)</f>
        <v>7463010</v>
      </c>
      <c r="C94" s="68">
        <f>SUM(C95)</f>
        <v>4479340</v>
      </c>
      <c r="D94" s="68">
        <f>SUM(D95)</f>
        <v>4224099</v>
      </c>
      <c r="E94" s="57">
        <f t="shared" si="24"/>
        <v>0.5660047353547697</v>
      </c>
      <c r="F94" s="57">
        <f>IF(ISERROR(D94/C94)," ",(D94/C94))</f>
        <v>0.9430181678550857</v>
      </c>
      <c r="G94" s="68">
        <f>G95</f>
        <v>552240</v>
      </c>
      <c r="H94" s="69" t="s">
        <v>109</v>
      </c>
      <c r="I94" s="68">
        <f>SUM(I95)</f>
        <v>7463</v>
      </c>
      <c r="J94" s="68">
        <f>SUM(J95)</f>
        <v>4479</v>
      </c>
      <c r="K94" s="68">
        <f>SUM(K95)</f>
        <v>4224</v>
      </c>
      <c r="L94" s="59">
        <f t="shared" si="27"/>
        <v>0.5659922283264103</v>
      </c>
      <c r="M94" s="59">
        <f t="shared" si="28"/>
        <v>0.943067649028801</v>
      </c>
      <c r="N94" s="68">
        <f>SUM(N95)</f>
        <v>552</v>
      </c>
      <c r="O94" s="51" t="str">
        <f t="shared" si="21"/>
        <v>Dotācija pašvaldībām</v>
      </c>
      <c r="P94" s="51">
        <f t="shared" si="22"/>
        <v>4224</v>
      </c>
      <c r="Q94" s="51">
        <v>3672</v>
      </c>
      <c r="R94" s="60">
        <v>4224</v>
      </c>
      <c r="S94" s="2">
        <v>3672</v>
      </c>
      <c r="U94" s="2">
        <f t="shared" si="26"/>
        <v>552</v>
      </c>
    </row>
    <row r="95" spans="1:21" s="39" customFormat="1" ht="12.75" customHeight="1">
      <c r="A95" s="91" t="s">
        <v>77</v>
      </c>
      <c r="B95" s="71">
        <v>7463010</v>
      </c>
      <c r="C95" s="71">
        <v>4479340</v>
      </c>
      <c r="D95" s="71">
        <v>4224099</v>
      </c>
      <c r="E95" s="63">
        <f t="shared" si="24"/>
        <v>0.5660047353547697</v>
      </c>
      <c r="F95" s="63">
        <f>IF(ISERROR(D95/C95)," ",(D95/C95))</f>
        <v>0.9430181678550857</v>
      </c>
      <c r="G95" s="71">
        <f>D95-'[1]Jūnijs'!D95</f>
        <v>552240</v>
      </c>
      <c r="H95" s="91" t="s">
        <v>77</v>
      </c>
      <c r="I95" s="71">
        <f>ROUND(B95/1000,0)</f>
        <v>7463</v>
      </c>
      <c r="J95" s="71">
        <f>ROUND(C95/1000,0)</f>
        <v>4479</v>
      </c>
      <c r="K95" s="71">
        <f>ROUND(D95/1000,0)</f>
        <v>4224</v>
      </c>
      <c r="L95" s="64">
        <f t="shared" si="27"/>
        <v>0.5659922283264103</v>
      </c>
      <c r="M95" s="64">
        <f t="shared" si="28"/>
        <v>0.943067649028801</v>
      </c>
      <c r="N95" s="71">
        <f>K95-'[1]Jūnijs'!K95</f>
        <v>552</v>
      </c>
      <c r="O95" s="50" t="str">
        <f t="shared" si="21"/>
        <v>     Uzturēšanas izdevumi</v>
      </c>
      <c r="P95" s="50">
        <f t="shared" si="22"/>
        <v>4224</v>
      </c>
      <c r="Q95" s="51">
        <v>3672</v>
      </c>
      <c r="R95" s="54">
        <v>4224</v>
      </c>
      <c r="S95" s="39">
        <v>3672</v>
      </c>
      <c r="U95" s="2">
        <f t="shared" si="26"/>
        <v>552</v>
      </c>
    </row>
    <row r="96" spans="1:22" ht="12" customHeight="1">
      <c r="A96" s="92"/>
      <c r="B96" s="93"/>
      <c r="C96" s="93"/>
      <c r="D96" s="93"/>
      <c r="E96" s="94"/>
      <c r="F96" s="94"/>
      <c r="H96" s="92"/>
      <c r="I96" s="93"/>
      <c r="J96" s="93"/>
      <c r="K96" s="93"/>
      <c r="L96" s="94"/>
      <c r="M96" s="94"/>
      <c r="N96" s="43">
        <f>K96-'[1]Jūnijs'!K96</f>
        <v>0</v>
      </c>
      <c r="U96" s="39"/>
      <c r="V96" s="39"/>
    </row>
    <row r="97" spans="1:22" ht="12" customHeight="1">
      <c r="A97" s="92"/>
      <c r="B97" s="93"/>
      <c r="C97" s="93"/>
      <c r="D97" s="93"/>
      <c r="E97" s="95"/>
      <c r="F97" s="96"/>
      <c r="H97" s="32"/>
      <c r="I97" s="35"/>
      <c r="J97" s="34"/>
      <c r="K97" s="97"/>
      <c r="L97" s="97"/>
      <c r="M97" s="98"/>
      <c r="U97" s="39"/>
      <c r="V97" s="39"/>
    </row>
    <row r="98" spans="1:6" ht="12" customHeight="1">
      <c r="A98" s="32" t="s">
        <v>110</v>
      </c>
      <c r="B98" s="35"/>
      <c r="C98" s="34"/>
      <c r="D98" s="97"/>
      <c r="E98" s="97"/>
      <c r="F98" s="98"/>
    </row>
    <row r="99" spans="2:14" ht="12" customHeight="1">
      <c r="B99" s="31"/>
      <c r="C99" s="30" t="s">
        <v>111</v>
      </c>
      <c r="D99" s="30"/>
      <c r="E99" s="99"/>
      <c r="F99" s="100"/>
      <c r="I99" s="32"/>
      <c r="J99" s="35"/>
      <c r="K99" s="34"/>
      <c r="L99" s="97"/>
      <c r="M99" s="97"/>
      <c r="N99" s="100"/>
    </row>
    <row r="100" spans="2:13" ht="12" customHeight="1">
      <c r="B100" s="31"/>
      <c r="C100" s="30"/>
      <c r="D100" s="30"/>
      <c r="E100" s="99"/>
      <c r="F100" s="100"/>
      <c r="M100" s="97"/>
    </row>
    <row r="101" spans="2:19" ht="12" customHeight="1">
      <c r="B101" s="31"/>
      <c r="C101" s="30"/>
      <c r="D101" s="30"/>
      <c r="E101" s="99"/>
      <c r="F101" s="100"/>
      <c r="M101" s="97"/>
      <c r="O101" s="43" t="s">
        <v>112</v>
      </c>
      <c r="P101" s="31"/>
      <c r="Q101" s="30"/>
      <c r="R101" s="30"/>
      <c r="S101" s="99"/>
    </row>
    <row r="102" spans="2:13" ht="12" customHeight="1">
      <c r="B102" s="31"/>
      <c r="C102" s="30"/>
      <c r="D102" s="30"/>
      <c r="E102" s="99"/>
      <c r="F102" s="100"/>
      <c r="J102" s="30"/>
      <c r="K102" s="30"/>
      <c r="L102" s="99"/>
      <c r="M102" s="97"/>
    </row>
    <row r="103" spans="8:13" ht="12.75">
      <c r="H103" s="43" t="s">
        <v>113</v>
      </c>
      <c r="I103" s="29"/>
      <c r="J103" s="101"/>
      <c r="K103" s="30"/>
      <c r="M103" s="97"/>
    </row>
    <row r="104" spans="3:4" ht="12.75">
      <c r="C104" s="30"/>
      <c r="D104" s="30"/>
    </row>
    <row r="108" ht="12.75">
      <c r="A108" s="43" t="s">
        <v>114</v>
      </c>
    </row>
    <row r="109" ht="12.75">
      <c r="A109" s="43" t="s">
        <v>115</v>
      </c>
    </row>
    <row r="113" spans="3:4" ht="12.75">
      <c r="C113" s="30"/>
      <c r="D113" s="30"/>
    </row>
    <row r="114" spans="3:4" ht="12.75">
      <c r="C114" s="30"/>
      <c r="D114" s="30"/>
    </row>
    <row r="118" ht="12.75">
      <c r="I118" s="39"/>
    </row>
    <row r="119" ht="12.75">
      <c r="I119" s="39"/>
    </row>
    <row r="120" ht="12.75">
      <c r="H120" s="39" t="s">
        <v>114</v>
      </c>
    </row>
    <row r="121" ht="12.75">
      <c r="H121" s="39" t="s">
        <v>115</v>
      </c>
    </row>
  </sheetData>
  <mergeCells count="5">
    <mergeCell ref="H7:M7"/>
    <mergeCell ref="A4:F4"/>
    <mergeCell ref="H4:M4"/>
    <mergeCell ref="A5:F5"/>
    <mergeCell ref="H5:M5"/>
  </mergeCells>
  <printOptions/>
  <pageMargins left="0.75" right="0.75" top="1" bottom="1" header="0.5" footer="0.5"/>
  <pageSetup firstPageNumber="7" useFirstPageNumber="1" horizontalDpi="300" verticalDpi="300" orientation="portrait" paperSize="9" scale="93" r:id="rId1"/>
  <headerFooter alignWithMargins="0">
    <oddFooter>&amp;R&amp;P</oddFooter>
  </headerFooter>
  <rowBreaks count="2" manualBreakCount="2">
    <brk id="46" max="13" man="1"/>
    <brk id="8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H1">
      <selection activeCell="J9" sqref="J9"/>
    </sheetView>
  </sheetViews>
  <sheetFormatPr defaultColWidth="9.140625" defaultRowHeight="12.75"/>
  <cols>
    <col min="1" max="1" width="38.140625" style="43" hidden="1" customWidth="1"/>
    <col min="2" max="2" width="11.7109375" style="43" hidden="1" customWidth="1"/>
    <col min="3" max="3" width="12.57421875" style="43" hidden="1" customWidth="1"/>
    <col min="4" max="4" width="11.57421875" style="43" hidden="1" customWidth="1"/>
    <col min="5" max="5" width="7.28125" style="43" hidden="1" customWidth="1"/>
    <col min="6" max="6" width="8.421875" style="43" hidden="1" customWidth="1"/>
    <col min="7" max="7" width="10.00390625" style="43" hidden="1" customWidth="1"/>
    <col min="8" max="8" width="33.140625" style="43" customWidth="1"/>
    <col min="9" max="9" width="11.7109375" style="43" customWidth="1"/>
    <col min="10" max="10" width="9.7109375" style="43" customWidth="1"/>
    <col min="11" max="11" width="8.7109375" style="43" customWidth="1"/>
    <col min="12" max="12" width="8.140625" style="43" customWidth="1"/>
    <col min="13" max="13" width="9.140625" style="43" customWidth="1"/>
    <col min="14" max="14" width="9.28125" style="43" customWidth="1"/>
  </cols>
  <sheetData>
    <row r="1" spans="7:14" ht="12.75">
      <c r="G1" s="43" t="s">
        <v>236</v>
      </c>
      <c r="H1" s="48"/>
      <c r="I1" s="48"/>
      <c r="J1" s="48"/>
      <c r="K1" s="48"/>
      <c r="L1" s="48"/>
      <c r="M1" s="48"/>
      <c r="N1" s="48" t="s">
        <v>236</v>
      </c>
    </row>
    <row r="2" spans="1:14" ht="12.75">
      <c r="A2" s="32" t="s">
        <v>237</v>
      </c>
      <c r="B2" s="32"/>
      <c r="C2" s="32"/>
      <c r="D2" s="32"/>
      <c r="E2" s="32"/>
      <c r="F2" s="32"/>
      <c r="H2" s="213" t="s">
        <v>163</v>
      </c>
      <c r="I2" s="213"/>
      <c r="J2" s="213"/>
      <c r="K2" s="213"/>
      <c r="L2" s="213"/>
      <c r="M2" s="213"/>
      <c r="N2" s="48"/>
    </row>
    <row r="3" spans="1:14" ht="12.75">
      <c r="A3" s="103"/>
      <c r="H3" s="214"/>
      <c r="I3" s="48"/>
      <c r="J3" s="48"/>
      <c r="K3" s="48"/>
      <c r="L3" s="48"/>
      <c r="M3" s="48"/>
      <c r="N3" s="48"/>
    </row>
    <row r="4" spans="1:14" ht="12.75">
      <c r="A4" s="103"/>
      <c r="H4" s="214"/>
      <c r="I4" s="48"/>
      <c r="J4" s="48"/>
      <c r="K4" s="48"/>
      <c r="L4" s="48"/>
      <c r="M4" s="48"/>
      <c r="N4" s="48"/>
    </row>
    <row r="5" spans="1:14" ht="15.75">
      <c r="A5" s="44" t="s">
        <v>238</v>
      </c>
      <c r="B5" s="32"/>
      <c r="C5" s="32"/>
      <c r="D5" s="32"/>
      <c r="E5" s="32"/>
      <c r="F5" s="32"/>
      <c r="H5" s="215" t="s">
        <v>239</v>
      </c>
      <c r="I5" s="216"/>
      <c r="J5" s="216"/>
      <c r="K5" s="216"/>
      <c r="L5" s="213"/>
      <c r="M5" s="213"/>
      <c r="N5" s="48"/>
    </row>
    <row r="6" spans="1:14" ht="15.75">
      <c r="A6" s="44" t="s">
        <v>240</v>
      </c>
      <c r="B6" s="32"/>
      <c r="C6" s="32"/>
      <c r="D6" s="32"/>
      <c r="E6" s="32"/>
      <c r="F6" s="32"/>
      <c r="H6" s="215" t="s">
        <v>240</v>
      </c>
      <c r="I6" s="216"/>
      <c r="J6" s="216"/>
      <c r="K6" s="216"/>
      <c r="L6" s="213"/>
      <c r="M6" s="213"/>
      <c r="N6" s="48"/>
    </row>
    <row r="7" spans="1:14" ht="15">
      <c r="A7" s="44" t="s">
        <v>241</v>
      </c>
      <c r="B7" s="32"/>
      <c r="C7" s="32"/>
      <c r="D7" s="32"/>
      <c r="E7" s="32"/>
      <c r="F7" s="32"/>
      <c r="H7" s="44" t="s">
        <v>241</v>
      </c>
      <c r="I7" s="216"/>
      <c r="J7" s="216"/>
      <c r="K7" s="216"/>
      <c r="L7" s="213"/>
      <c r="M7" s="213"/>
      <c r="N7" s="48"/>
    </row>
    <row r="8" spans="7:14" ht="12.75">
      <c r="G8" s="43" t="s">
        <v>67</v>
      </c>
      <c r="H8" s="48"/>
      <c r="I8" s="48"/>
      <c r="J8" s="48"/>
      <c r="K8" s="48"/>
      <c r="L8" s="48"/>
      <c r="M8" s="48"/>
      <c r="N8" s="48" t="s">
        <v>67</v>
      </c>
    </row>
    <row r="9" spans="1:14" ht="108">
      <c r="A9" s="51" t="s">
        <v>18</v>
      </c>
      <c r="B9" s="51" t="s">
        <v>68</v>
      </c>
      <c r="C9" s="51" t="s">
        <v>242</v>
      </c>
      <c r="D9" s="51" t="s">
        <v>70</v>
      </c>
      <c r="E9" s="51" t="s">
        <v>243</v>
      </c>
      <c r="F9" s="51" t="s">
        <v>244</v>
      </c>
      <c r="G9" s="51" t="s">
        <v>245</v>
      </c>
      <c r="H9" s="51" t="s">
        <v>18</v>
      </c>
      <c r="I9" s="51" t="s">
        <v>68</v>
      </c>
      <c r="J9" s="51" t="s">
        <v>242</v>
      </c>
      <c r="K9" s="51" t="s">
        <v>70</v>
      </c>
      <c r="L9" s="51" t="s">
        <v>243</v>
      </c>
      <c r="M9" s="51" t="s">
        <v>246</v>
      </c>
      <c r="N9" s="51" t="s">
        <v>245</v>
      </c>
    </row>
    <row r="10" spans="1:14" ht="12.7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</row>
    <row r="11" spans="1:14" ht="12.75">
      <c r="A11" s="67" t="s">
        <v>247</v>
      </c>
      <c r="B11" s="73">
        <v>737531269</v>
      </c>
      <c r="C11" s="217"/>
      <c r="D11" s="117">
        <v>388841825</v>
      </c>
      <c r="E11" s="57">
        <f>IF(ISERROR(D11/B12)," ",(D11/B12))</f>
        <v>0.5117051739386672</v>
      </c>
      <c r="F11" s="57" t="str">
        <f>IF(ISERROR(D11/C11)," ",(D11/C11))</f>
        <v> </v>
      </c>
      <c r="G11" s="217"/>
      <c r="H11" s="67" t="s">
        <v>247</v>
      </c>
      <c r="I11" s="218">
        <f aca="true" t="shared" si="0" ref="I11:I16">ROUND(B11/1000,0)</f>
        <v>737531</v>
      </c>
      <c r="J11" s="218"/>
      <c r="K11" s="218">
        <v>388842</v>
      </c>
      <c r="L11" s="219">
        <f>IF(ISERROR(ROUND(K11,0)/ROUND(I11,0))," ",(ROUND(K11,)/ROUND(I11,)))</f>
        <v>0.5272212286669984</v>
      </c>
      <c r="M11" s="219" t="str">
        <f>IF(ISERROR(ROUND(K11,0)/ROUND(J11,0))," ",(ROUND(K11,)/ROUND(J11,)))</f>
        <v> </v>
      </c>
      <c r="N11" s="220">
        <v>53084</v>
      </c>
    </row>
    <row r="12" spans="1:14" ht="12.75">
      <c r="A12" s="222" t="s">
        <v>248</v>
      </c>
      <c r="B12" s="223">
        <f>SUM(B13:B16)</f>
        <v>759894261</v>
      </c>
      <c r="C12" s="223">
        <f>C13+C14+C15+C16</f>
        <v>452780544</v>
      </c>
      <c r="D12" s="220">
        <f>SUM(D13:D16)</f>
        <v>431812034</v>
      </c>
      <c r="E12" s="224">
        <f aca="true" t="shared" si="1" ref="E12:E20">IF(ISERROR(D12/B12)," ",(D12/B12))</f>
        <v>0.5682527901075963</v>
      </c>
      <c r="F12" s="224">
        <f aca="true" t="shared" si="2" ref="F12:F18">IF(ISERROR(D12/C12)," ",(D12/C12))</f>
        <v>0.9536894632999071</v>
      </c>
      <c r="G12" s="225">
        <f>SUM(G13:G16)</f>
        <v>0</v>
      </c>
      <c r="H12" s="91" t="s">
        <v>248</v>
      </c>
      <c r="I12" s="226">
        <f t="shared" si="0"/>
        <v>759894</v>
      </c>
      <c r="J12" s="227">
        <f>ROUND(C12/1000,0)</f>
        <v>452781</v>
      </c>
      <c r="K12" s="228">
        <f>K13+K14+K15+K16</f>
        <v>431812.76</v>
      </c>
      <c r="L12" s="63">
        <f>IF(ISERROR(K12/I12)," ",(K12/I12))</f>
        <v>0.5682539406812003</v>
      </c>
      <c r="M12" s="63">
        <f>IF(ISERROR(K12/J12)," ",(K12/J12))</f>
        <v>0.9536901062544586</v>
      </c>
      <c r="N12" s="229">
        <f>N13+N14+N15+N16</f>
        <v>60111.76</v>
      </c>
    </row>
    <row r="13" spans="1:14" ht="12.75">
      <c r="A13" s="149" t="s">
        <v>249</v>
      </c>
      <c r="B13" s="230">
        <v>667558079</v>
      </c>
      <c r="C13" s="230">
        <v>398623535</v>
      </c>
      <c r="D13" s="230">
        <v>398623535</v>
      </c>
      <c r="E13" s="231">
        <f t="shared" si="1"/>
        <v>0.597136859757786</v>
      </c>
      <c r="F13" s="231">
        <f t="shared" si="2"/>
        <v>1</v>
      </c>
      <c r="G13" s="80"/>
      <c r="H13" s="91" t="s">
        <v>249</v>
      </c>
      <c r="I13" s="232">
        <f t="shared" si="0"/>
        <v>667558</v>
      </c>
      <c r="J13" s="232">
        <f>ROUND(C13/1000,0)</f>
        <v>398624</v>
      </c>
      <c r="K13" s="232">
        <f>ROUND(D13/1000,0)</f>
        <v>398624</v>
      </c>
      <c r="L13" s="233">
        <f aca="true" t="shared" si="3" ref="L13:L20">IF(ISERROR(ROUND(K13,0)/ROUND(I13,0))," ",(ROUND(K13,)/ROUND(I13,)))</f>
        <v>0.5971376269927108</v>
      </c>
      <c r="M13" s="233">
        <f>IF(ISERROR(ROUND(K13,0)/ROUND(J13,0))," ",(ROUND(K13,)/ROUND(J13,)))</f>
        <v>1</v>
      </c>
      <c r="N13" s="229">
        <f>K13-'[4]Jūnijs'!K13</f>
        <v>54962</v>
      </c>
    </row>
    <row r="14" spans="1:14" ht="12.75">
      <c r="A14" s="149" t="s">
        <v>250</v>
      </c>
      <c r="B14" s="230">
        <v>1433000</v>
      </c>
      <c r="C14" s="230">
        <v>495000</v>
      </c>
      <c r="D14" s="230"/>
      <c r="E14" s="231">
        <f t="shared" si="1"/>
        <v>0</v>
      </c>
      <c r="F14" s="231">
        <v>0</v>
      </c>
      <c r="G14" s="80"/>
      <c r="H14" s="91" t="s">
        <v>250</v>
      </c>
      <c r="I14" s="232">
        <f t="shared" si="0"/>
        <v>1433</v>
      </c>
      <c r="J14" s="232">
        <f>ROUND(C14/1000,0)</f>
        <v>495</v>
      </c>
      <c r="K14" s="226">
        <v>0</v>
      </c>
      <c r="L14" s="63">
        <f>IF(ISERROR(K14/I14)," ",(K14/I14))</f>
        <v>0</v>
      </c>
      <c r="M14" s="63">
        <v>0</v>
      </c>
      <c r="N14" s="229">
        <f>K14-'[4]Jūnijs'!K14</f>
        <v>0</v>
      </c>
    </row>
    <row r="15" spans="1:14" ht="12.75">
      <c r="A15" s="149" t="s">
        <v>251</v>
      </c>
      <c r="B15" s="230">
        <v>59260125</v>
      </c>
      <c r="C15" s="230">
        <v>35668659</v>
      </c>
      <c r="D15" s="234">
        <v>30969739</v>
      </c>
      <c r="E15" s="231">
        <f t="shared" si="1"/>
        <v>0.5226067106675863</v>
      </c>
      <c r="F15" s="231">
        <f t="shared" si="2"/>
        <v>0.8682619383027548</v>
      </c>
      <c r="G15" s="80"/>
      <c r="H15" s="91" t="s">
        <v>251</v>
      </c>
      <c r="I15" s="232">
        <f t="shared" si="0"/>
        <v>59260</v>
      </c>
      <c r="J15" s="232">
        <f>ROUND(C15/1000,0)</f>
        <v>35669</v>
      </c>
      <c r="K15" s="232">
        <f>ROUND(D15/1000,0)</f>
        <v>30970</v>
      </c>
      <c r="L15" s="233">
        <f t="shared" si="3"/>
        <v>0.5226122173472831</v>
      </c>
      <c r="M15" s="233">
        <f aca="true" t="shared" si="4" ref="M15:M20">IF(ISERROR(ROUND(K15,0)/ROUND(J15,0))," ",(ROUND(K15,)/ROUND(J15,)))</f>
        <v>0.8682609548908016</v>
      </c>
      <c r="N15" s="229">
        <f>K15-'[4]Jūnijs'!K15</f>
        <v>4794</v>
      </c>
    </row>
    <row r="16" spans="1:14" ht="12.75">
      <c r="A16" s="222" t="s">
        <v>252</v>
      </c>
      <c r="B16" s="136">
        <v>31643057</v>
      </c>
      <c r="C16" s="136">
        <v>17993350</v>
      </c>
      <c r="D16" s="136">
        <v>2218760</v>
      </c>
      <c r="E16" s="231">
        <f t="shared" si="1"/>
        <v>0.0701183833154932</v>
      </c>
      <c r="F16" s="231">
        <f t="shared" si="2"/>
        <v>0.123310000639125</v>
      </c>
      <c r="G16" s="235"/>
      <c r="H16" s="91" t="s">
        <v>253</v>
      </c>
      <c r="I16" s="232">
        <f t="shared" si="0"/>
        <v>31643</v>
      </c>
      <c r="J16" s="232">
        <f>ROUND(C16/1000,0)</f>
        <v>17993</v>
      </c>
      <c r="K16" s="232">
        <f>D16/1000</f>
        <v>2218.76</v>
      </c>
      <c r="L16" s="233">
        <f t="shared" si="3"/>
        <v>0.07012609423885219</v>
      </c>
      <c r="M16" s="233">
        <f t="shared" si="4"/>
        <v>0.12332573778691713</v>
      </c>
      <c r="N16" s="229">
        <f>K16-'[4]Jūnijs'!K16</f>
        <v>355.7600000000002</v>
      </c>
    </row>
    <row r="17" spans="1:14" ht="12.75">
      <c r="A17" s="67" t="s">
        <v>254</v>
      </c>
      <c r="B17" s="124">
        <f>SUM(B18,B40)</f>
        <v>759846889</v>
      </c>
      <c r="C17" s="124">
        <f>C18+C40</f>
        <v>452796840</v>
      </c>
      <c r="D17" s="117">
        <f>SUM(D18,D40)</f>
        <v>418133745.65</v>
      </c>
      <c r="E17" s="57">
        <f t="shared" si="1"/>
        <v>0.5502868429194818</v>
      </c>
      <c r="F17" s="57">
        <f t="shared" si="2"/>
        <v>0.9234466955423098</v>
      </c>
      <c r="G17" s="235"/>
      <c r="H17" s="67" t="s">
        <v>254</v>
      </c>
      <c r="I17" s="236">
        <f>SUM(I18,I40)</f>
        <v>759847</v>
      </c>
      <c r="J17" s="236">
        <f>SUM(J18,J40)</f>
        <v>452796</v>
      </c>
      <c r="K17" s="124">
        <f>SUM(K18,K40)</f>
        <v>418134</v>
      </c>
      <c r="L17" s="219">
        <f t="shared" si="3"/>
        <v>0.550287097270898</v>
      </c>
      <c r="M17" s="219">
        <f t="shared" si="4"/>
        <v>0.923448970397265</v>
      </c>
      <c r="N17" s="220">
        <f>N18+N40</f>
        <v>56935</v>
      </c>
    </row>
    <row r="18" spans="1:14" ht="12.75">
      <c r="A18" s="55" t="s">
        <v>255</v>
      </c>
      <c r="B18" s="68">
        <v>694317503</v>
      </c>
      <c r="C18" s="68">
        <f>C19+C23+C27</f>
        <v>414639361</v>
      </c>
      <c r="D18" s="237">
        <f>SUM(D19,D23,D27)</f>
        <v>390606848.65</v>
      </c>
      <c r="E18" s="57">
        <f t="shared" si="1"/>
        <v>0.5625766986461811</v>
      </c>
      <c r="F18" s="57">
        <f t="shared" si="2"/>
        <v>0.9420399638566874</v>
      </c>
      <c r="G18" s="235"/>
      <c r="H18" s="55" t="s">
        <v>255</v>
      </c>
      <c r="I18" s="218">
        <f aca="true" t="shared" si="5" ref="I18:J20">ROUND(B18/1000,0)</f>
        <v>694318</v>
      </c>
      <c r="J18" s="218">
        <f t="shared" si="5"/>
        <v>414639</v>
      </c>
      <c r="K18" s="68">
        <f>SUM(K19,K23,K27)</f>
        <v>390607</v>
      </c>
      <c r="L18" s="219">
        <f t="shared" si="3"/>
        <v>0.5625765139316566</v>
      </c>
      <c r="M18" s="219">
        <f t="shared" si="4"/>
        <v>0.9420411490477258</v>
      </c>
      <c r="N18" s="220">
        <f>N19+N23+N27</f>
        <v>51564</v>
      </c>
    </row>
    <row r="19" spans="1:14" ht="12.75">
      <c r="A19" s="238" t="s">
        <v>256</v>
      </c>
      <c r="B19" s="68">
        <v>354644600</v>
      </c>
      <c r="C19" s="80">
        <v>204768554</v>
      </c>
      <c r="D19" s="237">
        <f>D20+D21+D22</f>
        <v>191784570.65</v>
      </c>
      <c r="E19" s="57">
        <f t="shared" si="1"/>
        <v>0.5407796161283719</v>
      </c>
      <c r="F19" s="57" t="str">
        <f>IF(ISERROR(D19/#REF!)," ",(D19/#REF!))</f>
        <v> </v>
      </c>
      <c r="G19" s="235"/>
      <c r="H19" s="238" t="s">
        <v>256</v>
      </c>
      <c r="I19" s="218">
        <f t="shared" si="5"/>
        <v>354645</v>
      </c>
      <c r="J19" s="218">
        <f>C19/1000</f>
        <v>204768.554</v>
      </c>
      <c r="K19" s="194">
        <f>SUM(K20,K21,K22,)</f>
        <v>191785</v>
      </c>
      <c r="L19" s="219">
        <f t="shared" si="3"/>
        <v>0.5407802168365549</v>
      </c>
      <c r="M19" s="219">
        <f t="shared" si="4"/>
        <v>0.9365919646040172</v>
      </c>
      <c r="N19" s="220">
        <f>N20+N21+N22</f>
        <v>28388</v>
      </c>
    </row>
    <row r="20" spans="1:14" ht="12.75">
      <c r="A20" s="60" t="s">
        <v>257</v>
      </c>
      <c r="B20" s="80">
        <v>165669282</v>
      </c>
      <c r="C20" s="60">
        <v>94852856</v>
      </c>
      <c r="D20" s="239">
        <v>92459019</v>
      </c>
      <c r="E20" s="231">
        <f t="shared" si="1"/>
        <v>0.5580939199096667</v>
      </c>
      <c r="F20" s="231">
        <f>IF(ISERROR(D20/C19)," ",(D20/C19))</f>
        <v>0.45152938375489043</v>
      </c>
      <c r="G20" s="80"/>
      <c r="H20" s="199" t="s">
        <v>257</v>
      </c>
      <c r="I20" s="232">
        <f t="shared" si="5"/>
        <v>165669</v>
      </c>
      <c r="J20" s="240">
        <f>C20/1000</f>
        <v>94852.856</v>
      </c>
      <c r="K20" s="232">
        <f>ROUND(D20/1000,0)</f>
        <v>92459</v>
      </c>
      <c r="L20" s="233">
        <f t="shared" si="3"/>
        <v>0.558094755204655</v>
      </c>
      <c r="M20" s="233">
        <f t="shared" si="4"/>
        <v>0.9747609458846848</v>
      </c>
      <c r="N20" s="229">
        <f>K20-'[4]Jūnijs'!K20</f>
        <v>14775</v>
      </c>
    </row>
    <row r="21" spans="1:14" ht="24">
      <c r="A21" s="149" t="s">
        <v>258</v>
      </c>
      <c r="B21" s="241" t="s">
        <v>25</v>
      </c>
      <c r="C21" s="241" t="s">
        <v>25</v>
      </c>
      <c r="D21" s="239">
        <v>23999983</v>
      </c>
      <c r="E21" s="242" t="s">
        <v>25</v>
      </c>
      <c r="F21" s="243" t="s">
        <v>25</v>
      </c>
      <c r="G21" s="80"/>
      <c r="H21" s="91" t="s">
        <v>258</v>
      </c>
      <c r="I21" s="244" t="s">
        <v>25</v>
      </c>
      <c r="J21" s="244" t="s">
        <v>25</v>
      </c>
      <c r="K21" s="232">
        <f>ROUND(D21/1000,0)</f>
        <v>24000</v>
      </c>
      <c r="L21" s="245" t="s">
        <v>25</v>
      </c>
      <c r="M21" s="246" t="s">
        <v>25</v>
      </c>
      <c r="N21" s="229">
        <f>K21-'[4]Jūnijs'!K21</f>
        <v>3506</v>
      </c>
    </row>
    <row r="22" spans="1:14" ht="12.75">
      <c r="A22" s="149" t="s">
        <v>259</v>
      </c>
      <c r="B22" s="241" t="s">
        <v>25</v>
      </c>
      <c r="C22" s="16">
        <v>109915698</v>
      </c>
      <c r="D22" s="239">
        <f>75308460.56+17108.09</f>
        <v>75325568.65</v>
      </c>
      <c r="E22" s="242" t="s">
        <v>25</v>
      </c>
      <c r="F22" s="243" t="s">
        <v>25</v>
      </c>
      <c r="G22" s="80"/>
      <c r="H22" s="91" t="s">
        <v>259</v>
      </c>
      <c r="I22" s="244" t="s">
        <v>25</v>
      </c>
      <c r="J22" s="247">
        <f>C22/1000</f>
        <v>109915.698</v>
      </c>
      <c r="K22" s="232">
        <f>ROUND(D22/1000,0)</f>
        <v>75326</v>
      </c>
      <c r="L22" s="245" t="s">
        <v>25</v>
      </c>
      <c r="M22" s="246" t="s">
        <v>25</v>
      </c>
      <c r="N22" s="229">
        <f>K22-'[4]Jūnijs'!K22-1</f>
        <v>10107</v>
      </c>
    </row>
    <row r="23" spans="1:14" ht="22.5">
      <c r="A23" s="67" t="s">
        <v>260</v>
      </c>
      <c r="B23" s="68">
        <v>39335166</v>
      </c>
      <c r="C23" s="68">
        <v>24677760</v>
      </c>
      <c r="D23" s="237">
        <f>SUM(D24,D25,D26)</f>
        <v>24418458</v>
      </c>
      <c r="E23" s="57">
        <f>IF(ISERROR(D23/B23)," ",(D23/B23))</f>
        <v>0.6207793301291775</v>
      </c>
      <c r="F23" s="57">
        <f>IF(ISERROR(D23/C23)," ",(D23/C23))</f>
        <v>0.9894924822998522</v>
      </c>
      <c r="G23" s="80"/>
      <c r="H23" s="248" t="s">
        <v>260</v>
      </c>
      <c r="I23" s="249">
        <f>ROUND(B23/1000,0)</f>
        <v>39335</v>
      </c>
      <c r="J23" s="249">
        <f>ROUND(C23/1000,0)</f>
        <v>24678</v>
      </c>
      <c r="K23" s="194">
        <f>SUM(K24,K25,K26)</f>
        <v>24418</v>
      </c>
      <c r="L23" s="219">
        <f>IF(ISERROR(ROUND(K23,0)/ROUND(I23,0))," ",(ROUND(K23,)/ROUND(I23,)))</f>
        <v>0.6207703063429516</v>
      </c>
      <c r="M23" s="219">
        <f>IF(ISERROR(ROUND(K23,0)/ROUND(J23,0))," ",(ROUND(K23,)/ROUND(J23,)))</f>
        <v>0.9894643001864009</v>
      </c>
      <c r="N23" s="229">
        <f>K23-'[4]Jūnijs'!K23+1</f>
        <v>2314</v>
      </c>
    </row>
    <row r="24" spans="1:14" ht="24">
      <c r="A24" s="149" t="s">
        <v>261</v>
      </c>
      <c r="B24" s="241" t="s">
        <v>25</v>
      </c>
      <c r="C24" s="241" t="s">
        <v>25</v>
      </c>
      <c r="D24" s="239">
        <v>9603230</v>
      </c>
      <c r="E24" s="242" t="s">
        <v>25</v>
      </c>
      <c r="F24" s="243" t="s">
        <v>25</v>
      </c>
      <c r="G24" s="80"/>
      <c r="H24" s="91" t="s">
        <v>261</v>
      </c>
      <c r="I24" s="244" t="s">
        <v>25</v>
      </c>
      <c r="J24" s="244" t="s">
        <v>25</v>
      </c>
      <c r="K24" s="232">
        <f>ROUND(D24/1000,0)</f>
        <v>9603</v>
      </c>
      <c r="L24" s="245" t="s">
        <v>25</v>
      </c>
      <c r="M24" s="246" t="s">
        <v>25</v>
      </c>
      <c r="N24" s="229">
        <f>K24-'[4]Jūnijs'!K24+1</f>
        <v>1341</v>
      </c>
    </row>
    <row r="25" spans="1:14" ht="12.75">
      <c r="A25" s="149" t="s">
        <v>262</v>
      </c>
      <c r="B25" s="241" t="s">
        <v>25</v>
      </c>
      <c r="C25" s="241" t="s">
        <v>25</v>
      </c>
      <c r="D25" s="239">
        <v>14493740</v>
      </c>
      <c r="E25" s="242" t="s">
        <v>25</v>
      </c>
      <c r="F25" s="243" t="s">
        <v>25</v>
      </c>
      <c r="G25" s="80"/>
      <c r="H25" s="91" t="s">
        <v>262</v>
      </c>
      <c r="I25" s="244" t="s">
        <v>25</v>
      </c>
      <c r="J25" s="244" t="s">
        <v>25</v>
      </c>
      <c r="K25" s="232">
        <f>ROUND(D25/1000,0)</f>
        <v>14494</v>
      </c>
      <c r="L25" s="245" t="s">
        <v>25</v>
      </c>
      <c r="M25" s="246" t="s">
        <v>25</v>
      </c>
      <c r="N25" s="229">
        <f>K25-'[4]Jūnijs'!K25</f>
        <v>941</v>
      </c>
    </row>
    <row r="26" spans="1:14" ht="24">
      <c r="A26" s="149" t="s">
        <v>263</v>
      </c>
      <c r="B26" s="241" t="s">
        <v>25</v>
      </c>
      <c r="C26" s="241" t="s">
        <v>25</v>
      </c>
      <c r="D26" s="239">
        <v>321488</v>
      </c>
      <c r="E26" s="242" t="s">
        <v>25</v>
      </c>
      <c r="F26" s="243" t="s">
        <v>25</v>
      </c>
      <c r="G26" s="80"/>
      <c r="H26" s="91" t="s">
        <v>264</v>
      </c>
      <c r="I26" s="244" t="s">
        <v>25</v>
      </c>
      <c r="J26" s="244" t="s">
        <v>25</v>
      </c>
      <c r="K26" s="232">
        <f>ROUND(D26/1000,0)</f>
        <v>321</v>
      </c>
      <c r="L26" s="245" t="s">
        <v>25</v>
      </c>
      <c r="M26" s="246" t="s">
        <v>25</v>
      </c>
      <c r="N26" s="229">
        <f>K26-'[4]Jūnijs'!K26</f>
        <v>32</v>
      </c>
    </row>
    <row r="27" spans="1:14" ht="12.75">
      <c r="A27" s="73" t="s">
        <v>265</v>
      </c>
      <c r="B27" s="68">
        <v>300337737</v>
      </c>
      <c r="C27" s="68">
        <v>185193047</v>
      </c>
      <c r="D27" s="237">
        <f>SUM(D28,D29,D30,D31,D34,D39)</f>
        <v>174403820</v>
      </c>
      <c r="E27" s="57">
        <f>IF(ISERROR(D27/B27)," ",(D27/B27))</f>
        <v>0.5806923290495459</v>
      </c>
      <c r="F27" s="57">
        <f>IF(ISERROR(D27/C27)," ",(D27/C27))</f>
        <v>0.9417406475308978</v>
      </c>
      <c r="G27" s="80"/>
      <c r="H27" s="73" t="s">
        <v>265</v>
      </c>
      <c r="I27" s="249">
        <f>ROUND(B27/1000,0)</f>
        <v>300338</v>
      </c>
      <c r="J27" s="249">
        <f>ROUND(C27/1000,0)</f>
        <v>185193</v>
      </c>
      <c r="K27" s="249">
        <f>SUM(K28,K29,K30,K31,K34,K39)</f>
        <v>174404</v>
      </c>
      <c r="L27" s="219">
        <f>IF(ISERROR(ROUND(K27,0)/ROUND(I27,0))," ",(ROUND(K27,)/ROUND(I27,)))</f>
        <v>0.5806924198736091</v>
      </c>
      <c r="M27" s="219">
        <f>IF(ISERROR(ROUND(K27,0)/ROUND(J27,0))," ",(ROUND(K27,)/ROUND(J27,)))</f>
        <v>0.9417418584935716</v>
      </c>
      <c r="N27" s="220">
        <f>N28+N29+N30+N31+N34+N39</f>
        <v>20862</v>
      </c>
    </row>
    <row r="28" spans="1:14" ht="12.75">
      <c r="A28" s="60" t="s">
        <v>266</v>
      </c>
      <c r="B28" s="241" t="s">
        <v>25</v>
      </c>
      <c r="C28" s="241" t="s">
        <v>25</v>
      </c>
      <c r="D28" s="239">
        <v>11335078</v>
      </c>
      <c r="E28" s="242" t="s">
        <v>25</v>
      </c>
      <c r="F28" s="243" t="s">
        <v>25</v>
      </c>
      <c r="G28" s="80"/>
      <c r="H28" s="199" t="s">
        <v>266</v>
      </c>
      <c r="I28" s="244" t="s">
        <v>25</v>
      </c>
      <c r="J28" s="244" t="s">
        <v>25</v>
      </c>
      <c r="K28" s="250">
        <f>ROUND(D28/1000,0)</f>
        <v>11335</v>
      </c>
      <c r="L28" s="245" t="s">
        <v>25</v>
      </c>
      <c r="M28" s="246" t="s">
        <v>25</v>
      </c>
      <c r="N28" s="229">
        <f>K28-'[4]Jūnijs'!K28</f>
        <v>2546</v>
      </c>
    </row>
    <row r="29" spans="1:14" ht="12.75">
      <c r="A29" s="149" t="s">
        <v>267</v>
      </c>
      <c r="B29" s="241" t="s">
        <v>25</v>
      </c>
      <c r="C29" s="241" t="s">
        <v>25</v>
      </c>
      <c r="D29" s="239">
        <v>57165327</v>
      </c>
      <c r="E29" s="242" t="s">
        <v>25</v>
      </c>
      <c r="F29" s="243" t="s">
        <v>25</v>
      </c>
      <c r="G29" s="80"/>
      <c r="H29" s="91" t="s">
        <v>267</v>
      </c>
      <c r="I29" s="244" t="s">
        <v>25</v>
      </c>
      <c r="J29" s="244" t="s">
        <v>25</v>
      </c>
      <c r="K29" s="232">
        <f>ROUND(D29/1000,0)</f>
        <v>57165</v>
      </c>
      <c r="L29" s="245" t="s">
        <v>25</v>
      </c>
      <c r="M29" s="246" t="s">
        <v>25</v>
      </c>
      <c r="N29" s="229">
        <f>K29-'[4]Jūnijs'!K29</f>
        <v>4738</v>
      </c>
    </row>
    <row r="30" spans="1:14" ht="12.75">
      <c r="A30" s="149" t="s">
        <v>268</v>
      </c>
      <c r="B30" s="241" t="s">
        <v>25</v>
      </c>
      <c r="C30" s="241" t="s">
        <v>25</v>
      </c>
      <c r="D30" s="239">
        <v>4224099</v>
      </c>
      <c r="E30" s="242" t="s">
        <v>25</v>
      </c>
      <c r="F30" s="243" t="s">
        <v>25</v>
      </c>
      <c r="G30" s="80"/>
      <c r="H30" s="91" t="s">
        <v>268</v>
      </c>
      <c r="I30" s="244" t="s">
        <v>25</v>
      </c>
      <c r="J30" s="244" t="s">
        <v>25</v>
      </c>
      <c r="K30" s="232">
        <f>ROUND(D30/1000,0)</f>
        <v>4224</v>
      </c>
      <c r="L30" s="245" t="s">
        <v>25</v>
      </c>
      <c r="M30" s="246" t="s">
        <v>25</v>
      </c>
      <c r="N30" s="229">
        <f>K30-'[4]Jūnijs'!K30</f>
        <v>552</v>
      </c>
    </row>
    <row r="31" spans="1:14" ht="12.75">
      <c r="A31" s="149" t="s">
        <v>269</v>
      </c>
      <c r="B31" s="16">
        <v>33184406</v>
      </c>
      <c r="C31" s="16">
        <v>21029670</v>
      </c>
      <c r="D31" s="239">
        <v>57013853</v>
      </c>
      <c r="E31" s="242" t="s">
        <v>25</v>
      </c>
      <c r="F31" s="243" t="s">
        <v>25</v>
      </c>
      <c r="G31" s="80"/>
      <c r="H31" s="91" t="s">
        <v>269</v>
      </c>
      <c r="I31" s="244" t="s">
        <v>25</v>
      </c>
      <c r="J31" s="247">
        <f>ROUND(C31/1000,0)</f>
        <v>21030</v>
      </c>
      <c r="K31" s="232">
        <f>ROUND(D31/1000,0)</f>
        <v>57014</v>
      </c>
      <c r="L31" s="245" t="s">
        <v>25</v>
      </c>
      <c r="M31" s="246" t="s">
        <v>25</v>
      </c>
      <c r="N31" s="229">
        <f>K31-'[4]Jūnijs'!K31</f>
        <v>7302</v>
      </c>
    </row>
    <row r="32" spans="1:14" ht="12.75">
      <c r="A32" s="251" t="s">
        <v>270</v>
      </c>
      <c r="B32" s="252" t="s">
        <v>25</v>
      </c>
      <c r="C32" s="252" t="s">
        <v>25</v>
      </c>
      <c r="D32" s="253">
        <v>36736378</v>
      </c>
      <c r="E32" s="254" t="s">
        <v>25</v>
      </c>
      <c r="F32" s="255" t="s">
        <v>25</v>
      </c>
      <c r="G32" s="80"/>
      <c r="H32" s="256" t="s">
        <v>271</v>
      </c>
      <c r="I32" s="257" t="s">
        <v>25</v>
      </c>
      <c r="J32" s="257" t="s">
        <v>25</v>
      </c>
      <c r="K32" s="258">
        <f>D32/1000</f>
        <v>36736.378</v>
      </c>
      <c r="L32" s="259" t="s">
        <v>25</v>
      </c>
      <c r="M32" s="260" t="s">
        <v>25</v>
      </c>
      <c r="N32" s="229">
        <f>K32-'[4]Jūnijs'!K32</f>
        <v>4835.377999999997</v>
      </c>
    </row>
    <row r="33" spans="1:14" ht="12.75">
      <c r="A33" s="251" t="s">
        <v>272</v>
      </c>
      <c r="B33" s="252" t="s">
        <v>25</v>
      </c>
      <c r="C33" s="252" t="s">
        <v>25</v>
      </c>
      <c r="D33" s="253">
        <f>D31-D32</f>
        <v>20277475</v>
      </c>
      <c r="E33" s="254" t="s">
        <v>25</v>
      </c>
      <c r="F33" s="255" t="s">
        <v>25</v>
      </c>
      <c r="G33" s="80"/>
      <c r="H33" s="153" t="s">
        <v>273</v>
      </c>
      <c r="I33" s="257" t="s">
        <v>25</v>
      </c>
      <c r="J33" s="257" t="s">
        <v>25</v>
      </c>
      <c r="K33" s="258">
        <f>ROUND(D33/1000,0)</f>
        <v>20277</v>
      </c>
      <c r="L33" s="259" t="s">
        <v>25</v>
      </c>
      <c r="M33" s="260" t="s">
        <v>25</v>
      </c>
      <c r="N33" s="229">
        <f>K33-'[4]Jūnijs'!K33</f>
        <v>2466</v>
      </c>
    </row>
    <row r="34" spans="1:14" ht="12.75">
      <c r="A34" s="149" t="s">
        <v>274</v>
      </c>
      <c r="B34" s="16">
        <v>72148552</v>
      </c>
      <c r="C34" s="16">
        <v>43029919</v>
      </c>
      <c r="D34" s="239">
        <f>SUM(D35:D38)</f>
        <v>42512311</v>
      </c>
      <c r="E34" s="242" t="s">
        <v>25</v>
      </c>
      <c r="F34" s="243" t="s">
        <v>25</v>
      </c>
      <c r="G34" s="80"/>
      <c r="H34" s="91" t="s">
        <v>274</v>
      </c>
      <c r="I34" s="244" t="s">
        <v>25</v>
      </c>
      <c r="J34" s="247">
        <f>ROUND(C34/1000,0)</f>
        <v>43030</v>
      </c>
      <c r="K34" s="228">
        <f>SUM(K35,K36,K37,K38)</f>
        <v>42513</v>
      </c>
      <c r="L34" s="245" t="s">
        <v>25</v>
      </c>
      <c r="M34" s="246" t="s">
        <v>25</v>
      </c>
      <c r="N34" s="229">
        <f>K34-'[4]Jūnijs'!K34</f>
        <v>5675</v>
      </c>
    </row>
    <row r="35" spans="1:14" ht="12.75">
      <c r="A35" s="251" t="s">
        <v>275</v>
      </c>
      <c r="B35" s="252" t="s">
        <v>25</v>
      </c>
      <c r="C35" s="252" t="s">
        <v>25</v>
      </c>
      <c r="D35" s="261">
        <v>754831</v>
      </c>
      <c r="E35" s="254" t="s">
        <v>25</v>
      </c>
      <c r="F35" s="255" t="s">
        <v>25</v>
      </c>
      <c r="G35" s="80"/>
      <c r="H35" s="256" t="s">
        <v>276</v>
      </c>
      <c r="I35" s="257" t="s">
        <v>25</v>
      </c>
      <c r="J35" s="257" t="s">
        <v>25</v>
      </c>
      <c r="K35" s="258">
        <f>ROUND(D35/1000,0)</f>
        <v>755</v>
      </c>
      <c r="L35" s="259" t="s">
        <v>25</v>
      </c>
      <c r="M35" s="260" t="s">
        <v>25</v>
      </c>
      <c r="N35" s="229">
        <f>K35-'[4]Jūnijs'!K35</f>
        <v>117</v>
      </c>
    </row>
    <row r="36" spans="1:14" ht="12.75">
      <c r="A36" s="251" t="s">
        <v>277</v>
      </c>
      <c r="B36" s="252" t="s">
        <v>25</v>
      </c>
      <c r="C36" s="252" t="s">
        <v>25</v>
      </c>
      <c r="D36" s="261">
        <v>31626190</v>
      </c>
      <c r="E36" s="254" t="s">
        <v>25</v>
      </c>
      <c r="F36" s="255" t="s">
        <v>25</v>
      </c>
      <c r="G36" s="80"/>
      <c r="H36" s="153" t="s">
        <v>278</v>
      </c>
      <c r="I36" s="257" t="s">
        <v>25</v>
      </c>
      <c r="J36" s="257" t="s">
        <v>25</v>
      </c>
      <c r="K36" s="258">
        <f>ROUND(D36/1000,0)</f>
        <v>31626</v>
      </c>
      <c r="L36" s="259" t="s">
        <v>25</v>
      </c>
      <c r="M36" s="260" t="s">
        <v>25</v>
      </c>
      <c r="N36" s="229">
        <f>K36-'[4]Jūnijs'!K36</f>
        <v>4754</v>
      </c>
    </row>
    <row r="37" spans="1:14" ht="12.75">
      <c r="A37" s="251" t="s">
        <v>279</v>
      </c>
      <c r="B37" s="252" t="s">
        <v>25</v>
      </c>
      <c r="C37" s="252" t="s">
        <v>25</v>
      </c>
      <c r="D37" s="261">
        <v>4015692</v>
      </c>
      <c r="E37" s="254" t="s">
        <v>25</v>
      </c>
      <c r="F37" s="255" t="s">
        <v>25</v>
      </c>
      <c r="G37" s="80"/>
      <c r="H37" s="153" t="s">
        <v>280</v>
      </c>
      <c r="I37" s="257" t="s">
        <v>25</v>
      </c>
      <c r="J37" s="257" t="s">
        <v>25</v>
      </c>
      <c r="K37" s="258">
        <f>ROUND(D37/1000,0)</f>
        <v>4016</v>
      </c>
      <c r="L37" s="259" t="s">
        <v>25</v>
      </c>
      <c r="M37" s="260" t="s">
        <v>25</v>
      </c>
      <c r="N37" s="229">
        <f>K37-'[4]Jūnijs'!K37</f>
        <v>92</v>
      </c>
    </row>
    <row r="38" spans="1:14" ht="12.75">
      <c r="A38" s="251" t="s">
        <v>281</v>
      </c>
      <c r="B38" s="252" t="s">
        <v>25</v>
      </c>
      <c r="C38" s="252" t="s">
        <v>25</v>
      </c>
      <c r="D38" s="261">
        <v>6115598</v>
      </c>
      <c r="E38" s="254" t="s">
        <v>25</v>
      </c>
      <c r="F38" s="255" t="s">
        <v>25</v>
      </c>
      <c r="G38" s="80"/>
      <c r="H38" s="153" t="s">
        <v>282</v>
      </c>
      <c r="I38" s="257" t="s">
        <v>25</v>
      </c>
      <c r="J38" s="257" t="s">
        <v>25</v>
      </c>
      <c r="K38" s="258">
        <f>ROUND(D38/1000,0)</f>
        <v>6116</v>
      </c>
      <c r="L38" s="259" t="s">
        <v>25</v>
      </c>
      <c r="M38" s="260" t="s">
        <v>25</v>
      </c>
      <c r="N38" s="229">
        <f>K38-'[4]Jūnijs'!K38</f>
        <v>712</v>
      </c>
    </row>
    <row r="39" spans="1:14" ht="12.75">
      <c r="A39" s="149" t="s">
        <v>283</v>
      </c>
      <c r="B39" s="80">
        <v>5151122</v>
      </c>
      <c r="C39" s="80">
        <v>3545188</v>
      </c>
      <c r="D39" s="239">
        <v>2153152</v>
      </c>
      <c r="E39" s="57">
        <f>IF(ISERROR(D39/B39)," ",(D39/B39))</f>
        <v>0.41799670052466237</v>
      </c>
      <c r="F39" s="57">
        <f>IF(ISERROR(D39/C39)," ",(D39/C39))</f>
        <v>0.6073449419325576</v>
      </c>
      <c r="G39" s="80"/>
      <c r="H39" s="91" t="s">
        <v>283</v>
      </c>
      <c r="I39" s="247">
        <f>ROUND(B39/1000,0)</f>
        <v>5151</v>
      </c>
      <c r="J39" s="247">
        <f>ROUND(C39/1000,0)</f>
        <v>3545</v>
      </c>
      <c r="K39" s="232">
        <f>ROUND(D39/1000,0)</f>
        <v>2153</v>
      </c>
      <c r="L39" s="233">
        <f>IF(ISERROR(ROUND(K39,0)/ROUND(I39,0))," ",(ROUND(K39,)/ROUND(I39,)))</f>
        <v>0.41797709182682974</v>
      </c>
      <c r="M39" s="233">
        <f>IF(ISERROR(ROUND(K39,0)/ROUND(J39,0))," ",(ROUND(K39,)/ROUND(J39,)))</f>
        <v>0.6073342736248237</v>
      </c>
      <c r="N39" s="229">
        <f>K39-'[4]Jūnijs'!K39</f>
        <v>49</v>
      </c>
    </row>
    <row r="40" spans="1:14" ht="12.75">
      <c r="A40" s="262" t="s">
        <v>284</v>
      </c>
      <c r="B40" s="68">
        <f>B41+B42</f>
        <v>65529386</v>
      </c>
      <c r="C40" s="68">
        <f>C41+C42</f>
        <v>38157479</v>
      </c>
      <c r="D40" s="237">
        <f>SUM(D41:D42)</f>
        <v>27526897</v>
      </c>
      <c r="E40" s="57">
        <f>IF(ISERROR(D40/B40)," ",(D40/B40))</f>
        <v>0.4200695089680834</v>
      </c>
      <c r="F40" s="57">
        <f>IF(ISERROR(D40/C40)," ",(D40/C40))</f>
        <v>0.7214024018725136</v>
      </c>
      <c r="G40" s="80"/>
      <c r="H40" s="262" t="s">
        <v>284</v>
      </c>
      <c r="I40" s="194">
        <f>SUM(I41:I42)</f>
        <v>65529</v>
      </c>
      <c r="J40" s="263">
        <f>ROUND(C40/1000,0)</f>
        <v>38157</v>
      </c>
      <c r="K40" s="194">
        <f>SUM(K41:K42)</f>
        <v>27527</v>
      </c>
      <c r="L40" s="219">
        <f>IF(ISERROR(ROUND(K40,0)/ROUND(I40,0))," ",(ROUND(K40,)/ROUND(I40,)))</f>
        <v>0.4200735552198263</v>
      </c>
      <c r="M40" s="219">
        <f>IF(ISERROR(ROUND(K40,0)/ROUND(J40,0))," ",(ROUND(K40,)/ROUND(J40,)))</f>
        <v>0.7214141572974815</v>
      </c>
      <c r="N40" s="229">
        <f>K40-'[4]Jūnijs'!K40</f>
        <v>5371</v>
      </c>
    </row>
    <row r="41" spans="1:14" ht="12.75">
      <c r="A41" s="205" t="s">
        <v>285</v>
      </c>
      <c r="B41" s="80">
        <v>24236583</v>
      </c>
      <c r="C41" s="80">
        <v>14745264</v>
      </c>
      <c r="D41" s="239">
        <v>7776717</v>
      </c>
      <c r="E41" s="57" t="str">
        <f>IF(ISERROR(#REF!/B41)," ",(#REF!/B41))</f>
        <v> </v>
      </c>
      <c r="F41" s="57" t="str">
        <f>IF(ISERROR(#REF!/C41)," ",(#REF!/C41))</f>
        <v> </v>
      </c>
      <c r="G41" s="80"/>
      <c r="H41" s="264" t="s">
        <v>286</v>
      </c>
      <c r="I41" s="265">
        <f>ROUND(B41/1000,0)</f>
        <v>24237</v>
      </c>
      <c r="J41" s="247">
        <f>ROUND(C41/1000,0)</f>
        <v>14745</v>
      </c>
      <c r="K41" s="232">
        <f>ROUND(D41/1000,0)</f>
        <v>7777</v>
      </c>
      <c r="L41" s="233">
        <f>IF(ISERROR(ROUND(K41,0)/ROUND(I41,0))," ",(ROUND(K41,)/ROUND(I41,)))</f>
        <v>0.3208730453438957</v>
      </c>
      <c r="M41" s="233">
        <f>IF(ISERROR(ROUND(K41,0)/ROUND(J41,0))," ",(ROUND(K41,)/ROUND(J41,)))</f>
        <v>0.5274330281451339</v>
      </c>
      <c r="N41" s="229">
        <f>K41-'[4]Jūnijs'!K41</f>
        <v>1439</v>
      </c>
    </row>
    <row r="42" spans="1:14" ht="12.75">
      <c r="A42" s="149" t="s">
        <v>287</v>
      </c>
      <c r="B42" s="80">
        <v>41292803</v>
      </c>
      <c r="C42" s="80">
        <v>23412215</v>
      </c>
      <c r="D42" s="239">
        <v>19750180</v>
      </c>
      <c r="E42" s="57">
        <f>IF(ISERROR(D41/B42)," ",(D41/B42))</f>
        <v>0.18833105129724423</v>
      </c>
      <c r="F42" s="57">
        <f>IF(ISERROR(D41/C42)," ",(D41/C42))</f>
        <v>0.3321649403954303</v>
      </c>
      <c r="G42" s="80"/>
      <c r="H42" s="91" t="s">
        <v>288</v>
      </c>
      <c r="I42" s="265">
        <f>ROUND(B42/1000,0)-1</f>
        <v>41292</v>
      </c>
      <c r="J42" s="247">
        <f>ROUND(C42/1000,0)</f>
        <v>23412</v>
      </c>
      <c r="K42" s="232">
        <f>ROUND(D42/1000,0)</f>
        <v>19750</v>
      </c>
      <c r="L42" s="233">
        <f>IF(ISERROR(ROUND(K42,0)/ROUND(I42,0))," ",(ROUND(K42,)/ROUND(I42,)))</f>
        <v>0.478300881526688</v>
      </c>
      <c r="M42" s="233">
        <f>IF(ISERROR(ROUND(K42,0)/ROUND(J42,0))," ",(ROUND(K42,)/ROUND(J42,)))</f>
        <v>0.8435844865880745</v>
      </c>
      <c r="N42" s="229">
        <f>K42-'[4]Jūnijs'!K42</f>
        <v>3932</v>
      </c>
    </row>
    <row r="43" spans="1:14" ht="12.75">
      <c r="A43" s="149" t="s">
        <v>289</v>
      </c>
      <c r="B43" s="241" t="s">
        <v>25</v>
      </c>
      <c r="C43" s="241" t="s">
        <v>25</v>
      </c>
      <c r="D43" s="261">
        <v>1115700</v>
      </c>
      <c r="E43" s="266" t="s">
        <v>25</v>
      </c>
      <c r="F43" s="266" t="s">
        <v>25</v>
      </c>
      <c r="G43" s="80"/>
      <c r="H43" s="91" t="s">
        <v>289</v>
      </c>
      <c r="I43" s="18" t="s">
        <v>25</v>
      </c>
      <c r="J43" s="18" t="s">
        <v>25</v>
      </c>
      <c r="K43" s="232">
        <f>ROUND(D43/1000,0)</f>
        <v>1116</v>
      </c>
      <c r="L43" s="267" t="s">
        <v>25</v>
      </c>
      <c r="M43" s="267" t="s">
        <v>25</v>
      </c>
      <c r="N43" s="229">
        <f>K43-'[4]Jūnijs'!K43</f>
        <v>120</v>
      </c>
    </row>
    <row r="44" spans="1:14" ht="12.75">
      <c r="A44" s="149" t="s">
        <v>290</v>
      </c>
      <c r="B44" s="241" t="s">
        <v>291</v>
      </c>
      <c r="C44" s="241" t="s">
        <v>291</v>
      </c>
      <c r="D44" s="261">
        <v>3705052</v>
      </c>
      <c r="E44" s="266" t="s">
        <v>25</v>
      </c>
      <c r="F44" s="266" t="s">
        <v>25</v>
      </c>
      <c r="G44" s="80"/>
      <c r="H44" s="91" t="s">
        <v>290</v>
      </c>
      <c r="I44" s="18" t="s">
        <v>25</v>
      </c>
      <c r="J44" s="18" t="s">
        <v>25</v>
      </c>
      <c r="K44" s="232">
        <f>ROUND(D44/1000,0)</f>
        <v>3705</v>
      </c>
      <c r="L44" s="267" t="s">
        <v>25</v>
      </c>
      <c r="M44" s="267" t="s">
        <v>25</v>
      </c>
      <c r="N44" s="229">
        <f>K44-'[4]Jūnijs'!K44</f>
        <v>1103</v>
      </c>
    </row>
    <row r="45" spans="1:14" ht="24">
      <c r="A45" s="67" t="s">
        <v>292</v>
      </c>
      <c r="B45" s="268">
        <v>55987963</v>
      </c>
      <c r="C45" s="241" t="s">
        <v>25</v>
      </c>
      <c r="D45" s="269">
        <f>SUM(D46-D48)</f>
        <v>35685540</v>
      </c>
      <c r="E45" s="242" t="s">
        <v>25</v>
      </c>
      <c r="F45" s="243" t="s">
        <v>25</v>
      </c>
      <c r="G45" s="80"/>
      <c r="H45" s="67" t="s">
        <v>292</v>
      </c>
      <c r="I45" s="249">
        <v>55987</v>
      </c>
      <c r="J45" s="270" t="s">
        <v>25</v>
      </c>
      <c r="K45" s="218">
        <f>K46-K48</f>
        <v>35685.53999999999</v>
      </c>
      <c r="L45" s="271" t="s">
        <v>25</v>
      </c>
      <c r="M45" s="272" t="s">
        <v>25</v>
      </c>
      <c r="N45" s="229">
        <f>K45-'[4]Jūnijs'!K45</f>
        <v>997.5399999999936</v>
      </c>
    </row>
    <row r="46" spans="1:14" ht="12.75">
      <c r="A46" s="60" t="s">
        <v>293</v>
      </c>
      <c r="B46" s="239">
        <v>73631361</v>
      </c>
      <c r="C46" s="241" t="s">
        <v>25</v>
      </c>
      <c r="D46" s="273">
        <v>53010560</v>
      </c>
      <c r="E46" s="57"/>
      <c r="F46" s="57"/>
      <c r="G46" s="80"/>
      <c r="H46" s="199" t="s">
        <v>293</v>
      </c>
      <c r="I46" s="274"/>
      <c r="J46" s="110" t="s">
        <v>25</v>
      </c>
      <c r="K46" s="232">
        <f>D46/1000</f>
        <v>53010.56</v>
      </c>
      <c r="L46" s="245" t="s">
        <v>25</v>
      </c>
      <c r="M46" s="246" t="s">
        <v>25</v>
      </c>
      <c r="N46" s="229">
        <f>K46-'[4]Jūnijs'!K46</f>
        <v>2080.5599999999977</v>
      </c>
    </row>
    <row r="47" spans="1:14" ht="12.75">
      <c r="A47" s="60" t="s">
        <v>294</v>
      </c>
      <c r="B47" s="239">
        <v>48228571</v>
      </c>
      <c r="C47" s="241" t="s">
        <v>25</v>
      </c>
      <c r="D47" s="273">
        <v>39867477</v>
      </c>
      <c r="E47" s="57"/>
      <c r="F47" s="57"/>
      <c r="G47" s="80"/>
      <c r="H47" s="199" t="s">
        <v>294</v>
      </c>
      <c r="I47" s="274"/>
      <c r="J47" s="110" t="s">
        <v>25</v>
      </c>
      <c r="K47" s="232">
        <f>D47/1000</f>
        <v>39867.477</v>
      </c>
      <c r="L47" s="245" t="s">
        <v>25</v>
      </c>
      <c r="M47" s="246" t="s">
        <v>25</v>
      </c>
      <c r="N47" s="229">
        <f>K47-'[4]Jūnijs'!K47</f>
        <v>513.476999999999</v>
      </c>
    </row>
    <row r="48" spans="1:14" ht="12.75">
      <c r="A48" s="275" t="s">
        <v>295</v>
      </c>
      <c r="B48" s="239">
        <v>17643398</v>
      </c>
      <c r="C48" s="241" t="s">
        <v>25</v>
      </c>
      <c r="D48" s="273">
        <v>17325020</v>
      </c>
      <c r="E48" s="57"/>
      <c r="F48" s="241" t="s">
        <v>25</v>
      </c>
      <c r="G48" s="80"/>
      <c r="H48" s="79" t="s">
        <v>295</v>
      </c>
      <c r="I48" s="274"/>
      <c r="J48" s="276" t="s">
        <v>25</v>
      </c>
      <c r="K48" s="232">
        <f>D48/1000</f>
        <v>17325.02</v>
      </c>
      <c r="L48" s="245" t="s">
        <v>25</v>
      </c>
      <c r="M48" s="245" t="s">
        <v>25</v>
      </c>
      <c r="N48" s="229">
        <f>K48-'[4]Jūnijs'!K48</f>
        <v>1083.0200000000004</v>
      </c>
    </row>
    <row r="49" spans="1:14" ht="12.75">
      <c r="A49" s="60" t="s">
        <v>296</v>
      </c>
      <c r="B49" s="239"/>
      <c r="C49" s="60"/>
      <c r="D49" s="239">
        <v>2744817</v>
      </c>
      <c r="E49" s="60"/>
      <c r="F49" s="60"/>
      <c r="G49" s="80"/>
      <c r="H49" s="199" t="s">
        <v>296</v>
      </c>
      <c r="I49" s="199"/>
      <c r="J49" s="199"/>
      <c r="K49" s="232">
        <f>D49/1000</f>
        <v>2744.817</v>
      </c>
      <c r="L49" s="277"/>
      <c r="M49" s="277"/>
      <c r="N49" s="229">
        <f>K49-'[4]Jūnijs'!K49</f>
        <v>125.81700000000001</v>
      </c>
    </row>
    <row r="50" spans="1:14" ht="12.75">
      <c r="A50" s="60" t="s">
        <v>297</v>
      </c>
      <c r="B50" s="239">
        <f>-B51</f>
        <v>-78303583</v>
      </c>
      <c r="C50" s="242" t="s">
        <v>25</v>
      </c>
      <c r="D50" s="239">
        <f>(D11-D17-D45)</f>
        <v>-64977460.649999976</v>
      </c>
      <c r="E50" s="242" t="s">
        <v>25</v>
      </c>
      <c r="F50" s="242" t="s">
        <v>25</v>
      </c>
      <c r="G50" s="80"/>
      <c r="H50" s="199" t="s">
        <v>297</v>
      </c>
      <c r="I50" s="274">
        <f>-I51</f>
        <v>-78303</v>
      </c>
      <c r="J50" s="278" t="s">
        <v>25</v>
      </c>
      <c r="K50" s="71">
        <f>(K11-K17-K45)</f>
        <v>-64977.53999999999</v>
      </c>
      <c r="L50" s="245" t="s">
        <v>25</v>
      </c>
      <c r="M50" s="245" t="s">
        <v>25</v>
      </c>
      <c r="N50" s="229">
        <f>(N11-N17-N45)</f>
        <v>-4848.539999999994</v>
      </c>
    </row>
    <row r="51" spans="1:14" ht="12.75">
      <c r="A51" s="138" t="s">
        <v>298</v>
      </c>
      <c r="B51" s="239">
        <f>B52+B53+B54</f>
        <v>78303583</v>
      </c>
      <c r="C51" s="279"/>
      <c r="D51" s="239">
        <f>-D50</f>
        <v>64977460.649999976</v>
      </c>
      <c r="E51" s="60"/>
      <c r="F51" s="280"/>
      <c r="G51" s="80"/>
      <c r="H51" s="62" t="s">
        <v>298</v>
      </c>
      <c r="I51" s="274">
        <f>I52+I53+I54</f>
        <v>78303</v>
      </c>
      <c r="J51" s="278" t="s">
        <v>25</v>
      </c>
      <c r="K51" s="71">
        <f>-K50</f>
        <v>64977.53999999999</v>
      </c>
      <c r="L51" s="245" t="s">
        <v>25</v>
      </c>
      <c r="M51" s="245" t="s">
        <v>25</v>
      </c>
      <c r="N51" s="229">
        <f>K51-'[4]Jūnijs'!K51</f>
        <v>4848.539999999994</v>
      </c>
    </row>
    <row r="52" spans="1:14" ht="12.75">
      <c r="A52" s="281" t="s">
        <v>299</v>
      </c>
      <c r="B52" s="239">
        <v>30350000</v>
      </c>
      <c r="C52" s="242" t="s">
        <v>25</v>
      </c>
      <c r="D52" s="239">
        <v>1619218</v>
      </c>
      <c r="E52" s="242" t="s">
        <v>25</v>
      </c>
      <c r="F52" s="242" t="s">
        <v>25</v>
      </c>
      <c r="G52" s="80"/>
      <c r="H52" s="111" t="s">
        <v>299</v>
      </c>
      <c r="I52" s="265">
        <f>ROUND(B52/1000,0)</f>
        <v>30350</v>
      </c>
      <c r="J52" s="278" t="s">
        <v>25</v>
      </c>
      <c r="K52" s="71">
        <f>D52/1000</f>
        <v>1619.218</v>
      </c>
      <c r="L52" s="245" t="s">
        <v>25</v>
      </c>
      <c r="M52" s="245" t="s">
        <v>25</v>
      </c>
      <c r="N52" s="229">
        <f>K52-'[4]Jūnijs'!K52</f>
        <v>3.2180000000000746</v>
      </c>
    </row>
    <row r="53" spans="1:14" ht="12.75">
      <c r="A53" s="281" t="s">
        <v>300</v>
      </c>
      <c r="B53" s="239">
        <v>500000</v>
      </c>
      <c r="C53" s="242" t="s">
        <v>25</v>
      </c>
      <c r="D53" s="239">
        <v>259475</v>
      </c>
      <c r="E53" s="242" t="s">
        <v>25</v>
      </c>
      <c r="F53" s="242" t="s">
        <v>25</v>
      </c>
      <c r="G53" s="80"/>
      <c r="H53" s="111" t="s">
        <v>300</v>
      </c>
      <c r="I53" s="265">
        <f>ROUND(B53/1000,0)</f>
        <v>500</v>
      </c>
      <c r="J53" s="278" t="s">
        <v>25</v>
      </c>
      <c r="K53" s="71">
        <f>D53/1000</f>
        <v>259.475</v>
      </c>
      <c r="L53" s="245" t="s">
        <v>25</v>
      </c>
      <c r="M53" s="245" t="s">
        <v>25</v>
      </c>
      <c r="N53" s="229">
        <f>K53-'[4]Jūnijs'!K53</f>
        <v>25.475000000000023</v>
      </c>
    </row>
    <row r="54" spans="1:14" ht="12.75">
      <c r="A54" s="60" t="s">
        <v>301</v>
      </c>
      <c r="B54" s="239">
        <v>47453583</v>
      </c>
      <c r="C54" s="242" t="s">
        <v>25</v>
      </c>
      <c r="D54" s="239">
        <f>D51-D52-D53</f>
        <v>63098767.649999976</v>
      </c>
      <c r="E54" s="242" t="s">
        <v>25</v>
      </c>
      <c r="F54" s="242" t="s">
        <v>25</v>
      </c>
      <c r="G54" s="80"/>
      <c r="H54" s="199" t="s">
        <v>301</v>
      </c>
      <c r="I54" s="265">
        <f>ROUND(B54/1000,0)-1</f>
        <v>47453</v>
      </c>
      <c r="J54" s="278" t="s">
        <v>25</v>
      </c>
      <c r="K54" s="71">
        <f>K51-K52-K53</f>
        <v>63098.846999999994</v>
      </c>
      <c r="L54" s="245" t="s">
        <v>25</v>
      </c>
      <c r="M54" s="245" t="s">
        <v>25</v>
      </c>
      <c r="N54" s="229">
        <f>K54-'[4]Jūnijs'!K54</f>
        <v>4819.846999999994</v>
      </c>
    </row>
    <row r="55" spans="1:14" ht="12.75">
      <c r="A55" s="39"/>
      <c r="B55" s="39"/>
      <c r="C55" s="39"/>
      <c r="D55" s="39"/>
      <c r="E55" s="39"/>
      <c r="F55" s="39"/>
      <c r="G55" s="39"/>
      <c r="H55" s="48"/>
      <c r="I55" s="48"/>
      <c r="J55" s="48"/>
      <c r="K55" s="48"/>
      <c r="L55" s="48"/>
      <c r="M55" s="48"/>
      <c r="N55" s="48"/>
    </row>
    <row r="56" spans="1:14" ht="12.75">
      <c r="A56" s="39"/>
      <c r="B56" s="39"/>
      <c r="C56" s="39"/>
      <c r="D56" s="39"/>
      <c r="E56" s="39"/>
      <c r="F56" s="39"/>
      <c r="G56" s="39"/>
      <c r="H56" s="48"/>
      <c r="I56" s="48"/>
      <c r="J56" s="48"/>
      <c r="K56" s="48"/>
      <c r="L56" s="48"/>
      <c r="M56" s="48"/>
      <c r="N56" s="48"/>
    </row>
    <row r="57" spans="1:14" ht="12.75">
      <c r="A57" s="39"/>
      <c r="B57" s="39"/>
      <c r="C57" s="39"/>
      <c r="D57" s="39"/>
      <c r="E57" s="39"/>
      <c r="F57" s="39"/>
      <c r="G57" s="39"/>
      <c r="H57" s="48"/>
      <c r="I57" s="48"/>
      <c r="J57" s="48"/>
      <c r="K57" s="48"/>
      <c r="L57" s="48"/>
      <c r="M57" s="48"/>
      <c r="N57" s="48"/>
    </row>
    <row r="58" spans="1:14" ht="12.75">
      <c r="A58" s="39"/>
      <c r="B58" s="39"/>
      <c r="C58" s="39"/>
      <c r="D58" s="39"/>
      <c r="E58" s="39"/>
      <c r="F58" s="39"/>
      <c r="G58" s="39"/>
      <c r="H58" s="70"/>
      <c r="I58" s="48"/>
      <c r="J58" s="48"/>
      <c r="K58" s="48"/>
      <c r="L58" s="48"/>
      <c r="M58" s="48"/>
      <c r="N58" s="48"/>
    </row>
    <row r="59" spans="1:14" ht="12.75">
      <c r="A59" s="39"/>
      <c r="B59" s="39"/>
      <c r="C59" s="39"/>
      <c r="D59" s="39"/>
      <c r="E59" s="39"/>
      <c r="F59" s="39"/>
      <c r="G59" s="39"/>
      <c r="H59" s="48"/>
      <c r="I59" s="48"/>
      <c r="J59" s="48"/>
      <c r="K59" s="48"/>
      <c r="L59" s="48"/>
      <c r="M59" s="48"/>
      <c r="N59" s="48"/>
    </row>
    <row r="60" spans="8:14" ht="12.75">
      <c r="H60" s="48"/>
      <c r="I60" s="48"/>
      <c r="J60" s="48"/>
      <c r="K60" s="48"/>
      <c r="L60" s="48"/>
      <c r="M60" s="48"/>
      <c r="N60" s="48"/>
    </row>
    <row r="61" spans="1:14" ht="12.75">
      <c r="A61" s="37" t="s">
        <v>302</v>
      </c>
      <c r="M61" s="48"/>
      <c r="N61" s="48"/>
    </row>
    <row r="62" spans="8:14" ht="12.75">
      <c r="H62" s="48"/>
      <c r="I62" s="48"/>
      <c r="J62" s="48"/>
      <c r="K62" s="48"/>
      <c r="L62" s="48"/>
      <c r="M62" s="48"/>
      <c r="N62" s="48"/>
    </row>
    <row r="63" spans="8:14" ht="12.75">
      <c r="H63" s="43" t="s">
        <v>113</v>
      </c>
      <c r="I63" s="29"/>
      <c r="J63" s="101"/>
      <c r="K63" s="30"/>
      <c r="M63" s="48"/>
      <c r="N63" s="48"/>
    </row>
    <row r="64" spans="8:14" ht="12.75">
      <c r="H64" s="48"/>
      <c r="I64" s="48"/>
      <c r="J64" s="48"/>
      <c r="K64" s="48"/>
      <c r="L64" s="48"/>
      <c r="M64" s="48"/>
      <c r="N64" s="48"/>
    </row>
    <row r="65" spans="8:14" ht="12.75">
      <c r="H65" s="48"/>
      <c r="I65" s="48"/>
      <c r="J65" s="48"/>
      <c r="K65" s="48"/>
      <c r="L65" s="48"/>
      <c r="M65" s="48"/>
      <c r="N65" s="48"/>
    </row>
    <row r="66" spans="8:14" ht="12.75">
      <c r="H66" s="48"/>
      <c r="I66" s="48"/>
      <c r="J66" s="48"/>
      <c r="K66" s="48"/>
      <c r="L66" s="48"/>
      <c r="M66" s="48"/>
      <c r="N66" s="48"/>
    </row>
    <row r="67" spans="8:14" ht="12.75">
      <c r="H67" s="48"/>
      <c r="I67" s="48"/>
      <c r="J67" s="48"/>
      <c r="K67" s="48"/>
      <c r="L67" s="48"/>
      <c r="M67" s="48"/>
      <c r="N67" s="48"/>
    </row>
    <row r="68" spans="8:14" ht="12.75">
      <c r="H68" s="48"/>
      <c r="I68" s="48"/>
      <c r="J68" s="48"/>
      <c r="K68" s="48"/>
      <c r="L68" s="48"/>
      <c r="M68" s="48"/>
      <c r="N68" s="48"/>
    </row>
    <row r="69" spans="8:14" ht="12.75">
      <c r="H69" s="48"/>
      <c r="I69" s="48"/>
      <c r="J69" s="48"/>
      <c r="K69" s="48"/>
      <c r="L69" s="48"/>
      <c r="M69" s="48"/>
      <c r="N69" s="48"/>
    </row>
    <row r="70" spans="1:14" ht="12.75">
      <c r="A70" s="43" t="s">
        <v>114</v>
      </c>
      <c r="I70" s="48"/>
      <c r="J70" s="48"/>
      <c r="K70" s="48"/>
      <c r="L70" s="48"/>
      <c r="M70" s="48"/>
      <c r="N70" s="48"/>
    </row>
    <row r="71" spans="1:14" ht="12.75">
      <c r="A71" s="43" t="s">
        <v>303</v>
      </c>
      <c r="I71" s="48"/>
      <c r="J71" s="48"/>
      <c r="K71" s="48"/>
      <c r="L71" s="48"/>
      <c r="M71" s="48"/>
      <c r="N71" s="48"/>
    </row>
    <row r="72" spans="8:14" ht="12.75">
      <c r="H72" s="48"/>
      <c r="I72" s="48"/>
      <c r="J72" s="48"/>
      <c r="K72" s="48"/>
      <c r="L72" s="48"/>
      <c r="M72" s="48"/>
      <c r="N72" s="48"/>
    </row>
    <row r="73" spans="9:14" ht="12.75">
      <c r="I73" s="48"/>
      <c r="J73" s="48"/>
      <c r="K73" s="48"/>
      <c r="L73" s="48"/>
      <c r="M73" s="48"/>
      <c r="N73" s="48"/>
    </row>
    <row r="74" spans="9:14" ht="12.75">
      <c r="I74" s="48"/>
      <c r="J74" s="48"/>
      <c r="K74" s="48"/>
      <c r="L74" s="48"/>
      <c r="M74" s="48"/>
      <c r="N74" s="48"/>
    </row>
    <row r="79" ht="12.75">
      <c r="H79" s="65" t="s">
        <v>114</v>
      </c>
    </row>
    <row r="80" ht="12.75">
      <c r="H80" s="65" t="s">
        <v>59</v>
      </c>
    </row>
  </sheetData>
  <printOptions/>
  <pageMargins left="0.75" right="0.75" top="1" bottom="1" header="0.5" footer="0.5"/>
  <pageSetup firstPageNumber="10" useFirstPageNumber="1" horizontalDpi="300" verticalDpi="300" orientation="portrait" paperSize="9" scale="9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0"/>
  <sheetViews>
    <sheetView workbookViewId="0" topLeftCell="A205">
      <selection activeCell="G226" sqref="G226"/>
    </sheetView>
  </sheetViews>
  <sheetFormatPr defaultColWidth="9.140625" defaultRowHeight="12.75"/>
  <cols>
    <col min="1" max="1" width="0.13671875" style="0" customWidth="1"/>
    <col min="2" max="2" width="13.140625" style="0" hidden="1" customWidth="1"/>
    <col min="3" max="3" width="13.7109375" style="320" hidden="1" customWidth="1"/>
    <col min="4" max="4" width="13.421875" style="320" hidden="1" customWidth="1"/>
    <col min="5" max="5" width="9.140625" style="0" hidden="1" customWidth="1"/>
    <col min="6" max="6" width="12.00390625" style="0" hidden="1" customWidth="1"/>
    <col min="7" max="7" width="45.7109375" style="0" customWidth="1"/>
    <col min="8" max="8" width="12.421875" style="0" customWidth="1"/>
    <col min="9" max="9" width="12.28125" style="0" customWidth="1"/>
    <col min="10" max="11" width="10.8515625" style="0" customWidth="1"/>
    <col min="12" max="12" width="10.421875" style="0" customWidth="1"/>
  </cols>
  <sheetData>
    <row r="1" spans="1:13" ht="12.75">
      <c r="A1" s="282"/>
      <c r="B1" s="282"/>
      <c r="C1" s="38"/>
      <c r="D1" s="38"/>
      <c r="E1" s="282"/>
      <c r="F1" s="282" t="s">
        <v>304</v>
      </c>
      <c r="G1" s="283"/>
      <c r="H1" s="283"/>
      <c r="I1" s="283"/>
      <c r="J1" s="283"/>
      <c r="K1" s="283"/>
      <c r="L1" s="282" t="s">
        <v>304</v>
      </c>
      <c r="M1" s="283"/>
    </row>
    <row r="2" spans="1:13" ht="12.75">
      <c r="A2" s="32" t="s">
        <v>305</v>
      </c>
      <c r="B2" s="32"/>
      <c r="C2" s="35"/>
      <c r="D2" s="35"/>
      <c r="E2" s="32"/>
      <c r="F2" s="282"/>
      <c r="G2" s="766" t="s">
        <v>163</v>
      </c>
      <c r="H2" s="766"/>
      <c r="I2" s="766"/>
      <c r="J2" s="766"/>
      <c r="K2" s="766"/>
      <c r="L2" s="766"/>
      <c r="M2" s="283"/>
    </row>
    <row r="3" spans="1:13" ht="12.75">
      <c r="A3" s="32"/>
      <c r="B3" s="32"/>
      <c r="C3" s="35"/>
      <c r="D3" s="35"/>
      <c r="E3" s="32"/>
      <c r="F3" s="282"/>
      <c r="G3" s="283"/>
      <c r="H3" s="283"/>
      <c r="I3" s="283"/>
      <c r="J3" s="283"/>
      <c r="K3" s="283"/>
      <c r="L3" s="283"/>
      <c r="M3" s="283"/>
    </row>
    <row r="4" spans="1:13" ht="18">
      <c r="A4" s="510" t="s">
        <v>306</v>
      </c>
      <c r="B4" s="510"/>
      <c r="C4" s="510"/>
      <c r="D4" s="510"/>
      <c r="E4" s="510"/>
      <c r="F4" s="510"/>
      <c r="G4" s="511" t="s">
        <v>306</v>
      </c>
      <c r="H4" s="511"/>
      <c r="I4" s="511"/>
      <c r="J4" s="511"/>
      <c r="K4" s="511"/>
      <c r="L4" s="511"/>
      <c r="M4" s="283"/>
    </row>
    <row r="5" spans="1:13" ht="18">
      <c r="A5" s="510" t="s">
        <v>307</v>
      </c>
      <c r="B5" s="510"/>
      <c r="C5" s="510"/>
      <c r="D5" s="510"/>
      <c r="E5" s="510"/>
      <c r="F5" s="510"/>
      <c r="G5" s="511" t="str">
        <f>A5</f>
        <v>(2000.gada  janvāris -jūlijs )</v>
      </c>
      <c r="H5" s="511"/>
      <c r="I5" s="511"/>
      <c r="J5" s="511"/>
      <c r="K5" s="511"/>
      <c r="L5" s="511"/>
      <c r="M5" s="283"/>
    </row>
    <row r="6" spans="1:13" ht="18">
      <c r="A6" s="104"/>
      <c r="B6" s="104"/>
      <c r="C6" s="284"/>
      <c r="D6" s="284"/>
      <c r="E6" s="104"/>
      <c r="F6" s="104"/>
      <c r="G6" s="285"/>
      <c r="H6" s="285"/>
      <c r="I6" s="285"/>
      <c r="J6" s="285"/>
      <c r="K6" s="285"/>
      <c r="L6" s="285"/>
      <c r="M6" s="283"/>
    </row>
    <row r="7" spans="1:13" ht="15.75">
      <c r="A7" s="104"/>
      <c r="B7" s="104"/>
      <c r="C7" s="284"/>
      <c r="D7" s="284"/>
      <c r="E7" s="104"/>
      <c r="F7" s="104"/>
      <c r="G7" s="104"/>
      <c r="H7" s="104"/>
      <c r="I7" s="104"/>
      <c r="J7" s="104"/>
      <c r="K7" s="104"/>
      <c r="L7" s="104"/>
      <c r="M7" s="283"/>
    </row>
    <row r="8" spans="1:13" ht="14.25">
      <c r="A8" s="286"/>
      <c r="B8" s="282"/>
      <c r="C8" s="38"/>
      <c r="D8" s="38"/>
      <c r="E8" s="282"/>
      <c r="F8" s="282" t="s">
        <v>308</v>
      </c>
      <c r="G8" s="283"/>
      <c r="H8" s="283"/>
      <c r="I8" s="283"/>
      <c r="J8" s="283"/>
      <c r="K8" s="283"/>
      <c r="L8" s="282" t="s">
        <v>309</v>
      </c>
      <c r="M8" s="287"/>
    </row>
    <row r="9" spans="1:13" ht="51" customHeight="1">
      <c r="A9" s="50" t="s">
        <v>18</v>
      </c>
      <c r="B9" s="50" t="s">
        <v>68</v>
      </c>
      <c r="C9" s="288" t="s">
        <v>242</v>
      </c>
      <c r="D9" s="288" t="s">
        <v>70</v>
      </c>
      <c r="E9" s="50" t="s">
        <v>310</v>
      </c>
      <c r="F9" s="50" t="s">
        <v>245</v>
      </c>
      <c r="G9" s="50" t="s">
        <v>18</v>
      </c>
      <c r="H9" s="50" t="s">
        <v>68</v>
      </c>
      <c r="I9" s="50" t="s">
        <v>311</v>
      </c>
      <c r="J9" s="50" t="s">
        <v>70</v>
      </c>
      <c r="K9" s="50" t="s">
        <v>310</v>
      </c>
      <c r="L9" s="50" t="str">
        <f>F9</f>
        <v>Jūlija  izpilde</v>
      </c>
      <c r="M9" s="283"/>
    </row>
    <row r="10" spans="1:13" ht="12.75">
      <c r="A10" s="289">
        <v>1</v>
      </c>
      <c r="B10" s="53">
        <v>2</v>
      </c>
      <c r="C10" s="290">
        <v>3</v>
      </c>
      <c r="D10" s="290">
        <v>4</v>
      </c>
      <c r="E10" s="291">
        <v>5</v>
      </c>
      <c r="F10" s="292">
        <v>6</v>
      </c>
      <c r="G10" s="289">
        <v>1</v>
      </c>
      <c r="H10" s="53">
        <v>2</v>
      </c>
      <c r="I10" s="291">
        <v>3</v>
      </c>
      <c r="J10" s="291">
        <v>4</v>
      </c>
      <c r="K10" s="291">
        <v>5</v>
      </c>
      <c r="L10" s="289">
        <v>6</v>
      </c>
      <c r="M10" s="283"/>
    </row>
    <row r="11" spans="1:13" ht="12.75">
      <c r="A11" s="26" t="s">
        <v>312</v>
      </c>
      <c r="B11" s="293">
        <f>SUM(+B21+B28+B34+B40+B47+B58+B66+B77+B84+B90+B100+B156+B164+B170+B177)</f>
        <v>699762222</v>
      </c>
      <c r="C11" s="120">
        <f>SUM(C21+C28+C34+C40+C47+C58+C66+C77+C84+C90+C100+C156+C164+C170+C177)</f>
        <v>403695672</v>
      </c>
      <c r="D11" s="120">
        <f>SUM(+D21+D28+D34+D40+D47+D58+D66+D77+D84+D90+D100+D156+D164+D170+D177)</f>
        <v>392006722.9</v>
      </c>
      <c r="E11" s="294">
        <f>IF(ISERROR(D11/B11)," ",(D11/B11))</f>
        <v>0.5601998944435729</v>
      </c>
      <c r="F11" s="6">
        <f>SUM(+F21+F28+F34+F40+F47+F58+F66+F77+F84+F90+F100+F156+F164+F170+F177)</f>
        <v>57837172.9</v>
      </c>
      <c r="G11" s="26" t="s">
        <v>312</v>
      </c>
      <c r="H11" s="293">
        <f>SUM(+H21+H28+H34+H40+H47+H58+H66+H77+H84+H90+H100+H156+H164+H170+H177)</f>
        <v>699762</v>
      </c>
      <c r="I11" s="293">
        <f>SUM(I21+I28+I34+I40+I47+I58+I66+I77+I84+I90+I100+I156+I164+I170+I177)</f>
        <v>403695</v>
      </c>
      <c r="J11" s="293">
        <f>SUM(J21+J28+J34+J40+J47+J58+J66+J77+J84+J90+J100+J156+J164+J170+J177)</f>
        <v>392007</v>
      </c>
      <c r="K11" s="295">
        <f>IF(ISERROR(ROUND(J11,0)/ROUND(H11,0))," ",(ROUND(J11,)/ROUND(H11,)))</f>
        <v>0.5602004681591741</v>
      </c>
      <c r="L11" s="293">
        <f>SUM(L21+L28+L34+L40+L47+L58+L66+L77+L84+L90+L100+L156+L164+L170+L177)</f>
        <v>57838</v>
      </c>
      <c r="M11" s="296"/>
    </row>
    <row r="12" spans="1:13" ht="12.75">
      <c r="A12" s="26" t="s">
        <v>313</v>
      </c>
      <c r="B12" s="120">
        <f>B13+B14</f>
        <v>743446778</v>
      </c>
      <c r="C12" s="120">
        <f>C13+C14</f>
        <v>451167680</v>
      </c>
      <c r="D12" s="120">
        <f>D13+D14</f>
        <v>420053118.61</v>
      </c>
      <c r="E12" s="297">
        <f aca="true" t="shared" si="0" ref="E12:E75">IF(ISERROR(D12/B12)," ",(D12/B12))</f>
        <v>0.5650076522491836</v>
      </c>
      <c r="F12" s="298">
        <f>F13+F14</f>
        <v>56695748.61</v>
      </c>
      <c r="G12" s="26" t="s">
        <v>313</v>
      </c>
      <c r="H12" s="293">
        <f>H13+H14</f>
        <v>743447</v>
      </c>
      <c r="I12" s="293">
        <f>I13+I14</f>
        <v>451169</v>
      </c>
      <c r="J12" s="293">
        <f>J13+J14</f>
        <v>420053</v>
      </c>
      <c r="K12" s="295">
        <f aca="true" t="shared" si="1" ref="K12:K75">IF(ISERROR(ROUND(J12,0)/ROUND(H12,0))," ",(ROUND(J12,)/ROUND(H12,)))</f>
        <v>0.5650073239921608</v>
      </c>
      <c r="L12" s="293">
        <f>L13+L14</f>
        <v>56696</v>
      </c>
      <c r="M12" s="296"/>
    </row>
    <row r="13" spans="1:13" ht="12.75">
      <c r="A13" s="299" t="s">
        <v>314</v>
      </c>
      <c r="B13" s="120">
        <f>SUM(B24+B32+B37+B43+B50+B62+B72+B81+B95+B105+B161+B166+B175+B180)</f>
        <v>706050840</v>
      </c>
      <c r="C13" s="120">
        <f>SUM(C24+C32+C37+C43+C50+C62+C72+C81+C95+C105+C161+C166+C175+C180)</f>
        <v>427533656</v>
      </c>
      <c r="D13" s="120">
        <f>SUM(D24+D32+D37+D43+D50+D62+D72+D81+D95+D105+D161+D166+D175+D180)</f>
        <v>404470327.61</v>
      </c>
      <c r="E13" s="300">
        <f t="shared" si="0"/>
        <v>0.5728628941366318</v>
      </c>
      <c r="F13" s="301">
        <f>SUM(F24+F32+F37+F43+F50+F62+F72+F81+F95+F105+F161+F166+F175+F180)</f>
        <v>53930646.61</v>
      </c>
      <c r="G13" s="299" t="s">
        <v>315</v>
      </c>
      <c r="H13" s="302">
        <f>ROUND(B13/1000,0)</f>
        <v>706051</v>
      </c>
      <c r="I13" s="301">
        <f>SUM(I24+I32+I37+I43+I50+I62+I72+I81+I95+I105+I161+I166+I175+I180)</f>
        <v>427535</v>
      </c>
      <c r="J13" s="301">
        <f>SUM(J24+J32+J37+J43+J50+J62+J72+J81+J95+J105+J161+J166+J175+J180)-1</f>
        <v>404470</v>
      </c>
      <c r="K13" s="303">
        <f t="shared" si="1"/>
        <v>0.5728623003154163</v>
      </c>
      <c r="L13" s="301">
        <f>SUM(L24+L32+L37+L43+L50+L62+L72+L81+L95+L105+L161+L166+L175+L180)</f>
        <v>53931</v>
      </c>
      <c r="M13" s="283"/>
    </row>
    <row r="14" spans="1:13" ht="12.75">
      <c r="A14" s="299" t="s">
        <v>316</v>
      </c>
      <c r="B14" s="120">
        <f>SUM(B25+B45+B51+B63+B73+B82+B86+B96+B106+B162+B167+B181)</f>
        <v>37395938</v>
      </c>
      <c r="C14" s="120">
        <f>SUM(C25+C45+C51+C63+C73+C82+C86+C96+C106+C162+C167+C181)</f>
        <v>23634024</v>
      </c>
      <c r="D14" s="120">
        <f>SUM(D25+D45+D51+D63+D73+D82+D86+D96+D106+D162+D167+D181)</f>
        <v>15582791</v>
      </c>
      <c r="E14" s="300">
        <f t="shared" si="0"/>
        <v>0.41669742312654384</v>
      </c>
      <c r="F14" s="301">
        <f>SUM(F25+F45+F51+F63+F73+F82+F86+F96+F106+F162+F167+F181)</f>
        <v>2765102</v>
      </c>
      <c r="G14" s="299" t="s">
        <v>316</v>
      </c>
      <c r="H14" s="302">
        <f>ROUND(B14/1000,0)</f>
        <v>37396</v>
      </c>
      <c r="I14" s="301">
        <f>SUM(I25+I45+I51+I63+I73+I82+I86+I96+I106+I162+I167+I181)</f>
        <v>23634</v>
      </c>
      <c r="J14" s="301">
        <f>SUM(J25+J45+J51+J63+J73+J82+J86+J96+J106+J162+J167+J181)+1</f>
        <v>15583</v>
      </c>
      <c r="K14" s="303">
        <f t="shared" si="1"/>
        <v>0.41670232110386135</v>
      </c>
      <c r="L14" s="301">
        <f>SUM(L25+L45+L51+L63+L73+L82+L86+L96+L106+L162+L167+L181)</f>
        <v>2765</v>
      </c>
      <c r="M14" s="283"/>
    </row>
    <row r="15" spans="1:13" ht="12.75">
      <c r="A15" s="26" t="s">
        <v>317</v>
      </c>
      <c r="B15" s="120">
        <f aca="true" t="shared" si="2" ref="B15:D16">SUM(B52)</f>
        <v>6756000</v>
      </c>
      <c r="C15" s="120">
        <f t="shared" si="2"/>
        <v>0</v>
      </c>
      <c r="D15" s="120">
        <f t="shared" si="2"/>
        <v>2497550</v>
      </c>
      <c r="E15" s="297">
        <f t="shared" si="0"/>
        <v>0.3696788040260509</v>
      </c>
      <c r="F15" s="298">
        <f>SUM(F52)</f>
        <v>31478</v>
      </c>
      <c r="G15" s="26" t="s">
        <v>317</v>
      </c>
      <c r="H15" s="293">
        <f aca="true" t="shared" si="3" ref="H15:J16">SUM(H52)</f>
        <v>6756</v>
      </c>
      <c r="I15" s="293">
        <f t="shared" si="3"/>
        <v>0</v>
      </c>
      <c r="J15" s="293">
        <f t="shared" si="3"/>
        <v>2498</v>
      </c>
      <c r="K15" s="295">
        <f t="shared" si="1"/>
        <v>0.3697454114860864</v>
      </c>
      <c r="L15" s="293">
        <f>SUM(L52)</f>
        <v>32</v>
      </c>
      <c r="M15" s="304"/>
    </row>
    <row r="16" spans="1:13" ht="12.75">
      <c r="A16" s="26" t="s">
        <v>318</v>
      </c>
      <c r="B16" s="120">
        <f t="shared" si="2"/>
        <v>16380</v>
      </c>
      <c r="C16" s="120">
        <f t="shared" si="2"/>
        <v>0</v>
      </c>
      <c r="D16" s="120">
        <f t="shared" si="2"/>
        <v>26890</v>
      </c>
      <c r="E16" s="297">
        <f t="shared" si="0"/>
        <v>1.6416361416361416</v>
      </c>
      <c r="F16" s="298">
        <f>SUM(F53)</f>
        <v>8957</v>
      </c>
      <c r="G16" s="26" t="s">
        <v>318</v>
      </c>
      <c r="H16" s="293">
        <f t="shared" si="3"/>
        <v>16</v>
      </c>
      <c r="I16" s="293">
        <f t="shared" si="3"/>
        <v>0</v>
      </c>
      <c r="J16" s="293">
        <f t="shared" si="3"/>
        <v>27</v>
      </c>
      <c r="K16" s="295">
        <f t="shared" si="1"/>
        <v>1.6875</v>
      </c>
      <c r="L16" s="293">
        <f>SUM(L53)</f>
        <v>9</v>
      </c>
      <c r="M16" s="304"/>
    </row>
    <row r="17" spans="1:13" ht="12.75">
      <c r="A17" s="26" t="s">
        <v>319</v>
      </c>
      <c r="B17" s="120">
        <f>B11-B12-B15+B16</f>
        <v>-50424176</v>
      </c>
      <c r="C17" s="120">
        <f>C11-C12-C15+C16</f>
        <v>-47472008</v>
      </c>
      <c r="D17" s="120">
        <f>D11-D12-D15+D16</f>
        <v>-30517055.71000004</v>
      </c>
      <c r="E17" s="297">
        <f t="shared" si="0"/>
        <v>0.6052068299539498</v>
      </c>
      <c r="F17" s="298">
        <f>F11-F12-F15+F16</f>
        <v>1118903.289999999</v>
      </c>
      <c r="G17" s="26" t="s">
        <v>319</v>
      </c>
      <c r="H17" s="6">
        <f>H11-H12-H15+H16</f>
        <v>-50425</v>
      </c>
      <c r="I17" s="6">
        <f>I11-I12-I15+I16</f>
        <v>-47474</v>
      </c>
      <c r="J17" s="6">
        <f>J11-J12-J15+J16</f>
        <v>-30517</v>
      </c>
      <c r="K17" s="295">
        <f t="shared" si="1"/>
        <v>0.6051958353991076</v>
      </c>
      <c r="L17" s="6">
        <f>L11-L12-L15+L16</f>
        <v>1119</v>
      </c>
      <c r="M17" s="304"/>
    </row>
    <row r="18" spans="1:13" ht="12.75">
      <c r="A18" s="299" t="s">
        <v>320</v>
      </c>
      <c r="B18" s="6">
        <f>SUM(B55+B75+B108+B98+B183)</f>
        <v>52217619</v>
      </c>
      <c r="C18" s="120">
        <f>SUM(C55+C75+C98+C108+C183)</f>
        <v>50729775</v>
      </c>
      <c r="D18" s="120">
        <f>SUM(D55+D75+D87+D98+D108+D183)</f>
        <v>39390357</v>
      </c>
      <c r="E18" s="297">
        <f t="shared" si="0"/>
        <v>0.7543499254533226</v>
      </c>
      <c r="F18" s="6">
        <f>SUM(F55+F75+F87+F98+F108+F183-F44)</f>
        <v>2355605</v>
      </c>
      <c r="G18" s="299" t="s">
        <v>321</v>
      </c>
      <c r="H18" s="6">
        <f>SUM(H55+H75+H98+H108+H183)</f>
        <v>52218</v>
      </c>
      <c r="I18" s="293">
        <f>SUM(I55+I75+I98+I108+I183)</f>
        <v>50730</v>
      </c>
      <c r="J18" s="293">
        <f>SUM(J55+J75+J98+J87+J108+J183-J44)</f>
        <v>39091</v>
      </c>
      <c r="K18" s="295">
        <f t="shared" si="1"/>
        <v>0.7486115898732237</v>
      </c>
      <c r="L18" s="293">
        <f>SUM(L55+L75+L87+L98+L108+L183-L44)</f>
        <v>2356</v>
      </c>
      <c r="M18" s="304"/>
    </row>
    <row r="19" spans="1:13" ht="12.75">
      <c r="A19" s="26" t="s">
        <v>85</v>
      </c>
      <c r="B19" s="6"/>
      <c r="C19" s="120"/>
      <c r="D19" s="120"/>
      <c r="E19" s="297" t="str">
        <f t="shared" si="0"/>
        <v> </v>
      </c>
      <c r="F19" s="298"/>
      <c r="G19" s="26" t="s">
        <v>85</v>
      </c>
      <c r="H19" s="293"/>
      <c r="I19" s="293"/>
      <c r="J19" s="293"/>
      <c r="K19" s="295"/>
      <c r="L19" s="293"/>
      <c r="M19" s="283"/>
    </row>
    <row r="20" spans="1:13" ht="12.75">
      <c r="A20" s="58" t="s">
        <v>322</v>
      </c>
      <c r="B20" s="301"/>
      <c r="C20" s="305"/>
      <c r="D20" s="305"/>
      <c r="E20" s="300" t="str">
        <f t="shared" si="0"/>
        <v> </v>
      </c>
      <c r="F20" s="306"/>
      <c r="G20" s="58" t="s">
        <v>322</v>
      </c>
      <c r="H20" s="307"/>
      <c r="I20" s="307"/>
      <c r="J20" s="307"/>
      <c r="K20" s="303"/>
      <c r="L20" s="307"/>
      <c r="M20" s="283"/>
    </row>
    <row r="21" spans="1:13" ht="12.75">
      <c r="A21" s="299" t="s">
        <v>323</v>
      </c>
      <c r="B21" s="301">
        <f>B22</f>
        <v>2100500</v>
      </c>
      <c r="C21" s="308">
        <f>SUM(C22)</f>
        <v>1447000</v>
      </c>
      <c r="D21" s="305">
        <f>D22</f>
        <v>1278025</v>
      </c>
      <c r="E21" s="300">
        <f t="shared" si="0"/>
        <v>0.6084384670316592</v>
      </c>
      <c r="F21" s="301">
        <f>F22</f>
        <v>138251</v>
      </c>
      <c r="G21" s="299" t="s">
        <v>323</v>
      </c>
      <c r="H21" s="302">
        <f>H22</f>
        <v>2101</v>
      </c>
      <c r="I21" s="302">
        <f>ROUND(C21/1000,0)</f>
        <v>1447</v>
      </c>
      <c r="J21" s="302">
        <f>J22</f>
        <v>1278</v>
      </c>
      <c r="K21" s="303">
        <f t="shared" si="1"/>
        <v>0.6082817705854355</v>
      </c>
      <c r="L21" s="302">
        <f>SUM(L22)</f>
        <v>138</v>
      </c>
      <c r="M21" s="283"/>
    </row>
    <row r="22" spans="1:13" ht="12.75">
      <c r="A22" s="299" t="s">
        <v>324</v>
      </c>
      <c r="B22" s="301">
        <v>2100500</v>
      </c>
      <c r="C22" s="308">
        <v>1447000</v>
      </c>
      <c r="D22" s="305">
        <v>1278025</v>
      </c>
      <c r="E22" s="300">
        <f t="shared" si="0"/>
        <v>0.6084384670316592</v>
      </c>
      <c r="F22" s="306">
        <f>D22-'[5]Jūnijs'!D22</f>
        <v>138251</v>
      </c>
      <c r="G22" s="299" t="s">
        <v>324</v>
      </c>
      <c r="H22" s="302">
        <f>ROUND(B22/1000,0)</f>
        <v>2101</v>
      </c>
      <c r="I22" s="302">
        <f>ROUND(C22/1000,0)</f>
        <v>1447</v>
      </c>
      <c r="J22" s="302">
        <f>ROUND(D22/1000,0)</f>
        <v>1278</v>
      </c>
      <c r="K22" s="303">
        <f t="shared" si="1"/>
        <v>0.6082817705854355</v>
      </c>
      <c r="L22" s="302">
        <f>J22-'[5]Jūnijs'!J22</f>
        <v>138</v>
      </c>
      <c r="M22" s="283"/>
    </row>
    <row r="23" spans="1:13" ht="12.75">
      <c r="A23" s="299" t="s">
        <v>325</v>
      </c>
      <c r="B23" s="301">
        <f>B24+B25</f>
        <v>2100500</v>
      </c>
      <c r="C23" s="308">
        <f>SUM(C24:C25)</f>
        <v>1447000</v>
      </c>
      <c r="D23" s="305">
        <f>D24+D25</f>
        <v>1410197</v>
      </c>
      <c r="E23" s="300">
        <f t="shared" si="0"/>
        <v>0.6713625327303023</v>
      </c>
      <c r="F23" s="301">
        <f>F24+F25</f>
        <v>166725</v>
      </c>
      <c r="G23" s="299" t="s">
        <v>325</v>
      </c>
      <c r="H23" s="307">
        <f>H24+H25</f>
        <v>2101</v>
      </c>
      <c r="I23" s="307">
        <f>I24+I25</f>
        <v>1447</v>
      </c>
      <c r="J23" s="307">
        <f>J24+J25</f>
        <v>1410</v>
      </c>
      <c r="K23" s="303">
        <f t="shared" si="1"/>
        <v>0.6711089957163255</v>
      </c>
      <c r="L23" s="307">
        <f>L24+L25</f>
        <v>166</v>
      </c>
      <c r="M23" s="283"/>
    </row>
    <row r="24" spans="1:13" ht="12.75">
      <c r="A24" s="299" t="s">
        <v>326</v>
      </c>
      <c r="B24" s="301">
        <v>2014500</v>
      </c>
      <c r="C24" s="308">
        <v>1396000</v>
      </c>
      <c r="D24" s="305">
        <v>1396000</v>
      </c>
      <c r="E24" s="300">
        <f t="shared" si="0"/>
        <v>0.692975924547034</v>
      </c>
      <c r="F24" s="306">
        <f>D24-'[5]Jūnijs'!D24</f>
        <v>165198</v>
      </c>
      <c r="G24" s="299" t="s">
        <v>326</v>
      </c>
      <c r="H24" s="302">
        <f aca="true" t="shared" si="4" ref="H24:J25">ROUND(B24/1000,0)</f>
        <v>2015</v>
      </c>
      <c r="I24" s="302">
        <f>ROUND(C24/1000,0)</f>
        <v>1396</v>
      </c>
      <c r="J24" s="302">
        <f t="shared" si="4"/>
        <v>1396</v>
      </c>
      <c r="K24" s="303">
        <f t="shared" si="1"/>
        <v>0.6928039702233251</v>
      </c>
      <c r="L24" s="302">
        <f>J24-'[5]Jūnijs'!J24</f>
        <v>165</v>
      </c>
      <c r="M24" s="283"/>
    </row>
    <row r="25" spans="1:13" ht="12.75">
      <c r="A25" s="299" t="s">
        <v>316</v>
      </c>
      <c r="B25" s="301">
        <v>86000</v>
      </c>
      <c r="C25" s="308">
        <v>51000</v>
      </c>
      <c r="D25" s="305">
        <v>14197</v>
      </c>
      <c r="E25" s="300">
        <f t="shared" si="0"/>
        <v>0.1650813953488372</v>
      </c>
      <c r="F25" s="306">
        <f>D25-'[5]Jūnijs'!D25</f>
        <v>1527</v>
      </c>
      <c r="G25" s="299" t="s">
        <v>316</v>
      </c>
      <c r="H25" s="302">
        <f t="shared" si="4"/>
        <v>86</v>
      </c>
      <c r="I25" s="302">
        <f t="shared" si="4"/>
        <v>51</v>
      </c>
      <c r="J25" s="302">
        <f t="shared" si="4"/>
        <v>14</v>
      </c>
      <c r="K25" s="303">
        <f t="shared" si="1"/>
        <v>0.16279069767441862</v>
      </c>
      <c r="L25" s="302">
        <f>J25-'[5]Jūnijs'!J25</f>
        <v>1</v>
      </c>
      <c r="M25" s="283"/>
    </row>
    <row r="26" spans="1:13" ht="12.75">
      <c r="A26" s="26" t="s">
        <v>86</v>
      </c>
      <c r="B26" s="6"/>
      <c r="C26" s="145"/>
      <c r="D26" s="120"/>
      <c r="E26" s="300" t="str">
        <f t="shared" si="0"/>
        <v> </v>
      </c>
      <c r="F26" s="298"/>
      <c r="G26" s="26" t="s">
        <v>86</v>
      </c>
      <c r="H26" s="293"/>
      <c r="I26" s="293"/>
      <c r="J26" s="293"/>
      <c r="K26" s="303"/>
      <c r="L26" s="293"/>
      <c r="M26" s="283"/>
    </row>
    <row r="27" spans="1:13" ht="33.75" customHeight="1">
      <c r="A27" s="116" t="s">
        <v>327</v>
      </c>
      <c r="B27" s="301"/>
      <c r="C27" s="308"/>
      <c r="D27" s="305"/>
      <c r="E27" s="300" t="str">
        <f t="shared" si="0"/>
        <v> </v>
      </c>
      <c r="F27" s="306"/>
      <c r="G27" s="116" t="s">
        <v>327</v>
      </c>
      <c r="H27" s="307"/>
      <c r="I27" s="307"/>
      <c r="J27" s="307"/>
      <c r="K27" s="303"/>
      <c r="L27" s="307"/>
      <c r="M27" s="283"/>
    </row>
    <row r="28" spans="1:13" ht="12.75">
      <c r="A28" s="299" t="s">
        <v>323</v>
      </c>
      <c r="B28" s="301">
        <f>B29+B30</f>
        <v>2065000</v>
      </c>
      <c r="C28" s="305">
        <v>1235110</v>
      </c>
      <c r="D28" s="305">
        <f>SUM(D29:D30)</f>
        <v>1781032</v>
      </c>
      <c r="E28" s="300">
        <f t="shared" si="0"/>
        <v>0.8624852300242131</v>
      </c>
      <c r="F28" s="306">
        <f>F29+F30</f>
        <v>252474</v>
      </c>
      <c r="G28" s="299" t="s">
        <v>323</v>
      </c>
      <c r="H28" s="307">
        <f>H29+H30</f>
        <v>2065</v>
      </c>
      <c r="I28" s="302">
        <f>ROUND(C28/1000,0)</f>
        <v>1235</v>
      </c>
      <c r="J28" s="307">
        <f>J29+J30</f>
        <v>1781</v>
      </c>
      <c r="K28" s="303">
        <f t="shared" si="1"/>
        <v>0.8624697336561743</v>
      </c>
      <c r="L28" s="307">
        <f>SUM(L29:L30)</f>
        <v>253</v>
      </c>
      <c r="M28" s="283"/>
    </row>
    <row r="29" spans="1:13" ht="12" customHeight="1">
      <c r="A29" s="200" t="s">
        <v>328</v>
      </c>
      <c r="B29" s="301">
        <v>1755000</v>
      </c>
      <c r="C29" s="308"/>
      <c r="D29" s="305">
        <v>1370406</v>
      </c>
      <c r="E29" s="300">
        <f t="shared" si="0"/>
        <v>0.7808581196581197</v>
      </c>
      <c r="F29" s="306">
        <f>D29-'[5]Jūnijs'!D29</f>
        <v>224768</v>
      </c>
      <c r="G29" s="200" t="s">
        <v>328</v>
      </c>
      <c r="H29" s="302">
        <f>ROUND(B29/1000,0)</f>
        <v>1755</v>
      </c>
      <c r="I29" s="302">
        <f>ROUND(C29/1000,0)</f>
        <v>0</v>
      </c>
      <c r="J29" s="302">
        <f>ROUND(D29/1000,0)</f>
        <v>1370</v>
      </c>
      <c r="K29" s="303">
        <f t="shared" si="1"/>
        <v>0.7806267806267806</v>
      </c>
      <c r="L29" s="302">
        <f>J29-'[5]Jūnijs'!J29</f>
        <v>225</v>
      </c>
      <c r="M29" s="283"/>
    </row>
    <row r="30" spans="1:13" ht="12" customHeight="1">
      <c r="A30" s="309" t="s">
        <v>329</v>
      </c>
      <c r="B30" s="301">
        <v>310000</v>
      </c>
      <c r="C30" s="308"/>
      <c r="D30" s="305">
        <f>410627-1</f>
        <v>410626</v>
      </c>
      <c r="E30" s="300"/>
      <c r="F30" s="306">
        <f>D30-'[5]Jūnijs'!D30</f>
        <v>27706</v>
      </c>
      <c r="G30" s="309" t="s">
        <v>329</v>
      </c>
      <c r="H30" s="302">
        <f>ROUND(B30/1000,0)</f>
        <v>310</v>
      </c>
      <c r="I30" s="302">
        <f>ROUND(C30/1000,0)</f>
        <v>0</v>
      </c>
      <c r="J30" s="302">
        <f>ROUND(D30/1000,0)</f>
        <v>411</v>
      </c>
      <c r="K30" s="303">
        <f t="shared" si="1"/>
        <v>1.3258064516129033</v>
      </c>
      <c r="L30" s="302">
        <f>J30-'[5]Jūnijs'!J30</f>
        <v>28</v>
      </c>
      <c r="M30" s="283"/>
    </row>
    <row r="31" spans="1:13" ht="12.75">
      <c r="A31" s="299" t="s">
        <v>325</v>
      </c>
      <c r="B31" s="301">
        <f>B32</f>
        <v>1320000</v>
      </c>
      <c r="C31" s="308">
        <f>SUM(C32)</f>
        <v>809580</v>
      </c>
      <c r="D31" s="305">
        <f>D32</f>
        <v>345745</v>
      </c>
      <c r="E31" s="300">
        <f t="shared" si="0"/>
        <v>0.2619280303030303</v>
      </c>
      <c r="F31" s="306">
        <f>F32</f>
        <v>38930</v>
      </c>
      <c r="G31" s="299" t="s">
        <v>325</v>
      </c>
      <c r="H31" s="307">
        <f>H32</f>
        <v>1320</v>
      </c>
      <c r="I31" s="307">
        <f>I32</f>
        <v>810</v>
      </c>
      <c r="J31" s="307">
        <f>J32</f>
        <v>346</v>
      </c>
      <c r="K31" s="303">
        <f t="shared" si="1"/>
        <v>0.26212121212121214</v>
      </c>
      <c r="L31" s="307">
        <f>L32</f>
        <v>39</v>
      </c>
      <c r="M31" s="283"/>
    </row>
    <row r="32" spans="1:13" ht="12.75">
      <c r="A32" s="299" t="s">
        <v>326</v>
      </c>
      <c r="B32" s="301">
        <v>1320000</v>
      </c>
      <c r="C32" s="308">
        <v>809580</v>
      </c>
      <c r="D32" s="305">
        <v>345745</v>
      </c>
      <c r="E32" s="300">
        <f t="shared" si="0"/>
        <v>0.2619280303030303</v>
      </c>
      <c r="F32" s="306">
        <f>D32-'[5]Jūnijs'!D32</f>
        <v>38930</v>
      </c>
      <c r="G32" s="299" t="s">
        <v>326</v>
      </c>
      <c r="H32" s="302">
        <f>ROUND(B32/1000,0)</f>
        <v>1320</v>
      </c>
      <c r="I32" s="302">
        <f>ROUND(C32/1000,0)</f>
        <v>810</v>
      </c>
      <c r="J32" s="302">
        <f>ROUND(D32/1000,0)</f>
        <v>346</v>
      </c>
      <c r="K32" s="303">
        <f t="shared" si="1"/>
        <v>0.26212121212121214</v>
      </c>
      <c r="L32" s="302">
        <f>J32-'[5]Jūnijs'!J32</f>
        <v>39</v>
      </c>
      <c r="M32" s="283"/>
    </row>
    <row r="33" spans="1:13" ht="12" customHeight="1">
      <c r="A33" s="116" t="s">
        <v>330</v>
      </c>
      <c r="B33" s="310"/>
      <c r="C33" s="308"/>
      <c r="D33" s="311"/>
      <c r="E33" s="300" t="str">
        <f>IF(ISERROR(D33/B33)," ",(D33/B33))</f>
        <v> </v>
      </c>
      <c r="F33" s="312"/>
      <c r="G33" s="116" t="s">
        <v>330</v>
      </c>
      <c r="H33" s="313"/>
      <c r="I33" s="313"/>
      <c r="J33" s="313"/>
      <c r="K33" s="303"/>
      <c r="L33" s="313"/>
      <c r="M33" s="283"/>
    </row>
    <row r="34" spans="1:13" ht="12.75">
      <c r="A34" s="299" t="s">
        <v>323</v>
      </c>
      <c r="B34" s="301">
        <f>B35</f>
        <v>750000</v>
      </c>
      <c r="C34" s="308">
        <f>SUM(C35)</f>
        <v>564000</v>
      </c>
      <c r="D34" s="305">
        <f>D35</f>
        <v>789791</v>
      </c>
      <c r="E34" s="300">
        <f>IF(ISERROR(D34/B34)," ",(D34/B34))</f>
        <v>1.0530546666666667</v>
      </c>
      <c r="F34" s="301">
        <f>F35</f>
        <v>290302</v>
      </c>
      <c r="G34" s="299" t="s">
        <v>323</v>
      </c>
      <c r="H34" s="301">
        <f>H35</f>
        <v>750</v>
      </c>
      <c r="I34" s="302">
        <f>ROUND(C34/1000,0)</f>
        <v>564</v>
      </c>
      <c r="J34" s="301">
        <f>J35</f>
        <v>790</v>
      </c>
      <c r="K34" s="303">
        <f>IF(ISERROR(ROUND(J34,0)/ROUND(H34,0))," ",(ROUND(J34,)/ROUND(H34,)))</f>
        <v>1.0533333333333332</v>
      </c>
      <c r="L34" s="301">
        <f>L35</f>
        <v>291</v>
      </c>
      <c r="M34" s="283"/>
    </row>
    <row r="35" spans="1:13" ht="12.75">
      <c r="A35" s="314" t="s">
        <v>331</v>
      </c>
      <c r="B35" s="315">
        <v>750000</v>
      </c>
      <c r="C35" s="316">
        <v>564000</v>
      </c>
      <c r="D35" s="317">
        <v>789791</v>
      </c>
      <c r="E35" s="300">
        <f>IF(ISERROR(D35/B35)," ",(D35/B35))</f>
        <v>1.0530546666666667</v>
      </c>
      <c r="F35" s="306">
        <f>D35-'[5]Jūnijs'!D35</f>
        <v>290302</v>
      </c>
      <c r="G35" s="314" t="s">
        <v>332</v>
      </c>
      <c r="H35" s="302">
        <f>ROUND(B35/1000,0)</f>
        <v>750</v>
      </c>
      <c r="I35" s="302">
        <f>ROUND(C35/1000,0)</f>
        <v>564</v>
      </c>
      <c r="J35" s="302">
        <f>ROUND(D35/1000,0)</f>
        <v>790</v>
      </c>
      <c r="K35" s="303">
        <f>IF(ISERROR(ROUND(J35,0)/ROUND(H35,0))," ",(ROUND(J35,)/ROUND(H35,)))</f>
        <v>1.0533333333333332</v>
      </c>
      <c r="L35" s="302">
        <f>J35-'[5]Jūnijs'!J35</f>
        <v>291</v>
      </c>
      <c r="M35" s="283"/>
    </row>
    <row r="36" spans="1:13" ht="12.75">
      <c r="A36" s="299" t="s">
        <v>325</v>
      </c>
      <c r="B36" s="301">
        <f>B37</f>
        <v>53300</v>
      </c>
      <c r="C36" s="308">
        <f>SUM(C37)</f>
        <v>35000</v>
      </c>
      <c r="D36" s="305">
        <f>D37</f>
        <v>21908</v>
      </c>
      <c r="E36" s="300">
        <f>IF(ISERROR(D36/B36)," ",(D36/B36))</f>
        <v>0.41103189493433395</v>
      </c>
      <c r="F36" s="306">
        <f>F37</f>
        <v>3309</v>
      </c>
      <c r="G36" s="299" t="s">
        <v>325</v>
      </c>
      <c r="H36" s="307">
        <f>H37</f>
        <v>53</v>
      </c>
      <c r="I36" s="307">
        <f>I37</f>
        <v>35</v>
      </c>
      <c r="J36" s="307">
        <f>J37</f>
        <v>22</v>
      </c>
      <c r="K36" s="303">
        <f>IF(ISERROR(ROUND(J36,0)/ROUND(H36,0))," ",(ROUND(J36,)/ROUND(H36,)))</f>
        <v>0.41509433962264153</v>
      </c>
      <c r="L36" s="307">
        <f>L37</f>
        <v>3</v>
      </c>
      <c r="M36" s="283"/>
    </row>
    <row r="37" spans="1:13" ht="12.75">
      <c r="A37" s="299" t="s">
        <v>326</v>
      </c>
      <c r="B37" s="318">
        <v>53300</v>
      </c>
      <c r="C37" s="308">
        <v>35000</v>
      </c>
      <c r="D37" s="305">
        <v>21908</v>
      </c>
      <c r="E37" s="300">
        <f>IF(ISERROR(D37/B37)," ",(D37/B37))</f>
        <v>0.41103189493433395</v>
      </c>
      <c r="F37" s="306">
        <f>D37-'[5]Jūnijs'!D37</f>
        <v>3309</v>
      </c>
      <c r="G37" s="299" t="s">
        <v>333</v>
      </c>
      <c r="H37" s="302">
        <f>ROUND(B37/1000,0)</f>
        <v>53</v>
      </c>
      <c r="I37" s="302">
        <f>ROUND(C37/1000,0)</f>
        <v>35</v>
      </c>
      <c r="J37" s="302">
        <f>ROUND(D37/1000,0)</f>
        <v>22</v>
      </c>
      <c r="K37" s="303">
        <f>IF(ISERROR(ROUND(J37,0)/ROUND(H37,0))," ",(ROUND(J37,)/ROUND(H37,)))</f>
        <v>0.41509433962264153</v>
      </c>
      <c r="L37" s="302">
        <f>J37-'[5]Jūnijs'!J37</f>
        <v>3</v>
      </c>
      <c r="M37" s="283"/>
    </row>
    <row r="38" spans="1:13" ht="12.75">
      <c r="A38" s="26" t="s">
        <v>88</v>
      </c>
      <c r="B38" s="6"/>
      <c r="C38" s="145"/>
      <c r="D38" s="305"/>
      <c r="E38" s="300" t="str">
        <f t="shared" si="0"/>
        <v> </v>
      </c>
      <c r="F38" s="298"/>
      <c r="G38" s="26" t="s">
        <v>88</v>
      </c>
      <c r="H38" s="293"/>
      <c r="I38" s="293"/>
      <c r="J38" s="293"/>
      <c r="K38" s="303"/>
      <c r="L38" s="293"/>
      <c r="M38" s="283"/>
    </row>
    <row r="39" spans="1:13" ht="12.75">
      <c r="A39" s="58" t="s">
        <v>334</v>
      </c>
      <c r="B39" s="301"/>
      <c r="C39" s="308"/>
      <c r="D39" s="305"/>
      <c r="E39" s="300" t="str">
        <f t="shared" si="0"/>
        <v> </v>
      </c>
      <c r="F39" s="306"/>
      <c r="G39" s="58" t="s">
        <v>334</v>
      </c>
      <c r="H39" s="307"/>
      <c r="I39" s="307"/>
      <c r="J39" s="307"/>
      <c r="K39" s="303"/>
      <c r="L39" s="307"/>
      <c r="M39" s="283"/>
    </row>
    <row r="40" spans="1:13" ht="12.75">
      <c r="A40" s="299" t="s">
        <v>323</v>
      </c>
      <c r="B40" s="301">
        <f>B41</f>
        <v>1550000</v>
      </c>
      <c r="C40" s="308">
        <f>SUM(C41)</f>
        <v>1224840</v>
      </c>
      <c r="D40" s="305">
        <f>D41</f>
        <v>1224840</v>
      </c>
      <c r="E40" s="300">
        <f t="shared" si="0"/>
        <v>0.7902193548387096</v>
      </c>
      <c r="F40" s="306">
        <f>F41</f>
        <v>108570</v>
      </c>
      <c r="G40" s="299" t="s">
        <v>323</v>
      </c>
      <c r="H40" s="307">
        <f>H41</f>
        <v>1550</v>
      </c>
      <c r="I40" s="302">
        <f>ROUND(C40/1000,0)</f>
        <v>1225</v>
      </c>
      <c r="J40" s="307">
        <f>J41</f>
        <v>1225</v>
      </c>
      <c r="K40" s="303">
        <f t="shared" si="1"/>
        <v>0.7903225806451613</v>
      </c>
      <c r="L40" s="307">
        <f>L41</f>
        <v>109</v>
      </c>
      <c r="M40" s="283"/>
    </row>
    <row r="41" spans="1:13" ht="12" customHeight="1">
      <c r="A41" s="200" t="s">
        <v>335</v>
      </c>
      <c r="B41" s="301">
        <v>1550000</v>
      </c>
      <c r="C41" s="308">
        <v>1224840</v>
      </c>
      <c r="D41" s="305">
        <v>1224840</v>
      </c>
      <c r="E41" s="300">
        <f t="shared" si="0"/>
        <v>0.7902193548387096</v>
      </c>
      <c r="F41" s="306">
        <f>D41-'[5]Jūnijs'!D41</f>
        <v>108570</v>
      </c>
      <c r="G41" s="200" t="s">
        <v>335</v>
      </c>
      <c r="H41" s="302">
        <f>ROUND(B41/1000,0)</f>
        <v>1550</v>
      </c>
      <c r="I41" s="302">
        <f>ROUND(C41/1000,0)</f>
        <v>1225</v>
      </c>
      <c r="J41" s="302">
        <f>ROUND(D41/1000,0)</f>
        <v>1225</v>
      </c>
      <c r="K41" s="303">
        <f t="shared" si="1"/>
        <v>0.7903225806451613</v>
      </c>
      <c r="L41" s="302">
        <f>J41-'[5]Jūnijs'!J41</f>
        <v>109</v>
      </c>
      <c r="M41" s="283"/>
    </row>
    <row r="42" spans="1:13" ht="12.75">
      <c r="A42" s="299" t="s">
        <v>325</v>
      </c>
      <c r="B42" s="301">
        <f>B43+B45</f>
        <v>1550000</v>
      </c>
      <c r="C42" s="308">
        <f>SUM(C43:C45)</f>
        <v>1224840</v>
      </c>
      <c r="D42" s="305">
        <f>D43+D45</f>
        <v>1212112</v>
      </c>
      <c r="E42" s="300">
        <f t="shared" si="0"/>
        <v>0.7820077419354838</v>
      </c>
      <c r="F42" s="306">
        <f>F43+F45</f>
        <v>146981</v>
      </c>
      <c r="G42" s="299" t="s">
        <v>325</v>
      </c>
      <c r="H42" s="307">
        <f>H43+H45</f>
        <v>1550</v>
      </c>
      <c r="I42" s="307">
        <f>I43+I45</f>
        <v>1225</v>
      </c>
      <c r="J42" s="307">
        <f>J43+J45</f>
        <v>1212</v>
      </c>
      <c r="K42" s="303">
        <f t="shared" si="1"/>
        <v>0.7819354838709678</v>
      </c>
      <c r="L42" s="307">
        <f>L43+L45</f>
        <v>147</v>
      </c>
      <c r="M42" s="283"/>
    </row>
    <row r="43" spans="1:13" ht="12.75">
      <c r="A43" s="299" t="s">
        <v>326</v>
      </c>
      <c r="B43" s="301">
        <v>1292000</v>
      </c>
      <c r="C43" s="308">
        <v>966840</v>
      </c>
      <c r="D43" s="305">
        <v>954112</v>
      </c>
      <c r="E43" s="300">
        <f t="shared" si="0"/>
        <v>0.7384767801857585</v>
      </c>
      <c r="F43" s="306">
        <f>D43-'[5]Jūnijs'!D43</f>
        <v>106981</v>
      </c>
      <c r="G43" s="299" t="s">
        <v>336</v>
      </c>
      <c r="H43" s="302">
        <f>ROUND(B43/1000,0)</f>
        <v>1292</v>
      </c>
      <c r="I43" s="302">
        <f>ROUND(C43/1000,0)</f>
        <v>967</v>
      </c>
      <c r="J43" s="302">
        <f>ROUND(D43/1000,0)</f>
        <v>954</v>
      </c>
      <c r="K43" s="303">
        <f t="shared" si="1"/>
        <v>0.7383900928792569</v>
      </c>
      <c r="L43" s="302">
        <f>J43-'[5]Jūnijs'!J43</f>
        <v>107</v>
      </c>
      <c r="M43" s="283"/>
    </row>
    <row r="44" spans="1:13" ht="12.75">
      <c r="A44" s="299" t="s">
        <v>337</v>
      </c>
      <c r="B44" s="301">
        <v>300000</v>
      </c>
      <c r="C44" s="308"/>
      <c r="D44" s="305">
        <v>300000</v>
      </c>
      <c r="E44" s="300">
        <f t="shared" si="0"/>
        <v>1</v>
      </c>
      <c r="F44" s="306">
        <f>D44-'[5]Jūnijs'!D44</f>
        <v>0</v>
      </c>
      <c r="G44" s="299" t="s">
        <v>338</v>
      </c>
      <c r="H44" s="302">
        <f>ROUND(B44/1000,0)</f>
        <v>300</v>
      </c>
      <c r="I44" s="302"/>
      <c r="J44" s="302">
        <f>ROUND(D44/1000,0)</f>
        <v>300</v>
      </c>
      <c r="K44" s="303">
        <f t="shared" si="1"/>
        <v>1</v>
      </c>
      <c r="L44" s="302">
        <f>J44-'[5]Jūnijs'!J44</f>
        <v>0</v>
      </c>
      <c r="M44" s="283"/>
    </row>
    <row r="45" spans="1:13" ht="12.75">
      <c r="A45" s="299" t="s">
        <v>316</v>
      </c>
      <c r="B45" s="301">
        <v>258000</v>
      </c>
      <c r="C45" s="308">
        <v>258000</v>
      </c>
      <c r="D45" s="305">
        <v>258000</v>
      </c>
      <c r="E45" s="300">
        <f t="shared" si="0"/>
        <v>1</v>
      </c>
      <c r="F45" s="306">
        <f>D45-'[5]Jūnijs'!D45</f>
        <v>40000</v>
      </c>
      <c r="G45" s="299" t="s">
        <v>339</v>
      </c>
      <c r="H45" s="302">
        <f>ROUND(B45/1000,0)</f>
        <v>258</v>
      </c>
      <c r="I45" s="302">
        <f>ROUND(C45/1000,0)</f>
        <v>258</v>
      </c>
      <c r="J45" s="302">
        <f>ROUND(D45/1000,0)</f>
        <v>258</v>
      </c>
      <c r="K45" s="303">
        <f t="shared" si="1"/>
        <v>1</v>
      </c>
      <c r="L45" s="302">
        <f>J45-'[5]Jūnijs'!J45</f>
        <v>40</v>
      </c>
      <c r="M45" s="283"/>
    </row>
    <row r="46" spans="1:13" ht="12" customHeight="1">
      <c r="A46" s="116" t="s">
        <v>340</v>
      </c>
      <c r="B46" s="301"/>
      <c r="C46" s="308"/>
      <c r="D46" s="305"/>
      <c r="E46" s="300" t="str">
        <f t="shared" si="0"/>
        <v> </v>
      </c>
      <c r="F46" s="306"/>
      <c r="G46" s="116" t="s">
        <v>340</v>
      </c>
      <c r="H46" s="307"/>
      <c r="I46" s="307"/>
      <c r="J46" s="307"/>
      <c r="K46" s="303"/>
      <c r="L46" s="307"/>
      <c r="M46" s="283"/>
    </row>
    <row r="47" spans="1:13" ht="12.75">
      <c r="A47" s="299" t="s">
        <v>323</v>
      </c>
      <c r="B47" s="301">
        <f>B48</f>
        <v>1181629</v>
      </c>
      <c r="C47" s="308">
        <f>SUM(C48)</f>
        <v>706193</v>
      </c>
      <c r="D47" s="305">
        <f>D48</f>
        <v>706193</v>
      </c>
      <c r="E47" s="300">
        <f t="shared" si="0"/>
        <v>0.597643592024231</v>
      </c>
      <c r="F47" s="306">
        <f>F48</f>
        <v>284243</v>
      </c>
      <c r="G47" s="299" t="s">
        <v>323</v>
      </c>
      <c r="H47" s="307">
        <f>H48</f>
        <v>1182</v>
      </c>
      <c r="I47" s="302">
        <f>ROUND(C47/1000,0)</f>
        <v>706</v>
      </c>
      <c r="J47" s="307">
        <f>J48</f>
        <v>706</v>
      </c>
      <c r="K47" s="303">
        <f t="shared" si="1"/>
        <v>0.5972927241962775</v>
      </c>
      <c r="L47" s="307">
        <f>L48</f>
        <v>284</v>
      </c>
      <c r="M47" s="283"/>
    </row>
    <row r="48" spans="1:13" ht="12" customHeight="1">
      <c r="A48" s="200" t="s">
        <v>335</v>
      </c>
      <c r="B48" s="301">
        <v>1181629</v>
      </c>
      <c r="C48" s="308">
        <v>706193</v>
      </c>
      <c r="D48" s="305">
        <v>706193</v>
      </c>
      <c r="E48" s="300">
        <f t="shared" si="0"/>
        <v>0.597643592024231</v>
      </c>
      <c r="F48" s="306">
        <f>D48-'[5]Jūnijs'!D48</f>
        <v>284243</v>
      </c>
      <c r="G48" s="200" t="s">
        <v>335</v>
      </c>
      <c r="H48" s="302">
        <f>ROUND(B48/1000,0)</f>
        <v>1182</v>
      </c>
      <c r="I48" s="302">
        <f>ROUND(C48/1000,0)</f>
        <v>706</v>
      </c>
      <c r="J48" s="302">
        <f>ROUND(D48/1000,0)</f>
        <v>706</v>
      </c>
      <c r="K48" s="303">
        <f t="shared" si="1"/>
        <v>0.5972927241962775</v>
      </c>
      <c r="L48" s="302">
        <f>J48-'[5]Jūnijs'!J48</f>
        <v>284</v>
      </c>
      <c r="M48" s="283"/>
    </row>
    <row r="49" spans="1:13" ht="12.75">
      <c r="A49" s="299" t="s">
        <v>325</v>
      </c>
      <c r="B49" s="301">
        <f>B50+B51</f>
        <v>1198009</v>
      </c>
      <c r="C49" s="308">
        <f>SUM(C50:C51)</f>
        <v>713067</v>
      </c>
      <c r="D49" s="305">
        <f>D50+D51</f>
        <v>399571</v>
      </c>
      <c r="E49" s="300">
        <f t="shared" si="0"/>
        <v>0.3335292138873748</v>
      </c>
      <c r="F49" s="306">
        <f>F50+F51</f>
        <v>166455</v>
      </c>
      <c r="G49" s="299" t="s">
        <v>325</v>
      </c>
      <c r="H49" s="307">
        <f>H50+H51</f>
        <v>1198</v>
      </c>
      <c r="I49" s="307">
        <f>I50+I51</f>
        <v>713</v>
      </c>
      <c r="J49" s="307">
        <f>J50+J51</f>
        <v>399</v>
      </c>
      <c r="K49" s="303">
        <f t="shared" si="1"/>
        <v>0.3330550918196995</v>
      </c>
      <c r="L49" s="307">
        <f>L50+L51</f>
        <v>166</v>
      </c>
      <c r="M49" s="283"/>
    </row>
    <row r="50" spans="1:13" ht="12.75">
      <c r="A50" s="299" t="s">
        <v>326</v>
      </c>
      <c r="B50" s="301">
        <v>1193809</v>
      </c>
      <c r="C50" s="308">
        <v>709167</v>
      </c>
      <c r="D50" s="305">
        <v>399158</v>
      </c>
      <c r="E50" s="300">
        <f t="shared" si="0"/>
        <v>0.33435666844528733</v>
      </c>
      <c r="F50" s="306">
        <f>D50-'[5]Jūnijs'!D50</f>
        <v>166455</v>
      </c>
      <c r="G50" s="299" t="s">
        <v>336</v>
      </c>
      <c r="H50" s="302">
        <f aca="true" t="shared" si="5" ref="H50:J55">ROUND(B50/1000,0)</f>
        <v>1194</v>
      </c>
      <c r="I50" s="302">
        <f t="shared" si="5"/>
        <v>709</v>
      </c>
      <c r="J50" s="302">
        <f t="shared" si="5"/>
        <v>399</v>
      </c>
      <c r="K50" s="303">
        <f t="shared" si="1"/>
        <v>0.3341708542713568</v>
      </c>
      <c r="L50" s="302">
        <f>J50-'[5]Jūnijs'!J50</f>
        <v>166</v>
      </c>
      <c r="M50" s="283"/>
    </row>
    <row r="51" spans="1:13" ht="12.75">
      <c r="A51" s="299" t="s">
        <v>316</v>
      </c>
      <c r="B51" s="301">
        <v>4200</v>
      </c>
      <c r="C51" s="308">
        <v>3900</v>
      </c>
      <c r="D51" s="305">
        <v>413</v>
      </c>
      <c r="E51" s="300">
        <f t="shared" si="0"/>
        <v>0.09833333333333333</v>
      </c>
      <c r="F51" s="306">
        <f>D51-'[5]Jūnijs'!D51</f>
        <v>0</v>
      </c>
      <c r="G51" s="299" t="s">
        <v>339</v>
      </c>
      <c r="H51" s="302">
        <f t="shared" si="5"/>
        <v>4</v>
      </c>
      <c r="I51" s="302">
        <f t="shared" si="5"/>
        <v>4</v>
      </c>
      <c r="J51" s="302">
        <f t="shared" si="5"/>
        <v>0</v>
      </c>
      <c r="K51" s="303">
        <f t="shared" si="1"/>
        <v>0</v>
      </c>
      <c r="L51" s="302">
        <f>J51-'[5]Jūnijs'!J51</f>
        <v>0</v>
      </c>
      <c r="M51" s="283"/>
    </row>
    <row r="52" spans="1:13" ht="12.75">
      <c r="A52" s="299" t="s">
        <v>317</v>
      </c>
      <c r="B52" s="301">
        <v>6756000</v>
      </c>
      <c r="C52" s="308"/>
      <c r="D52" s="305">
        <v>2497550</v>
      </c>
      <c r="E52" s="300">
        <f t="shared" si="0"/>
        <v>0.3696788040260509</v>
      </c>
      <c r="F52" s="306">
        <f>D52-'[5]Jūnijs'!D52</f>
        <v>31478</v>
      </c>
      <c r="G52" s="299" t="s">
        <v>317</v>
      </c>
      <c r="H52" s="302">
        <f t="shared" si="5"/>
        <v>6756</v>
      </c>
      <c r="I52" s="302">
        <f t="shared" si="5"/>
        <v>0</v>
      </c>
      <c r="J52" s="302">
        <f t="shared" si="5"/>
        <v>2498</v>
      </c>
      <c r="K52" s="303">
        <f t="shared" si="1"/>
        <v>0.3697454114860864</v>
      </c>
      <c r="L52" s="302">
        <f>J52-'[5]Jūnijs'!J52</f>
        <v>32</v>
      </c>
      <c r="M52" s="283"/>
    </row>
    <row r="53" spans="1:13" ht="12.75">
      <c r="A53" s="299" t="s">
        <v>318</v>
      </c>
      <c r="B53" s="301">
        <v>16380</v>
      </c>
      <c r="C53" s="308"/>
      <c r="D53" s="305">
        <v>26890</v>
      </c>
      <c r="E53" s="300">
        <f t="shared" si="0"/>
        <v>1.6416361416361416</v>
      </c>
      <c r="F53" s="306">
        <f>D53-'[5]Jūnijs'!D53</f>
        <v>8957</v>
      </c>
      <c r="G53" s="299" t="s">
        <v>318</v>
      </c>
      <c r="H53" s="302">
        <f t="shared" si="5"/>
        <v>16</v>
      </c>
      <c r="I53" s="302">
        <f t="shared" si="5"/>
        <v>0</v>
      </c>
      <c r="J53" s="302">
        <f t="shared" si="5"/>
        <v>27</v>
      </c>
      <c r="K53" s="303">
        <f t="shared" si="1"/>
        <v>1.6875</v>
      </c>
      <c r="L53" s="302">
        <f>J53-'[5]Jūnijs'!J53</f>
        <v>9</v>
      </c>
      <c r="M53" s="283"/>
    </row>
    <row r="54" spans="1:13" ht="12.75">
      <c r="A54" s="299" t="s">
        <v>319</v>
      </c>
      <c r="B54" s="301">
        <f>B47-B49-B52+B53</f>
        <v>-6756000</v>
      </c>
      <c r="C54" s="308">
        <f>C47-C49-C52+C53</f>
        <v>-6874</v>
      </c>
      <c r="D54" s="305">
        <f>D47-D49-D52+D53</f>
        <v>-2164038</v>
      </c>
      <c r="E54" s="300">
        <f t="shared" si="0"/>
        <v>0.32031349911190055</v>
      </c>
      <c r="F54" s="306">
        <f>D54-'[5]Jūnijs'!D54</f>
        <v>95267</v>
      </c>
      <c r="G54" s="299" t="s">
        <v>319</v>
      </c>
      <c r="H54" s="302">
        <f t="shared" si="5"/>
        <v>-6756</v>
      </c>
      <c r="I54" s="302">
        <f t="shared" si="5"/>
        <v>-7</v>
      </c>
      <c r="J54" s="302">
        <f t="shared" si="5"/>
        <v>-2164</v>
      </c>
      <c r="K54" s="303">
        <f t="shared" si="1"/>
        <v>0.320307874481942</v>
      </c>
      <c r="L54" s="302">
        <f>J54-'[5]Jūnijs'!J54</f>
        <v>95</v>
      </c>
      <c r="M54" s="283"/>
    </row>
    <row r="55" spans="1:13" ht="12.75">
      <c r="A55" s="299" t="s">
        <v>320</v>
      </c>
      <c r="B55" s="301">
        <v>6756000</v>
      </c>
      <c r="C55" s="308">
        <v>3643600</v>
      </c>
      <c r="D55" s="305">
        <f>1727725+763826</f>
        <v>2491551</v>
      </c>
      <c r="E55" s="300">
        <f t="shared" si="0"/>
        <v>0.36879085257548844</v>
      </c>
      <c r="F55" s="306">
        <f>D55-'[5]Jūnijs'!D55</f>
        <v>25358</v>
      </c>
      <c r="G55" s="299" t="s">
        <v>320</v>
      </c>
      <c r="H55" s="302">
        <f t="shared" si="5"/>
        <v>6756</v>
      </c>
      <c r="I55" s="302">
        <f t="shared" si="5"/>
        <v>3644</v>
      </c>
      <c r="J55" s="302">
        <f>ROUND(D55/1000,0)</f>
        <v>2492</v>
      </c>
      <c r="K55" s="303">
        <f t="shared" si="1"/>
        <v>0.3688573120189461</v>
      </c>
      <c r="L55" s="302">
        <f>J55-'[5]Jūnijs'!J55</f>
        <v>26</v>
      </c>
      <c r="M55" s="283"/>
    </row>
    <row r="56" spans="1:13" ht="12" customHeight="1">
      <c r="A56" s="69" t="s">
        <v>89</v>
      </c>
      <c r="B56" s="6"/>
      <c r="C56" s="145"/>
      <c r="D56" s="120"/>
      <c r="E56" s="300" t="str">
        <f t="shared" si="0"/>
        <v> </v>
      </c>
      <c r="F56" s="298"/>
      <c r="G56" s="69" t="s">
        <v>89</v>
      </c>
      <c r="H56" s="293"/>
      <c r="I56" s="293"/>
      <c r="J56" s="293"/>
      <c r="K56" s="303"/>
      <c r="L56" s="293"/>
      <c r="M56" s="283"/>
    </row>
    <row r="57" spans="1:13" ht="12.75">
      <c r="A57" s="58" t="s">
        <v>341</v>
      </c>
      <c r="B57" s="301"/>
      <c r="C57" s="308"/>
      <c r="D57" s="305"/>
      <c r="E57" s="300" t="str">
        <f t="shared" si="0"/>
        <v> </v>
      </c>
      <c r="F57" s="306"/>
      <c r="G57" s="58" t="s">
        <v>341</v>
      </c>
      <c r="H57" s="307"/>
      <c r="I57" s="307"/>
      <c r="J57" s="307"/>
      <c r="K57" s="303"/>
      <c r="L57" s="307"/>
      <c r="M57" s="283"/>
    </row>
    <row r="58" spans="1:13" ht="12.75">
      <c r="A58" s="299" t="s">
        <v>323</v>
      </c>
      <c r="B58" s="319">
        <f>B59+B60</f>
        <v>500000</v>
      </c>
      <c r="C58" s="308">
        <v>366000</v>
      </c>
      <c r="D58" s="305">
        <f>D59+D60</f>
        <v>463840</v>
      </c>
      <c r="E58" s="300">
        <f t="shared" si="0"/>
        <v>0.92768</v>
      </c>
      <c r="F58" s="306">
        <f>F59+F60</f>
        <v>40902</v>
      </c>
      <c r="G58" s="299" t="s">
        <v>323</v>
      </c>
      <c r="H58" s="307">
        <f>H59+H60</f>
        <v>500</v>
      </c>
      <c r="I58" s="302">
        <f>ROUND(C58/1000,0)</f>
        <v>366</v>
      </c>
      <c r="J58" s="307">
        <f>J59+J60</f>
        <v>463</v>
      </c>
      <c r="K58" s="303">
        <f t="shared" si="1"/>
        <v>0.926</v>
      </c>
      <c r="L58" s="307">
        <f>L59+L60</f>
        <v>40</v>
      </c>
      <c r="M58" s="283"/>
    </row>
    <row r="59" spans="1:13" ht="12" customHeight="1">
      <c r="A59" s="200" t="s">
        <v>342</v>
      </c>
      <c r="B59" s="301">
        <v>300000</v>
      </c>
      <c r="D59" s="305">
        <v>275398</v>
      </c>
      <c r="E59" s="300">
        <f t="shared" si="0"/>
        <v>0.9179933333333333</v>
      </c>
      <c r="F59" s="306">
        <f>D59-'[5]Jūnijs'!D59</f>
        <v>38225</v>
      </c>
      <c r="G59" s="200" t="s">
        <v>342</v>
      </c>
      <c r="H59" s="302">
        <f>ROUND(B59/1000,0)</f>
        <v>300</v>
      </c>
      <c r="I59" s="302">
        <f>ROUND(C58/1000,0)</f>
        <v>366</v>
      </c>
      <c r="J59" s="302">
        <f>ROUND(D59/1000,0)</f>
        <v>275</v>
      </c>
      <c r="K59" s="303">
        <f t="shared" si="1"/>
        <v>0.9166666666666666</v>
      </c>
      <c r="L59" s="302">
        <f>J59-'[5]Jūnijs'!J59</f>
        <v>38</v>
      </c>
      <c r="M59" s="283"/>
    </row>
    <row r="60" spans="1:13" ht="12.75">
      <c r="A60" s="299" t="s">
        <v>343</v>
      </c>
      <c r="B60" s="301">
        <v>200000</v>
      </c>
      <c r="C60" s="308"/>
      <c r="D60" s="305">
        <f>26930+161512</f>
        <v>188442</v>
      </c>
      <c r="E60" s="300">
        <f t="shared" si="0"/>
        <v>0.94221</v>
      </c>
      <c r="F60" s="306">
        <f>D60-'[5]Jūnijs'!D60</f>
        <v>2677</v>
      </c>
      <c r="G60" s="200" t="s">
        <v>329</v>
      </c>
      <c r="H60" s="302">
        <f>ROUND(B60/1000,0)</f>
        <v>200</v>
      </c>
      <c r="I60" s="302">
        <f>ROUND(C60/1000,0)</f>
        <v>0</v>
      </c>
      <c r="J60" s="302">
        <f>ROUND(D60/1000,0)</f>
        <v>188</v>
      </c>
      <c r="K60" s="303">
        <f t="shared" si="1"/>
        <v>0.94</v>
      </c>
      <c r="L60" s="302">
        <f>J60-'[5]Jūnijs'!J60</f>
        <v>2</v>
      </c>
      <c r="M60" s="283"/>
    </row>
    <row r="61" spans="1:13" ht="12.75">
      <c r="A61" s="299" t="s">
        <v>325</v>
      </c>
      <c r="B61" s="301">
        <f>B62+B63</f>
        <v>500000</v>
      </c>
      <c r="C61" s="308">
        <f>SUM(C62:C63)</f>
        <v>366000</v>
      </c>
      <c r="D61" s="305">
        <f>D62+D63</f>
        <v>288847</v>
      </c>
      <c r="E61" s="300">
        <f t="shared" si="0"/>
        <v>0.577694</v>
      </c>
      <c r="F61" s="306">
        <f>F62+F63</f>
        <v>49444</v>
      </c>
      <c r="G61" s="299" t="s">
        <v>325</v>
      </c>
      <c r="H61" s="307">
        <f>H62+H63</f>
        <v>500</v>
      </c>
      <c r="I61" s="307">
        <f>I62+I63</f>
        <v>366</v>
      </c>
      <c r="J61" s="307">
        <f>J62+J63</f>
        <v>289</v>
      </c>
      <c r="K61" s="303">
        <f t="shared" si="1"/>
        <v>0.578</v>
      </c>
      <c r="L61" s="307">
        <f>L62+L63</f>
        <v>50</v>
      </c>
      <c r="M61" s="283"/>
    </row>
    <row r="62" spans="1:13" ht="12.75">
      <c r="A62" s="299" t="s">
        <v>326</v>
      </c>
      <c r="B62" s="301">
        <v>406000</v>
      </c>
      <c r="C62" s="308">
        <v>290200</v>
      </c>
      <c r="D62" s="305">
        <v>270016</v>
      </c>
      <c r="E62" s="300">
        <f t="shared" si="0"/>
        <v>0.665064039408867</v>
      </c>
      <c r="F62" s="306">
        <f>D62-'[5]Jūnijs'!D62</f>
        <v>44938</v>
      </c>
      <c r="G62" s="299" t="s">
        <v>326</v>
      </c>
      <c r="H62" s="302">
        <f aca="true" t="shared" si="6" ref="H62:J63">ROUND(B62/1000,0)</f>
        <v>406</v>
      </c>
      <c r="I62" s="302">
        <f t="shared" si="6"/>
        <v>290</v>
      </c>
      <c r="J62" s="302">
        <f t="shared" si="6"/>
        <v>270</v>
      </c>
      <c r="K62" s="303">
        <f t="shared" si="1"/>
        <v>0.6650246305418719</v>
      </c>
      <c r="L62" s="302">
        <f>J62-'[5]Jūnijs'!J62</f>
        <v>45</v>
      </c>
      <c r="M62" s="283"/>
    </row>
    <row r="63" spans="1:13" ht="12.75">
      <c r="A63" s="299" t="s">
        <v>316</v>
      </c>
      <c r="B63" s="301">
        <v>94000</v>
      </c>
      <c r="C63" s="308">
        <v>75800</v>
      </c>
      <c r="D63" s="305">
        <v>18831</v>
      </c>
      <c r="E63" s="300">
        <f t="shared" si="0"/>
        <v>0.20032978723404254</v>
      </c>
      <c r="F63" s="306">
        <f>D63-'[5]Jūnijs'!D63</f>
        <v>4506</v>
      </c>
      <c r="G63" s="299" t="s">
        <v>316</v>
      </c>
      <c r="H63" s="302">
        <f t="shared" si="6"/>
        <v>94</v>
      </c>
      <c r="I63" s="302">
        <f t="shared" si="6"/>
        <v>76</v>
      </c>
      <c r="J63" s="302">
        <f t="shared" si="6"/>
        <v>19</v>
      </c>
      <c r="K63" s="303">
        <f t="shared" si="1"/>
        <v>0.20212765957446807</v>
      </c>
      <c r="L63" s="302">
        <f>J63-'[5]Jūnijs'!J63</f>
        <v>5</v>
      </c>
      <c r="M63" s="283"/>
    </row>
    <row r="64" spans="1:13" ht="12.75">
      <c r="A64" s="26" t="s">
        <v>90</v>
      </c>
      <c r="B64" s="6"/>
      <c r="C64" s="145"/>
      <c r="D64" s="120"/>
      <c r="E64" s="300" t="str">
        <f t="shared" si="0"/>
        <v> </v>
      </c>
      <c r="F64" s="298"/>
      <c r="G64" s="26" t="s">
        <v>90</v>
      </c>
      <c r="H64" s="302"/>
      <c r="I64" s="302"/>
      <c r="J64" s="302"/>
      <c r="K64" s="303"/>
      <c r="L64" s="302"/>
      <c r="M64" s="283"/>
    </row>
    <row r="65" spans="1:13" ht="12.75">
      <c r="A65" s="58" t="s">
        <v>344</v>
      </c>
      <c r="B65" s="301"/>
      <c r="C65" s="308"/>
      <c r="D65" s="305"/>
      <c r="E65" s="300" t="str">
        <f t="shared" si="0"/>
        <v> </v>
      </c>
      <c r="F65" s="306"/>
      <c r="G65" s="58" t="s">
        <v>344</v>
      </c>
      <c r="H65" s="307"/>
      <c r="I65" s="307"/>
      <c r="J65" s="307"/>
      <c r="K65" s="303"/>
      <c r="L65" s="307"/>
      <c r="M65" s="283"/>
    </row>
    <row r="66" spans="1:13" ht="12.75">
      <c r="A66" s="299" t="s">
        <v>323</v>
      </c>
      <c r="B66" s="301">
        <f>SUM(B67:B70)</f>
        <v>65221252</v>
      </c>
      <c r="C66" s="305">
        <v>37505157</v>
      </c>
      <c r="D66" s="305">
        <f>SUM(D67:D70)</f>
        <v>30330586</v>
      </c>
      <c r="E66" s="300">
        <f t="shared" si="0"/>
        <v>0.46504145611924164</v>
      </c>
      <c r="F66" s="306">
        <f>SUM(F67:F70)</f>
        <v>4625847</v>
      </c>
      <c r="G66" s="299" t="s">
        <v>323</v>
      </c>
      <c r="H66" s="307">
        <f>SUM(H67:H70)</f>
        <v>65221</v>
      </c>
      <c r="I66" s="302">
        <f>ROUND(C66/1000,0)</f>
        <v>37505</v>
      </c>
      <c r="J66" s="307">
        <f>SUM(J67:J70)</f>
        <v>30331</v>
      </c>
      <c r="K66" s="303">
        <f t="shared" si="1"/>
        <v>0.46504960058876743</v>
      </c>
      <c r="L66" s="307">
        <f>SUM(L67:L70)</f>
        <v>4626</v>
      </c>
      <c r="M66" s="283"/>
    </row>
    <row r="67" spans="1:13" ht="12.75">
      <c r="A67" s="299" t="s">
        <v>345</v>
      </c>
      <c r="B67" s="301">
        <v>7800000</v>
      </c>
      <c r="C67" s="308"/>
      <c r="D67" s="305">
        <v>5304845</v>
      </c>
      <c r="E67" s="300">
        <f t="shared" si="0"/>
        <v>0.6801083333333333</v>
      </c>
      <c r="F67" s="306">
        <f>D67-'[5]Jūnijs'!D67</f>
        <v>680186</v>
      </c>
      <c r="G67" s="299" t="s">
        <v>345</v>
      </c>
      <c r="H67" s="302">
        <f aca="true" t="shared" si="7" ref="H67:J70">ROUND(B67/1000,0)</f>
        <v>7800</v>
      </c>
      <c r="I67" s="302">
        <f t="shared" si="7"/>
        <v>0</v>
      </c>
      <c r="J67" s="302">
        <f t="shared" si="7"/>
        <v>5305</v>
      </c>
      <c r="K67" s="303">
        <f t="shared" si="1"/>
        <v>0.6801282051282052</v>
      </c>
      <c r="L67" s="302">
        <f>J67-'[5]Jūnijs'!J67</f>
        <v>680</v>
      </c>
      <c r="M67" s="283"/>
    </row>
    <row r="68" spans="1:13" ht="12.75">
      <c r="A68" s="299" t="s">
        <v>346</v>
      </c>
      <c r="B68" s="301">
        <v>54000000</v>
      </c>
      <c r="C68" s="308"/>
      <c r="D68" s="305">
        <v>24490986</v>
      </c>
      <c r="E68" s="300">
        <f t="shared" si="0"/>
        <v>0.4535367777777778</v>
      </c>
      <c r="F68" s="306">
        <f>D68-'[5]Jūnijs'!D68</f>
        <v>3704095</v>
      </c>
      <c r="G68" s="299" t="s">
        <v>346</v>
      </c>
      <c r="H68" s="302">
        <f t="shared" si="7"/>
        <v>54000</v>
      </c>
      <c r="I68" s="302">
        <f t="shared" si="7"/>
        <v>0</v>
      </c>
      <c r="J68" s="302">
        <f t="shared" si="7"/>
        <v>24491</v>
      </c>
      <c r="K68" s="303">
        <f t="shared" si="1"/>
        <v>0.453537037037037</v>
      </c>
      <c r="L68" s="302">
        <f>J68-'[5]Jūnijs'!J68</f>
        <v>3704</v>
      </c>
      <c r="M68" s="283"/>
    </row>
    <row r="69" spans="1:13" ht="12.75">
      <c r="A69" s="299" t="s">
        <v>251</v>
      </c>
      <c r="B69" s="301">
        <v>50000</v>
      </c>
      <c r="C69" s="308"/>
      <c r="D69" s="305">
        <v>12972</v>
      </c>
      <c r="E69" s="300">
        <f t="shared" si="0"/>
        <v>0.25944</v>
      </c>
      <c r="F69" s="306">
        <f>D69-'[5]Jūnijs'!D69</f>
        <v>235</v>
      </c>
      <c r="G69" s="299" t="s">
        <v>251</v>
      </c>
      <c r="H69" s="302">
        <f t="shared" si="7"/>
        <v>50</v>
      </c>
      <c r="I69" s="302">
        <f t="shared" si="7"/>
        <v>0</v>
      </c>
      <c r="J69" s="302">
        <f t="shared" si="7"/>
        <v>13</v>
      </c>
      <c r="K69" s="303">
        <f t="shared" si="1"/>
        <v>0.26</v>
      </c>
      <c r="L69" s="302">
        <f>J69-'[5]Jūnijs'!J69</f>
        <v>0</v>
      </c>
      <c r="M69" s="283"/>
    </row>
    <row r="70" spans="1:13" ht="12.75">
      <c r="A70" s="299" t="s">
        <v>347</v>
      </c>
      <c r="B70" s="301">
        <v>3371252</v>
      </c>
      <c r="C70" s="308"/>
      <c r="D70" s="305">
        <f>531502-9719</f>
        <v>521783</v>
      </c>
      <c r="E70" s="300">
        <f>IF(ISERROR(D70/B70)," ",(D70/B70))</f>
        <v>0.15477425004123097</v>
      </c>
      <c r="F70" s="306">
        <f>D70-'[5]Jūnijs'!D70</f>
        <v>241331</v>
      </c>
      <c r="G70" s="299" t="s">
        <v>348</v>
      </c>
      <c r="H70" s="302">
        <f t="shared" si="7"/>
        <v>3371</v>
      </c>
      <c r="I70" s="302">
        <f t="shared" si="7"/>
        <v>0</v>
      </c>
      <c r="J70" s="302">
        <f t="shared" si="7"/>
        <v>522</v>
      </c>
      <c r="K70" s="303">
        <f>IF(ISERROR(ROUND(J70,0)/ROUND(H70,0))," ",(ROUND(J70,)/ROUND(H70,)))</f>
        <v>0.15485019282112134</v>
      </c>
      <c r="L70" s="302">
        <f>J70-'[5]Jūnijs'!J70</f>
        <v>242</v>
      </c>
      <c r="M70" s="283"/>
    </row>
    <row r="71" spans="1:13" ht="12.75">
      <c r="A71" s="299" t="s">
        <v>325</v>
      </c>
      <c r="B71" s="301">
        <f>B72+B73</f>
        <v>70621252</v>
      </c>
      <c r="C71" s="308">
        <f>SUM(C72:C73)</f>
        <v>41783589</v>
      </c>
      <c r="D71" s="305">
        <f>D72+D73</f>
        <v>34857937</v>
      </c>
      <c r="E71" s="300">
        <f t="shared" si="0"/>
        <v>0.4935899040702365</v>
      </c>
      <c r="F71" s="306">
        <f>F72+F73</f>
        <v>4893965</v>
      </c>
      <c r="G71" s="299" t="s">
        <v>325</v>
      </c>
      <c r="H71" s="307">
        <f>H72+H73</f>
        <v>70621</v>
      </c>
      <c r="I71" s="307">
        <f>I72+I73</f>
        <v>41783</v>
      </c>
      <c r="J71" s="307">
        <f>J72+J73</f>
        <v>34858</v>
      </c>
      <c r="K71" s="303">
        <f t="shared" si="1"/>
        <v>0.49359255745458147</v>
      </c>
      <c r="L71" s="307">
        <f>L72+L73</f>
        <v>4894</v>
      </c>
      <c r="M71" s="283"/>
    </row>
    <row r="72" spans="1:13" ht="12.75">
      <c r="A72" s="299" t="s">
        <v>326</v>
      </c>
      <c r="B72" s="301">
        <v>50450068</v>
      </c>
      <c r="C72" s="308">
        <v>30744100</v>
      </c>
      <c r="D72" s="305">
        <v>26777774</v>
      </c>
      <c r="E72" s="300">
        <f t="shared" si="0"/>
        <v>0.5307777583173922</v>
      </c>
      <c r="F72" s="306">
        <f>D72-'[5]Jūnijs'!D72</f>
        <v>3571457</v>
      </c>
      <c r="G72" s="299" t="s">
        <v>326</v>
      </c>
      <c r="H72" s="302">
        <f aca="true" t="shared" si="8" ref="H72:J75">ROUND(B72/1000,0)</f>
        <v>50450</v>
      </c>
      <c r="I72" s="302">
        <f t="shared" si="8"/>
        <v>30744</v>
      </c>
      <c r="J72" s="302">
        <f>ROUND(D72/1000,0)</f>
        <v>26778</v>
      </c>
      <c r="K72" s="303">
        <f t="shared" si="1"/>
        <v>0.530782953419227</v>
      </c>
      <c r="L72" s="302">
        <f>J72-'[5]Jūnijs'!J72</f>
        <v>3572</v>
      </c>
      <c r="M72" s="283"/>
    </row>
    <row r="73" spans="1:13" ht="12.75">
      <c r="A73" s="299" t="s">
        <v>316</v>
      </c>
      <c r="B73" s="301">
        <v>20171184</v>
      </c>
      <c r="C73" s="308">
        <v>11039489</v>
      </c>
      <c r="D73" s="305">
        <v>8080163</v>
      </c>
      <c r="E73" s="300">
        <f t="shared" si="0"/>
        <v>0.40057950985921303</v>
      </c>
      <c r="F73" s="306">
        <f>D73-'[5]Jūnijs'!D73</f>
        <v>1322508</v>
      </c>
      <c r="G73" s="299" t="s">
        <v>349</v>
      </c>
      <c r="H73" s="302">
        <f t="shared" si="8"/>
        <v>20171</v>
      </c>
      <c r="I73" s="302">
        <f t="shared" si="8"/>
        <v>11039</v>
      </c>
      <c r="J73" s="302">
        <f t="shared" si="8"/>
        <v>8080</v>
      </c>
      <c r="K73" s="303">
        <f t="shared" si="1"/>
        <v>0.40057508304000794</v>
      </c>
      <c r="L73" s="302">
        <f>J73-'[5]Jūnijs'!J73</f>
        <v>1322</v>
      </c>
      <c r="M73" s="283"/>
    </row>
    <row r="74" spans="1:13" ht="12.75">
      <c r="A74" s="299" t="s">
        <v>319</v>
      </c>
      <c r="B74" s="301">
        <f>B66-B71</f>
        <v>-5400000</v>
      </c>
      <c r="C74" s="308">
        <f>C66-C71</f>
        <v>-4278432</v>
      </c>
      <c r="D74" s="305">
        <f>D66-D71</f>
        <v>-4527351</v>
      </c>
      <c r="E74" s="300">
        <f t="shared" si="0"/>
        <v>0.8383983333333334</v>
      </c>
      <c r="F74" s="306">
        <f>D74-'[5]Jūnijs'!D74</f>
        <v>-268118</v>
      </c>
      <c r="G74" s="299" t="s">
        <v>319</v>
      </c>
      <c r="H74" s="307">
        <f>H66-H71</f>
        <v>-5400</v>
      </c>
      <c r="I74" s="307">
        <f>I66-I71</f>
        <v>-4278</v>
      </c>
      <c r="J74" s="307">
        <f>J66-J71</f>
        <v>-4527</v>
      </c>
      <c r="K74" s="303">
        <f t="shared" si="1"/>
        <v>0.8383333333333334</v>
      </c>
      <c r="L74" s="302">
        <f>J74-'[5]Jūnijs'!J74</f>
        <v>-268</v>
      </c>
      <c r="M74" s="283"/>
    </row>
    <row r="75" spans="1:13" ht="12.75">
      <c r="A75" s="299" t="s">
        <v>320</v>
      </c>
      <c r="B75" s="301">
        <v>5400000</v>
      </c>
      <c r="C75" s="308">
        <v>4278432</v>
      </c>
      <c r="D75" s="305">
        <v>5242238</v>
      </c>
      <c r="E75" s="300">
        <f t="shared" si="0"/>
        <v>0.9707848148148148</v>
      </c>
      <c r="F75" s="306">
        <f>D75-'[5]Jūnijs'!D75</f>
        <v>1713437</v>
      </c>
      <c r="G75" s="299" t="s">
        <v>320</v>
      </c>
      <c r="H75" s="302">
        <f t="shared" si="8"/>
        <v>5400</v>
      </c>
      <c r="I75" s="302">
        <f t="shared" si="8"/>
        <v>4278</v>
      </c>
      <c r="J75" s="302">
        <f t="shared" si="8"/>
        <v>5242</v>
      </c>
      <c r="K75" s="303">
        <f t="shared" si="1"/>
        <v>0.9707407407407408</v>
      </c>
      <c r="L75" s="302">
        <f>J75-'[5]Jūnijs'!J75</f>
        <v>1713</v>
      </c>
      <c r="M75" s="283"/>
    </row>
    <row r="76" spans="1:13" ht="12.75">
      <c r="A76" s="58" t="s">
        <v>350</v>
      </c>
      <c r="B76" s="301"/>
      <c r="C76" s="308"/>
      <c r="D76" s="305"/>
      <c r="E76" s="300" t="str">
        <f aca="true" t="shared" si="9" ref="E76:E139">IF(ISERROR(D76/B76)," ",(D76/B76))</f>
        <v> </v>
      </c>
      <c r="F76" s="306"/>
      <c r="G76" s="58" t="s">
        <v>350</v>
      </c>
      <c r="H76" s="307"/>
      <c r="I76" s="307"/>
      <c r="J76" s="307"/>
      <c r="K76" s="303"/>
      <c r="L76" s="307"/>
      <c r="M76" s="283"/>
    </row>
    <row r="77" spans="1:13" ht="12.75">
      <c r="A77" s="299" t="s">
        <v>323</v>
      </c>
      <c r="B77" s="301">
        <f>B78+B79</f>
        <v>500000</v>
      </c>
      <c r="C77" s="308">
        <v>369200</v>
      </c>
      <c r="D77" s="305">
        <f>D78+D79</f>
        <v>429059</v>
      </c>
      <c r="E77" s="300">
        <f t="shared" si="9"/>
        <v>0.858118</v>
      </c>
      <c r="F77" s="306">
        <f>F78+F79</f>
        <v>54568</v>
      </c>
      <c r="G77" s="299" t="s">
        <v>323</v>
      </c>
      <c r="H77" s="307">
        <f>H78+H79</f>
        <v>500</v>
      </c>
      <c r="I77" s="302">
        <f>ROUND(C77/1000,0)</f>
        <v>369</v>
      </c>
      <c r="J77" s="307">
        <f>J78+J79</f>
        <v>429</v>
      </c>
      <c r="K77" s="303">
        <f aca="true" t="shared" si="10" ref="K77:K140">IF(ISERROR(ROUND(J77,0)/ROUND(H77,0))," ",(ROUND(J77,)/ROUND(H77,)))</f>
        <v>0.858</v>
      </c>
      <c r="L77" s="307">
        <f>L78+L79</f>
        <v>55</v>
      </c>
      <c r="M77" s="283"/>
    </row>
    <row r="78" spans="1:13" ht="12.75">
      <c r="A78" s="299" t="s">
        <v>351</v>
      </c>
      <c r="B78" s="301">
        <v>500000</v>
      </c>
      <c r="C78" s="308"/>
      <c r="D78" s="305">
        <v>423411</v>
      </c>
      <c r="E78" s="300">
        <f t="shared" si="9"/>
        <v>0.846822</v>
      </c>
      <c r="F78" s="306">
        <f>D78-'[5]Jūnijs'!D78</f>
        <v>52942</v>
      </c>
      <c r="G78" s="299" t="s">
        <v>351</v>
      </c>
      <c r="H78" s="302">
        <f>ROUND(B78/1000,0)</f>
        <v>500</v>
      </c>
      <c r="I78" s="302">
        <f>ROUND(C78/1000,0)</f>
        <v>0</v>
      </c>
      <c r="J78" s="302">
        <f>ROUND(D78/1000,0)</f>
        <v>423</v>
      </c>
      <c r="K78" s="303">
        <f t="shared" si="10"/>
        <v>0.846</v>
      </c>
      <c r="L78" s="302">
        <f>J78-'[5]Jūnijs'!J78</f>
        <v>53</v>
      </c>
      <c r="M78" s="283"/>
    </row>
    <row r="79" spans="1:13" ht="12.75">
      <c r="A79" s="299" t="s">
        <v>329</v>
      </c>
      <c r="B79" s="301"/>
      <c r="C79" s="308"/>
      <c r="D79" s="305">
        <v>5648</v>
      </c>
      <c r="E79" s="300" t="str">
        <f t="shared" si="9"/>
        <v> </v>
      </c>
      <c r="F79" s="306">
        <f>D79-'[5]Jūnijs'!D79</f>
        <v>1626</v>
      </c>
      <c r="G79" s="299" t="s">
        <v>329</v>
      </c>
      <c r="H79" s="302">
        <f>ROUND(B79/1000,0)</f>
        <v>0</v>
      </c>
      <c r="I79" s="302">
        <f>ROUND(C79/1000,0)</f>
        <v>0</v>
      </c>
      <c r="J79" s="302">
        <f>ROUND(D79/1000,0)</f>
        <v>6</v>
      </c>
      <c r="K79" s="303" t="str">
        <f t="shared" si="10"/>
        <v> </v>
      </c>
      <c r="L79" s="302">
        <f>J79-'[5]Jūnijs'!J79</f>
        <v>2</v>
      </c>
      <c r="M79" s="283"/>
    </row>
    <row r="80" spans="1:13" ht="12.75">
      <c r="A80" s="299" t="s">
        <v>325</v>
      </c>
      <c r="B80" s="301">
        <f>B81+B82</f>
        <v>500000</v>
      </c>
      <c r="C80" s="308">
        <f>SUM(C81:C82)</f>
        <v>369200</v>
      </c>
      <c r="D80" s="305">
        <f>D81+D82</f>
        <v>250523</v>
      </c>
      <c r="E80" s="300">
        <f t="shared" si="9"/>
        <v>0.501046</v>
      </c>
      <c r="F80" s="306">
        <f>F81+F82</f>
        <v>26433</v>
      </c>
      <c r="G80" s="299" t="s">
        <v>325</v>
      </c>
      <c r="H80" s="307">
        <f>H81+H82</f>
        <v>500</v>
      </c>
      <c r="I80" s="307">
        <f>I81+I82</f>
        <v>369</v>
      </c>
      <c r="J80" s="307">
        <f>J81+J82</f>
        <v>250</v>
      </c>
      <c r="K80" s="303">
        <f t="shared" si="10"/>
        <v>0.5</v>
      </c>
      <c r="L80" s="307">
        <f>L81+L82</f>
        <v>26</v>
      </c>
      <c r="M80" s="283"/>
    </row>
    <row r="81" spans="1:13" ht="12.75">
      <c r="A81" s="299" t="s">
        <v>326</v>
      </c>
      <c r="B81" s="301">
        <v>350000</v>
      </c>
      <c r="C81" s="308">
        <v>249200</v>
      </c>
      <c r="D81" s="305">
        <v>234295</v>
      </c>
      <c r="E81" s="300">
        <f t="shared" si="9"/>
        <v>0.6694142857142857</v>
      </c>
      <c r="F81" s="306">
        <f>D81-'[5]Jūnijs'!D81</f>
        <v>26433</v>
      </c>
      <c r="G81" s="299" t="s">
        <v>326</v>
      </c>
      <c r="H81" s="302">
        <f aca="true" t="shared" si="11" ref="H81:J82">ROUND(B81/1000,0)</f>
        <v>350</v>
      </c>
      <c r="I81" s="302">
        <f t="shared" si="11"/>
        <v>249</v>
      </c>
      <c r="J81" s="302">
        <f t="shared" si="11"/>
        <v>234</v>
      </c>
      <c r="K81" s="303">
        <f t="shared" si="10"/>
        <v>0.6685714285714286</v>
      </c>
      <c r="L81" s="302">
        <f>J81-'[5]Jūnijs'!J81</f>
        <v>26</v>
      </c>
      <c r="M81" s="283"/>
    </row>
    <row r="82" spans="1:13" ht="12.75">
      <c r="A82" s="299" t="s">
        <v>316</v>
      </c>
      <c r="B82" s="301">
        <v>150000</v>
      </c>
      <c r="C82" s="308">
        <v>120000</v>
      </c>
      <c r="D82" s="305">
        <v>16228</v>
      </c>
      <c r="E82" s="300">
        <f t="shared" si="9"/>
        <v>0.10818666666666667</v>
      </c>
      <c r="F82" s="306">
        <f>D82-'[5]Jūnijs'!D82</f>
        <v>0</v>
      </c>
      <c r="G82" s="299" t="s">
        <v>316</v>
      </c>
      <c r="H82" s="302">
        <f t="shared" si="11"/>
        <v>150</v>
      </c>
      <c r="I82" s="302">
        <f t="shared" si="11"/>
        <v>120</v>
      </c>
      <c r="J82" s="302">
        <f t="shared" si="11"/>
        <v>16</v>
      </c>
      <c r="K82" s="303">
        <f t="shared" si="10"/>
        <v>0.10666666666666667</v>
      </c>
      <c r="L82" s="302">
        <f>J82-'[5]Jūnijs'!J82</f>
        <v>0</v>
      </c>
      <c r="M82" s="283"/>
    </row>
    <row r="83" spans="1:13" ht="12.75">
      <c r="A83" s="58" t="s">
        <v>352</v>
      </c>
      <c r="B83" s="301"/>
      <c r="C83" s="308"/>
      <c r="D83" s="305"/>
      <c r="E83" s="300" t="str">
        <f t="shared" si="9"/>
        <v> </v>
      </c>
      <c r="F83" s="306"/>
      <c r="G83" s="58" t="s">
        <v>352</v>
      </c>
      <c r="H83" s="307"/>
      <c r="I83" s="307"/>
      <c r="J83" s="307"/>
      <c r="K83" s="303"/>
      <c r="L83" s="307"/>
      <c r="M83" s="283"/>
    </row>
    <row r="84" spans="1:13" ht="12.75">
      <c r="A84" s="299" t="s">
        <v>323</v>
      </c>
      <c r="B84" s="301">
        <v>2000000</v>
      </c>
      <c r="C84" s="308">
        <v>1911000</v>
      </c>
      <c r="D84" s="305">
        <v>1219461</v>
      </c>
      <c r="E84" s="300">
        <f t="shared" si="9"/>
        <v>0.6097305</v>
      </c>
      <c r="F84" s="306">
        <f>D84-'[5]Jūnijs'!D84</f>
        <v>146120</v>
      </c>
      <c r="G84" s="299" t="s">
        <v>323</v>
      </c>
      <c r="H84" s="302">
        <f>ROUND(B84/1000,0)</f>
        <v>2000</v>
      </c>
      <c r="I84" s="302">
        <f>ROUND(C84/1000,0)</f>
        <v>1911</v>
      </c>
      <c r="J84" s="302">
        <f>ROUND(D84/1000,0)</f>
        <v>1219</v>
      </c>
      <c r="K84" s="303">
        <f t="shared" si="10"/>
        <v>0.6095</v>
      </c>
      <c r="L84" s="302">
        <f>J84-'[5]Jūnijs'!J84</f>
        <v>146</v>
      </c>
      <c r="M84" s="283"/>
    </row>
    <row r="85" spans="1:13" ht="12.75">
      <c r="A85" s="299" t="s">
        <v>325</v>
      </c>
      <c r="B85" s="301">
        <f>B86</f>
        <v>2000000</v>
      </c>
      <c r="C85" s="308">
        <f>SUM(C86)</f>
        <v>1911000</v>
      </c>
      <c r="D85" s="305">
        <f>D86</f>
        <v>1903151</v>
      </c>
      <c r="E85" s="300">
        <f t="shared" si="9"/>
        <v>0.9515755</v>
      </c>
      <c r="F85" s="306">
        <f>F86</f>
        <v>171035</v>
      </c>
      <c r="G85" s="299" t="s">
        <v>325</v>
      </c>
      <c r="H85" s="307">
        <f>H86</f>
        <v>2000</v>
      </c>
      <c r="I85" s="307">
        <f>I86</f>
        <v>1911</v>
      </c>
      <c r="J85" s="307">
        <f>J86</f>
        <v>1903</v>
      </c>
      <c r="K85" s="303">
        <f t="shared" si="10"/>
        <v>0.9515</v>
      </c>
      <c r="L85" s="307">
        <f>L86</f>
        <v>171</v>
      </c>
      <c r="M85" s="283"/>
    </row>
    <row r="86" spans="1:13" ht="12.75">
      <c r="A86" s="299" t="s">
        <v>316</v>
      </c>
      <c r="B86" s="301">
        <v>2000000</v>
      </c>
      <c r="C86" s="308">
        <v>1911000</v>
      </c>
      <c r="D86" s="305">
        <v>1903151</v>
      </c>
      <c r="E86" s="300">
        <f t="shared" si="9"/>
        <v>0.9515755</v>
      </c>
      <c r="F86" s="306">
        <f>D86-'[5]Jūnijs'!D86</f>
        <v>171035</v>
      </c>
      <c r="G86" s="299" t="s">
        <v>316</v>
      </c>
      <c r="H86" s="302">
        <f aca="true" t="shared" si="12" ref="H86:J87">ROUND(B86/1000,0)</f>
        <v>2000</v>
      </c>
      <c r="I86" s="302">
        <f t="shared" si="12"/>
        <v>1911</v>
      </c>
      <c r="J86" s="302">
        <f t="shared" si="12"/>
        <v>1903</v>
      </c>
      <c r="K86" s="303">
        <f t="shared" si="10"/>
        <v>0.9515</v>
      </c>
      <c r="L86" s="302">
        <f>J86-'[5]Jūnijs'!J86</f>
        <v>171</v>
      </c>
      <c r="M86" s="283"/>
    </row>
    <row r="87" spans="1:13" ht="12.75">
      <c r="A87" s="299" t="s">
        <v>353</v>
      </c>
      <c r="B87" s="301">
        <v>0</v>
      </c>
      <c r="C87" s="308"/>
      <c r="D87" s="305">
        <v>1000000</v>
      </c>
      <c r="E87" s="300" t="str">
        <f t="shared" si="9"/>
        <v> </v>
      </c>
      <c r="F87" s="306">
        <f>D87-'[5]Jūnijs'!D87</f>
        <v>250000</v>
      </c>
      <c r="G87" s="299" t="s">
        <v>353</v>
      </c>
      <c r="H87" s="302">
        <f t="shared" si="12"/>
        <v>0</v>
      </c>
      <c r="I87" s="302">
        <f t="shared" si="12"/>
        <v>0</v>
      </c>
      <c r="J87" s="302">
        <f t="shared" si="12"/>
        <v>1000</v>
      </c>
      <c r="K87" s="303" t="str">
        <f t="shared" si="10"/>
        <v> </v>
      </c>
      <c r="L87" s="302">
        <f>J87-'[5]Jūnijs'!J87</f>
        <v>250</v>
      </c>
      <c r="M87" s="283"/>
    </row>
    <row r="88" spans="1:13" ht="12.75">
      <c r="A88" s="26" t="s">
        <v>91</v>
      </c>
      <c r="B88" s="301"/>
      <c r="C88" s="308"/>
      <c r="D88" s="305"/>
      <c r="E88" s="300" t="str">
        <f t="shared" si="9"/>
        <v> </v>
      </c>
      <c r="F88" s="306"/>
      <c r="G88" s="26" t="s">
        <v>91</v>
      </c>
      <c r="H88" s="307"/>
      <c r="I88" s="307"/>
      <c r="J88" s="307"/>
      <c r="K88" s="303"/>
      <c r="L88" s="307"/>
      <c r="M88" s="43"/>
    </row>
    <row r="89" spans="1:13" ht="12.75">
      <c r="A89" s="58" t="s">
        <v>354</v>
      </c>
      <c r="B89" s="301"/>
      <c r="C89" s="308"/>
      <c r="D89" s="305"/>
      <c r="E89" s="300" t="str">
        <f t="shared" si="9"/>
        <v> </v>
      </c>
      <c r="F89" s="306"/>
      <c r="G89" s="58" t="s">
        <v>354</v>
      </c>
      <c r="H89" s="307"/>
      <c r="I89" s="307"/>
      <c r="J89" s="307"/>
      <c r="K89" s="303"/>
      <c r="L89" s="307"/>
      <c r="M89" s="43"/>
    </row>
    <row r="90" spans="1:13" ht="12.75">
      <c r="A90" s="299" t="s">
        <v>323</v>
      </c>
      <c r="B90" s="301">
        <f>SUM(B91:B93)</f>
        <v>131491628</v>
      </c>
      <c r="C90" s="308">
        <v>77068342</v>
      </c>
      <c r="D90" s="305">
        <f>SUM(D91:D93)</f>
        <v>75398469</v>
      </c>
      <c r="E90" s="300">
        <f t="shared" si="9"/>
        <v>0.5734088941388725</v>
      </c>
      <c r="F90" s="306">
        <f>SUM(F91:F93)</f>
        <v>10583771</v>
      </c>
      <c r="G90" s="299" t="s">
        <v>323</v>
      </c>
      <c r="H90" s="307">
        <f>SUM(H91:H93)</f>
        <v>131491</v>
      </c>
      <c r="I90" s="307">
        <f>ROUND(C90/1000,0)</f>
        <v>77068</v>
      </c>
      <c r="J90" s="307">
        <f>SUM(J91:J93)</f>
        <v>75399</v>
      </c>
      <c r="K90" s="303">
        <f aca="true" t="shared" si="13" ref="K90:K98">IF(ISERROR(ROUND(J90,0)/ROUND(H90,0))," ",(ROUND(J90,)/ROUND(H90,)))</f>
        <v>0.5734156710345195</v>
      </c>
      <c r="L90" s="307">
        <f>SUM(L91:L93)</f>
        <v>10584</v>
      </c>
      <c r="M90" s="43"/>
    </row>
    <row r="91" spans="1:13" ht="12.75">
      <c r="A91" s="299" t="s">
        <v>355</v>
      </c>
      <c r="B91" s="301">
        <v>74152400</v>
      </c>
      <c r="C91" s="308"/>
      <c r="D91" s="305">
        <v>41410717</v>
      </c>
      <c r="E91" s="300">
        <f t="shared" si="9"/>
        <v>0.558454170060578</v>
      </c>
      <c r="F91" s="306">
        <f>D91-'[5]Jūnijs'!D91</f>
        <v>6374729</v>
      </c>
      <c r="G91" s="299" t="s">
        <v>355</v>
      </c>
      <c r="H91" s="307">
        <f>ROUND(B91/1000,0)</f>
        <v>74152</v>
      </c>
      <c r="I91" s="307">
        <f>ROUND(C91/1000,0)</f>
        <v>0</v>
      </c>
      <c r="J91" s="307">
        <f>ROUND(D91/1000,0)</f>
        <v>41411</v>
      </c>
      <c r="K91" s="303">
        <f t="shared" si="13"/>
        <v>0.5584609990290215</v>
      </c>
      <c r="L91" s="302">
        <f>J91-'[5]Jūnijs'!J91</f>
        <v>6375</v>
      </c>
      <c r="M91" s="43"/>
    </row>
    <row r="92" spans="1:13" ht="12.75">
      <c r="A92" s="299" t="s">
        <v>356</v>
      </c>
      <c r="B92" s="301">
        <v>53376928</v>
      </c>
      <c r="C92" s="308"/>
      <c r="D92" s="305">
        <v>32433877</v>
      </c>
      <c r="E92" s="300">
        <f t="shared" si="9"/>
        <v>0.6076385100319</v>
      </c>
      <c r="F92" s="306">
        <f>D92-'[5]Jūnijs'!D92</f>
        <v>4072856</v>
      </c>
      <c r="G92" s="299" t="s">
        <v>356</v>
      </c>
      <c r="H92" s="307">
        <f>ROUND(B92/1000,0)</f>
        <v>53377</v>
      </c>
      <c r="I92" s="307">
        <f>ROUND(C92/1000,0)</f>
        <v>0</v>
      </c>
      <c r="J92" s="307">
        <f>ROUND(D92/1000,0)</f>
        <v>32434</v>
      </c>
      <c r="K92" s="303">
        <f t="shared" si="13"/>
        <v>0.607639994754295</v>
      </c>
      <c r="L92" s="302">
        <f>J92-'[5]Jūnijs'!J92</f>
        <v>4073</v>
      </c>
      <c r="M92" s="43"/>
    </row>
    <row r="93" spans="1:13" ht="12.75">
      <c r="A93" s="299" t="s">
        <v>251</v>
      </c>
      <c r="B93" s="301">
        <v>3962300</v>
      </c>
      <c r="C93" s="308"/>
      <c r="D93" s="305">
        <v>1553875</v>
      </c>
      <c r="E93" s="300">
        <f t="shared" si="9"/>
        <v>0.3921649042222951</v>
      </c>
      <c r="F93" s="306">
        <f>D93-'[5]Jūnijs'!D93</f>
        <v>136186</v>
      </c>
      <c r="G93" s="299" t="s">
        <v>251</v>
      </c>
      <c r="H93" s="307">
        <f>ROUND(B93/1000,0)</f>
        <v>3962</v>
      </c>
      <c r="I93" s="307">
        <f>ROUND(C93/1000,0)</f>
        <v>0</v>
      </c>
      <c r="J93" s="307">
        <f>ROUND(D93/1000,0)</f>
        <v>1554</v>
      </c>
      <c r="K93" s="303">
        <f t="shared" si="13"/>
        <v>0.392226148409894</v>
      </c>
      <c r="L93" s="302">
        <f>J93-'[5]Jūnijs'!J93</f>
        <v>136</v>
      </c>
      <c r="M93" s="43"/>
    </row>
    <row r="94" spans="1:13" ht="12.75">
      <c r="A94" s="299" t="s">
        <v>325</v>
      </c>
      <c r="B94" s="301">
        <f>SUM(B95:B96)</f>
        <v>135680628</v>
      </c>
      <c r="C94" s="308">
        <f>SUM(C95:C96)</f>
        <v>81655693</v>
      </c>
      <c r="D94" s="305">
        <f>SUM(D95:D96)</f>
        <v>75407197</v>
      </c>
      <c r="E94" s="300">
        <f t="shared" si="9"/>
        <v>0.555769811147985</v>
      </c>
      <c r="F94" s="306">
        <f>SUM(F95:F96)</f>
        <v>10375517</v>
      </c>
      <c r="G94" s="299" t="s">
        <v>325</v>
      </c>
      <c r="H94" s="307">
        <f>SUM(H95:H96)</f>
        <v>135681</v>
      </c>
      <c r="I94" s="307">
        <f>SUM(I95:I96)</f>
        <v>81656</v>
      </c>
      <c r="J94" s="307">
        <f>SUM(J95:J96)</f>
        <v>75407</v>
      </c>
      <c r="K94" s="303">
        <f t="shared" si="13"/>
        <v>0.5557668354449039</v>
      </c>
      <c r="L94" s="307">
        <f>SUM(L95:L96)</f>
        <v>10375</v>
      </c>
      <c r="M94" s="43"/>
    </row>
    <row r="95" spans="1:13" ht="12.75">
      <c r="A95" s="299" t="s">
        <v>326</v>
      </c>
      <c r="B95" s="301">
        <v>130203128</v>
      </c>
      <c r="C95" s="308">
        <v>77326593</v>
      </c>
      <c r="D95" s="305">
        <v>72885147</v>
      </c>
      <c r="E95" s="300">
        <f t="shared" si="9"/>
        <v>0.5597803072749528</v>
      </c>
      <c r="F95" s="306">
        <f>D95-'[5]Jūnijs'!D95</f>
        <v>9632469</v>
      </c>
      <c r="G95" s="299" t="s">
        <v>326</v>
      </c>
      <c r="H95" s="307">
        <f aca="true" t="shared" si="14" ref="H95:J98">ROUND(B95/1000,0)</f>
        <v>130203</v>
      </c>
      <c r="I95" s="307">
        <f t="shared" si="14"/>
        <v>77327</v>
      </c>
      <c r="J95" s="307">
        <f t="shared" si="14"/>
        <v>72885</v>
      </c>
      <c r="K95" s="303">
        <f t="shared" si="13"/>
        <v>0.5597797285776825</v>
      </c>
      <c r="L95" s="302">
        <f>J95-'[5]Jūnijs'!J95</f>
        <v>9632</v>
      </c>
      <c r="M95" s="43"/>
    </row>
    <row r="96" spans="1:13" ht="12.75">
      <c r="A96" s="299" t="s">
        <v>316</v>
      </c>
      <c r="B96" s="301">
        <v>5477500</v>
      </c>
      <c r="C96" s="308">
        <v>4329100</v>
      </c>
      <c r="D96" s="305">
        <v>2522050</v>
      </c>
      <c r="E96" s="300">
        <f t="shared" si="9"/>
        <v>0.4604381560931082</v>
      </c>
      <c r="F96" s="306">
        <f>D96-'[5]Jūnijs'!D96</f>
        <v>743048</v>
      </c>
      <c r="G96" s="299" t="s">
        <v>316</v>
      </c>
      <c r="H96" s="307">
        <f t="shared" si="14"/>
        <v>5478</v>
      </c>
      <c r="I96" s="307">
        <f t="shared" si="14"/>
        <v>4329</v>
      </c>
      <c r="J96" s="307">
        <f t="shared" si="14"/>
        <v>2522</v>
      </c>
      <c r="K96" s="303">
        <f t="shared" si="13"/>
        <v>0.46038700255567727</v>
      </c>
      <c r="L96" s="302">
        <f>J96-'[5]Jūnijs'!J96</f>
        <v>743</v>
      </c>
      <c r="M96" s="43"/>
    </row>
    <row r="97" spans="1:13" ht="12.75">
      <c r="A97" s="299" t="s">
        <v>319</v>
      </c>
      <c r="B97" s="301">
        <f>SUM(B90-B94)</f>
        <v>-4189000</v>
      </c>
      <c r="C97" s="308">
        <f>SUM(C90-C94)</f>
        <v>-4587351</v>
      </c>
      <c r="D97" s="305">
        <f>SUM(D90-D94)</f>
        <v>-8728</v>
      </c>
      <c r="E97" s="300">
        <f t="shared" si="9"/>
        <v>0.002083552160420148</v>
      </c>
      <c r="F97" s="306">
        <f>D97-'[5]Jūnijs'!D97</f>
        <v>208254</v>
      </c>
      <c r="G97" s="299" t="s">
        <v>319</v>
      </c>
      <c r="H97" s="307">
        <f>SUM(H90-H94)</f>
        <v>-4190</v>
      </c>
      <c r="I97" s="307">
        <f>SUM(I90-I94)</f>
        <v>-4588</v>
      </c>
      <c r="J97" s="307">
        <f>SUM(J90-J94)</f>
        <v>-8</v>
      </c>
      <c r="K97" s="303">
        <f t="shared" si="13"/>
        <v>0.0019093078758949881</v>
      </c>
      <c r="L97" s="302">
        <f>J97-'[5]Jūnijs'!J97</f>
        <v>209</v>
      </c>
      <c r="M97" s="43"/>
    </row>
    <row r="98" spans="1:13" ht="12.75">
      <c r="A98" s="299" t="s">
        <v>320</v>
      </c>
      <c r="B98" s="301">
        <v>4189000</v>
      </c>
      <c r="C98" s="308">
        <v>3390000</v>
      </c>
      <c r="D98" s="305">
        <f>1824767</f>
        <v>1824767</v>
      </c>
      <c r="E98" s="300">
        <f t="shared" si="9"/>
        <v>0.43560921460969204</v>
      </c>
      <c r="F98" s="306">
        <f>D98-'[5]Jūnijs'!D98</f>
        <v>1058578</v>
      </c>
      <c r="G98" s="299" t="s">
        <v>320</v>
      </c>
      <c r="H98" s="307">
        <f>ROUND(B98/1000,0)</f>
        <v>4189</v>
      </c>
      <c r="I98" s="307">
        <f t="shared" si="14"/>
        <v>3390</v>
      </c>
      <c r="J98" s="307">
        <f>ROUND(D98/1000,0)</f>
        <v>1825</v>
      </c>
      <c r="K98" s="303">
        <f t="shared" si="13"/>
        <v>0.435664836476486</v>
      </c>
      <c r="L98" s="302">
        <f>J98-'[5]Jūnijs'!J98</f>
        <v>1059</v>
      </c>
      <c r="M98" s="43"/>
    </row>
    <row r="99" spans="1:13" ht="12.75">
      <c r="A99" s="58" t="s">
        <v>357</v>
      </c>
      <c r="B99" s="301"/>
      <c r="C99" s="308"/>
      <c r="D99" s="305"/>
      <c r="E99" s="300" t="str">
        <f t="shared" si="9"/>
        <v> </v>
      </c>
      <c r="F99" s="306"/>
      <c r="G99" s="58" t="s">
        <v>357</v>
      </c>
      <c r="H99" s="307"/>
      <c r="I99" s="307"/>
      <c r="J99" s="307"/>
      <c r="K99" s="303"/>
      <c r="L99" s="307"/>
      <c r="M99" s="283"/>
    </row>
    <row r="100" spans="1:13" ht="12.75">
      <c r="A100" s="299" t="s">
        <v>323</v>
      </c>
      <c r="B100" s="301">
        <f>SUM(B101:B103)</f>
        <v>481062040</v>
      </c>
      <c r="C100" s="305">
        <f>229843977+44401932</f>
        <v>274245909</v>
      </c>
      <c r="D100" s="305">
        <f>SUM(D101:D103)</f>
        <v>272093455</v>
      </c>
      <c r="E100" s="300">
        <f t="shared" si="9"/>
        <v>0.5656099055331824</v>
      </c>
      <c r="F100" s="306">
        <f>SUM(F101:F103)</f>
        <v>40560150</v>
      </c>
      <c r="G100" s="299" t="s">
        <v>323</v>
      </c>
      <c r="H100" s="307">
        <f>SUM(H101:H103)</f>
        <v>481062</v>
      </c>
      <c r="I100" s="302">
        <f aca="true" t="shared" si="15" ref="H100:J103">ROUND(C100/1000,0)</f>
        <v>274246</v>
      </c>
      <c r="J100" s="307">
        <f>SUM(J101:J103)</f>
        <v>272094</v>
      </c>
      <c r="K100" s="303">
        <f t="shared" si="10"/>
        <v>0.5656110854733901</v>
      </c>
      <c r="L100" s="302">
        <f>SUM(L101:L103)</f>
        <v>40561</v>
      </c>
      <c r="M100" s="283"/>
    </row>
    <row r="101" spans="1:13" ht="12.75">
      <c r="A101" s="321" t="s">
        <v>358</v>
      </c>
      <c r="B101" s="322">
        <v>473580496</v>
      </c>
      <c r="C101" s="323"/>
      <c r="D101" s="324">
        <v>267228508</v>
      </c>
      <c r="E101" s="300">
        <f t="shared" si="9"/>
        <v>0.564272621565057</v>
      </c>
      <c r="F101" s="306">
        <f>D101-'[5]Jūnijs'!D101</f>
        <v>39774210</v>
      </c>
      <c r="G101" s="299" t="s">
        <v>358</v>
      </c>
      <c r="H101" s="302">
        <f t="shared" si="15"/>
        <v>473580</v>
      </c>
      <c r="I101" s="302">
        <f t="shared" si="15"/>
        <v>0</v>
      </c>
      <c r="J101" s="302">
        <f t="shared" si="15"/>
        <v>267229</v>
      </c>
      <c r="K101" s="303">
        <f t="shared" si="10"/>
        <v>0.5642742514464293</v>
      </c>
      <c r="L101" s="302">
        <f>J101-'[5]Jūnijs'!J101</f>
        <v>39775</v>
      </c>
      <c r="M101" s="283"/>
    </row>
    <row r="102" spans="1:13" ht="12.75">
      <c r="A102" s="321" t="s">
        <v>359</v>
      </c>
      <c r="B102" s="322">
        <v>6036630</v>
      </c>
      <c r="C102" s="323"/>
      <c r="D102" s="324">
        <v>3487168</v>
      </c>
      <c r="E102" s="300">
        <f t="shared" si="9"/>
        <v>0.577668003505267</v>
      </c>
      <c r="F102" s="306">
        <f>D102-'[5]Jūnijs'!D102</f>
        <v>488779</v>
      </c>
      <c r="G102" s="299" t="s">
        <v>359</v>
      </c>
      <c r="H102" s="302">
        <f t="shared" si="15"/>
        <v>6037</v>
      </c>
      <c r="I102" s="302">
        <f t="shared" si="15"/>
        <v>0</v>
      </c>
      <c r="J102" s="302">
        <f t="shared" si="15"/>
        <v>3487</v>
      </c>
      <c r="K102" s="303">
        <f t="shared" si="10"/>
        <v>0.5776047705814146</v>
      </c>
      <c r="L102" s="302">
        <f>J102-'[5]Jūnijs'!J102</f>
        <v>489</v>
      </c>
      <c r="M102" s="283"/>
    </row>
    <row r="103" spans="1:13" ht="12.75">
      <c r="A103" s="321" t="s">
        <v>360</v>
      </c>
      <c r="B103" s="322">
        <f>481062040-473580496-6036630</f>
        <v>1444914</v>
      </c>
      <c r="C103" s="323"/>
      <c r="D103" s="324">
        <f>4864947-3487168</f>
        <v>1377779</v>
      </c>
      <c r="E103" s="300">
        <f t="shared" si="9"/>
        <v>0.9535370271171848</v>
      </c>
      <c r="F103" s="306">
        <f>D103-'[5]Jūnijs'!D103</f>
        <v>297161</v>
      </c>
      <c r="G103" s="299" t="s">
        <v>360</v>
      </c>
      <c r="H103" s="302">
        <f t="shared" si="15"/>
        <v>1445</v>
      </c>
      <c r="I103" s="302">
        <f t="shared" si="15"/>
        <v>0</v>
      </c>
      <c r="J103" s="302">
        <f>ROUND(D103/1000,0)</f>
        <v>1378</v>
      </c>
      <c r="K103" s="303">
        <f t="shared" si="10"/>
        <v>0.9536332179930795</v>
      </c>
      <c r="L103" s="302">
        <f>J103-'[5]Jūnijs'!J103</f>
        <v>297</v>
      </c>
      <c r="M103" s="283"/>
    </row>
    <row r="104" spans="1:13" ht="12.75">
      <c r="A104" s="299" t="s">
        <v>361</v>
      </c>
      <c r="B104" s="301">
        <f>SUM(B105:B106)</f>
        <v>516531015</v>
      </c>
      <c r="C104" s="308">
        <f>SUM(C105:C106)</f>
        <v>313643086</v>
      </c>
      <c r="D104" s="305">
        <f>SUM(D105:D106)</f>
        <v>298442283</v>
      </c>
      <c r="E104" s="300">
        <f t="shared" si="9"/>
        <v>0.5777819227370112</v>
      </c>
      <c r="F104" s="306">
        <f>SUM(F105:F106)</f>
        <v>39806094</v>
      </c>
      <c r="G104" s="299" t="s">
        <v>362</v>
      </c>
      <c r="H104" s="301">
        <f>SUM(H105:H106)</f>
        <v>516531</v>
      </c>
      <c r="I104" s="301">
        <f>SUM(I105:I106)</f>
        <v>313643</v>
      </c>
      <c r="J104" s="301">
        <f>SUM(J105:J106)</f>
        <v>298443</v>
      </c>
      <c r="K104" s="303">
        <f t="shared" si="10"/>
        <v>0.5777833276221562</v>
      </c>
      <c r="L104" s="307">
        <f>SUM(L105:L106)</f>
        <v>39807</v>
      </c>
      <c r="M104" s="283"/>
    </row>
    <row r="105" spans="1:13" ht="12.75">
      <c r="A105" s="299" t="s">
        <v>326</v>
      </c>
      <c r="B105" s="301">
        <v>512300015</v>
      </c>
      <c r="C105" s="308">
        <f>226356515+44124220+40504457</f>
        <v>310985192</v>
      </c>
      <c r="D105" s="305">
        <v>297566594</v>
      </c>
      <c r="E105" s="300">
        <f t="shared" si="9"/>
        <v>0.5808443983746516</v>
      </c>
      <c r="F105" s="306">
        <f>D105-'[5]Jūnijs'!D105</f>
        <v>39617456</v>
      </c>
      <c r="G105" s="299" t="s">
        <v>326</v>
      </c>
      <c r="H105" s="302">
        <f aca="true" t="shared" si="16" ref="H105:J108">ROUND(B105/1000,0)</f>
        <v>512300</v>
      </c>
      <c r="I105" s="302">
        <f t="shared" si="16"/>
        <v>310985</v>
      </c>
      <c r="J105" s="302">
        <f t="shared" si="16"/>
        <v>297567</v>
      </c>
      <c r="K105" s="303">
        <f t="shared" si="10"/>
        <v>0.5808452078860042</v>
      </c>
      <c r="L105" s="302">
        <f>J105-'[5]Jūnijs'!J105</f>
        <v>39618</v>
      </c>
      <c r="M105" s="283"/>
    </row>
    <row r="106" spans="1:13" ht="12.75">
      <c r="A106" s="299" t="s">
        <v>316</v>
      </c>
      <c r="B106" s="301">
        <v>4231000</v>
      </c>
      <c r="C106" s="308">
        <f>1941844+536050+180000</f>
        <v>2657894</v>
      </c>
      <c r="D106" s="305">
        <v>875689</v>
      </c>
      <c r="E106" s="300">
        <f t="shared" si="9"/>
        <v>0.20696974710470337</v>
      </c>
      <c r="F106" s="306">
        <f>D106-'[5]Jūnijs'!D106</f>
        <v>188638</v>
      </c>
      <c r="G106" s="299" t="s">
        <v>316</v>
      </c>
      <c r="H106" s="302">
        <f t="shared" si="16"/>
        <v>4231</v>
      </c>
      <c r="I106" s="302">
        <f t="shared" si="16"/>
        <v>2658</v>
      </c>
      <c r="J106" s="302">
        <f t="shared" si="16"/>
        <v>876</v>
      </c>
      <c r="K106" s="303">
        <f t="shared" si="10"/>
        <v>0.2070432521862444</v>
      </c>
      <c r="L106" s="302">
        <f>J106-'[5]Jūnijs'!J106</f>
        <v>189</v>
      </c>
      <c r="M106" s="283"/>
    </row>
    <row r="107" spans="1:13" ht="12.75">
      <c r="A107" s="299" t="s">
        <v>319</v>
      </c>
      <c r="B107" s="301">
        <f>SUM(B100-B104)</f>
        <v>-35468975</v>
      </c>
      <c r="C107" s="308">
        <f>SUM(C100-C104)</f>
        <v>-39397177</v>
      </c>
      <c r="D107" s="305">
        <f>SUM(D100-D104)</f>
        <v>-26348828</v>
      </c>
      <c r="E107" s="300">
        <f t="shared" si="9"/>
        <v>0.7428697333373744</v>
      </c>
      <c r="F107" s="306">
        <f>D107-'[5]Jūnijs'!D107</f>
        <v>754056</v>
      </c>
      <c r="G107" s="299" t="s">
        <v>319</v>
      </c>
      <c r="H107" s="302">
        <f t="shared" si="16"/>
        <v>-35469</v>
      </c>
      <c r="I107" s="302">
        <f t="shared" si="16"/>
        <v>-39397</v>
      </c>
      <c r="J107" s="302">
        <f t="shared" si="16"/>
        <v>-26349</v>
      </c>
      <c r="K107" s="303">
        <f t="shared" si="10"/>
        <v>0.7428740590374694</v>
      </c>
      <c r="L107" s="302">
        <f>J107-'[5]Jūnijs'!J107</f>
        <v>754</v>
      </c>
      <c r="M107" s="283"/>
    </row>
    <row r="108" spans="1:13" ht="12.75">
      <c r="A108" s="299" t="s">
        <v>320</v>
      </c>
      <c r="B108" s="301">
        <v>35815863</v>
      </c>
      <c r="C108" s="308">
        <v>39383521</v>
      </c>
      <c r="D108" s="305">
        <f>28181130+616449</f>
        <v>28797579</v>
      </c>
      <c r="E108" s="300">
        <f t="shared" si="9"/>
        <v>0.8040453750898031</v>
      </c>
      <c r="F108" s="306">
        <f>D108-'[5]Jūnijs'!D108</f>
        <v>-697025</v>
      </c>
      <c r="G108" s="299" t="s">
        <v>320</v>
      </c>
      <c r="H108" s="302">
        <f t="shared" si="16"/>
        <v>35816</v>
      </c>
      <c r="I108" s="302">
        <f t="shared" si="16"/>
        <v>39384</v>
      </c>
      <c r="J108" s="302">
        <f>ROUND(D108/1000,0)</f>
        <v>28798</v>
      </c>
      <c r="K108" s="303">
        <f t="shared" si="10"/>
        <v>0.8040540540540541</v>
      </c>
      <c r="L108" s="302">
        <f>J108-'[5]Jūnijs'!J108</f>
        <v>-697</v>
      </c>
      <c r="M108" s="283"/>
    </row>
    <row r="109" spans="1:13" ht="12.75">
      <c r="A109" s="58" t="s">
        <v>363</v>
      </c>
      <c r="B109" s="301"/>
      <c r="C109" s="308"/>
      <c r="D109" s="305"/>
      <c r="E109" s="300" t="str">
        <f t="shared" si="9"/>
        <v> </v>
      </c>
      <c r="F109" s="306"/>
      <c r="G109" s="58" t="s">
        <v>363</v>
      </c>
      <c r="H109" s="307"/>
      <c r="I109" s="307"/>
      <c r="J109" s="307"/>
      <c r="K109" s="303"/>
      <c r="L109" s="307"/>
      <c r="M109" s="283"/>
    </row>
    <row r="110" spans="1:13" ht="12.75">
      <c r="A110" s="299" t="s">
        <v>323</v>
      </c>
      <c r="B110" s="301">
        <f>SUM(B111:B113)</f>
        <v>377995087</v>
      </c>
      <c r="C110" s="308">
        <v>215878774</v>
      </c>
      <c r="D110" s="305">
        <f>SUM(D111:D113)</f>
        <v>212111515</v>
      </c>
      <c r="E110" s="300">
        <f t="shared" si="9"/>
        <v>0.5611488675248311</v>
      </c>
      <c r="F110" s="306">
        <f>SUM(F111:F113)</f>
        <v>31533788</v>
      </c>
      <c r="G110" s="299" t="s">
        <v>323</v>
      </c>
      <c r="H110" s="307">
        <f>SUM(H111:H113)</f>
        <v>377996</v>
      </c>
      <c r="I110" s="325">
        <f aca="true" t="shared" si="17" ref="H110:J115">ROUND(C110/1000,0)</f>
        <v>215879</v>
      </c>
      <c r="J110" s="307">
        <f>SUM(J111:J113)</f>
        <v>212112</v>
      </c>
      <c r="K110" s="303">
        <f t="shared" si="10"/>
        <v>0.5611487952253463</v>
      </c>
      <c r="L110" s="302">
        <f>SUM(L111:L113)</f>
        <v>31534</v>
      </c>
      <c r="M110" s="283"/>
    </row>
    <row r="111" spans="1:13" ht="12.75">
      <c r="A111" s="321" t="s">
        <v>358</v>
      </c>
      <c r="B111" s="322">
        <v>355768535</v>
      </c>
      <c r="C111" s="323"/>
      <c r="D111" s="326">
        <v>200739574</v>
      </c>
      <c r="E111" s="300" t="str">
        <f>IF(ISERROR(#REF!/B111)," ",(#REF!/B111))</f>
        <v> </v>
      </c>
      <c r="F111" s="306">
        <f>D111-'[5]Jūnijs'!D111</f>
        <v>29874968</v>
      </c>
      <c r="G111" s="321" t="s">
        <v>358</v>
      </c>
      <c r="H111" s="325">
        <f t="shared" si="17"/>
        <v>355769</v>
      </c>
      <c r="I111" s="325">
        <f t="shared" si="17"/>
        <v>0</v>
      </c>
      <c r="J111" s="325">
        <f>ROUND(D111/1000,0)</f>
        <v>200740</v>
      </c>
      <c r="K111" s="327">
        <f t="shared" si="10"/>
        <v>0.5642425281573156</v>
      </c>
      <c r="L111" s="302">
        <f>J111-'[5]Jūnijs'!J111</f>
        <v>29875</v>
      </c>
      <c r="M111" s="283"/>
    </row>
    <row r="112" spans="1:13" ht="12.75">
      <c r="A112" s="321" t="s">
        <v>359</v>
      </c>
      <c r="B112" s="322">
        <v>3397829</v>
      </c>
      <c r="C112" s="323"/>
      <c r="D112" s="326">
        <v>1900330</v>
      </c>
      <c r="E112" s="300" t="str">
        <f>IF(ISERROR(#REF!/B112)," ",(#REF!/B112))</f>
        <v> </v>
      </c>
      <c r="F112" s="306">
        <f>D112-'[5]Jūnijs'!D112</f>
        <v>289200</v>
      </c>
      <c r="G112" s="321" t="s">
        <v>359</v>
      </c>
      <c r="H112" s="325">
        <f t="shared" si="17"/>
        <v>3398</v>
      </c>
      <c r="I112" s="325">
        <f t="shared" si="17"/>
        <v>0</v>
      </c>
      <c r="J112" s="325">
        <f t="shared" si="17"/>
        <v>1900</v>
      </c>
      <c r="K112" s="327">
        <f t="shared" si="10"/>
        <v>0.559152442613302</v>
      </c>
      <c r="L112" s="302">
        <f>J112-'[5]Jūnijs'!J112</f>
        <v>289</v>
      </c>
      <c r="M112" s="283"/>
    </row>
    <row r="113" spans="1:13" ht="12.75">
      <c r="A113" s="321" t="s">
        <v>360</v>
      </c>
      <c r="B113" s="322">
        <f>377995087-355768535-3397829</f>
        <v>18828723</v>
      </c>
      <c r="C113" s="323"/>
      <c r="D113" s="326">
        <f>11371941-1900330</f>
        <v>9471611</v>
      </c>
      <c r="E113" s="300" t="str">
        <f>IF(ISERROR(#REF!/B113)," ",(#REF!/B113))</f>
        <v> </v>
      </c>
      <c r="F113" s="306">
        <f>D113-'[5]Jūnijs'!D113</f>
        <v>1369620</v>
      </c>
      <c r="G113" s="321" t="s">
        <v>360</v>
      </c>
      <c r="H113" s="325">
        <f t="shared" si="17"/>
        <v>18829</v>
      </c>
      <c r="I113" s="325">
        <f t="shared" si="17"/>
        <v>0</v>
      </c>
      <c r="J113" s="325">
        <f t="shared" si="17"/>
        <v>9472</v>
      </c>
      <c r="K113" s="327">
        <f t="shared" si="10"/>
        <v>0.503053799989378</v>
      </c>
      <c r="L113" s="302">
        <f>J113-'[5]Jūnijs'!J113</f>
        <v>1370</v>
      </c>
      <c r="M113" s="283"/>
    </row>
    <row r="114" spans="1:13" ht="12.75">
      <c r="A114" s="299" t="s">
        <v>325</v>
      </c>
      <c r="B114" s="322">
        <f>SUM(B115)</f>
        <v>399579811</v>
      </c>
      <c r="C114" s="308">
        <f>SUM(C115)</f>
        <v>243381576</v>
      </c>
      <c r="D114" s="324">
        <f>SUM(D115)</f>
        <v>236772688</v>
      </c>
      <c r="E114" s="300">
        <f t="shared" si="9"/>
        <v>0.5925541818728174</v>
      </c>
      <c r="F114" s="328">
        <f>SUM(F115)</f>
        <v>31367602</v>
      </c>
      <c r="G114" s="299" t="s">
        <v>325</v>
      </c>
      <c r="H114" s="307">
        <f>SUM(H115)</f>
        <v>399580</v>
      </c>
      <c r="I114" s="307">
        <f>SUM(I115)</f>
        <v>243382</v>
      </c>
      <c r="J114" s="307">
        <f>SUM(J115)</f>
        <v>236773</v>
      </c>
      <c r="K114" s="303">
        <f t="shared" si="10"/>
        <v>0.5925546824165374</v>
      </c>
      <c r="L114" s="307">
        <f>SUM(L115)</f>
        <v>31368</v>
      </c>
      <c r="M114" s="283"/>
    </row>
    <row r="115" spans="1:13" ht="12.75">
      <c r="A115" s="299" t="s">
        <v>364</v>
      </c>
      <c r="B115" s="301">
        <v>399579811</v>
      </c>
      <c r="C115" s="308">
        <v>243381576</v>
      </c>
      <c r="D115" s="326">
        <v>236772688</v>
      </c>
      <c r="E115" s="300" t="str">
        <f>IF(ISERROR(#REF!/B115)," ",(#REF!/B115))</f>
        <v> </v>
      </c>
      <c r="F115" s="306">
        <f>D115-'[5]Jūnijs'!D115</f>
        <v>31367602</v>
      </c>
      <c r="G115" s="321" t="s">
        <v>364</v>
      </c>
      <c r="H115" s="325">
        <f>ROUND(B115/1000,0)</f>
        <v>399580</v>
      </c>
      <c r="I115" s="325">
        <f>ROUND(C115/1000,0)</f>
        <v>243382</v>
      </c>
      <c r="J115" s="325">
        <f t="shared" si="17"/>
        <v>236773</v>
      </c>
      <c r="K115" s="327">
        <f t="shared" si="10"/>
        <v>0.5925546824165374</v>
      </c>
      <c r="L115" s="302">
        <f>J115-'[5]Jūnijs'!J115</f>
        <v>31368</v>
      </c>
      <c r="M115" s="283"/>
    </row>
    <row r="116" spans="1:13" ht="12.75">
      <c r="A116" s="299" t="s">
        <v>319</v>
      </c>
      <c r="B116" s="301">
        <f>SUM(B110-B114)</f>
        <v>-21584724</v>
      </c>
      <c r="C116" s="308">
        <f>SUM(C110-C114)</f>
        <v>-27502802</v>
      </c>
      <c r="D116" s="305">
        <f>SUM(D110-D114)</f>
        <v>-24661173</v>
      </c>
      <c r="E116" s="300">
        <f t="shared" si="9"/>
        <v>1.1425289941163945</v>
      </c>
      <c r="F116" s="306">
        <f>D116-'[5]Jūnijs'!D116</f>
        <v>166186</v>
      </c>
      <c r="G116" s="299" t="s">
        <v>319</v>
      </c>
      <c r="H116" s="307">
        <f>SUM(H110-H114)</f>
        <v>-21584</v>
      </c>
      <c r="I116" s="307">
        <f>SUM(I110-I114)</f>
        <v>-27503</v>
      </c>
      <c r="J116" s="307">
        <f>SUM(J110-J114)</f>
        <v>-24661</v>
      </c>
      <c r="K116" s="303">
        <f t="shared" si="10"/>
        <v>1.1425593031875463</v>
      </c>
      <c r="L116" s="302">
        <f>J116-'[5]Jūnijs'!J116</f>
        <v>166</v>
      </c>
      <c r="M116" s="283"/>
    </row>
    <row r="117" spans="1:13" ht="12.75">
      <c r="A117" s="299" t="s">
        <v>320</v>
      </c>
      <c r="B117" s="301">
        <v>21584724</v>
      </c>
      <c r="C117" s="308">
        <v>27502802</v>
      </c>
      <c r="D117" s="305">
        <v>24676262</v>
      </c>
      <c r="E117" s="300">
        <f t="shared" si="9"/>
        <v>1.1432280533214139</v>
      </c>
      <c r="F117" s="306">
        <f>D117-'[5]Jūnijs'!D117</f>
        <v>-156749</v>
      </c>
      <c r="G117" s="299" t="s">
        <v>320</v>
      </c>
      <c r="H117" s="302">
        <f>ROUND(B117/1000,0)</f>
        <v>21585</v>
      </c>
      <c r="I117" s="302">
        <f>ROUND(C117/1000,0)</f>
        <v>27503</v>
      </c>
      <c r="J117" s="302">
        <f>ROUND(D117/1000,0)</f>
        <v>24676</v>
      </c>
      <c r="K117" s="303">
        <f t="shared" si="10"/>
        <v>1.1432012971971277</v>
      </c>
      <c r="L117" s="302">
        <f>J117-'[5]Jūnijs'!J117</f>
        <v>-157</v>
      </c>
      <c r="M117" s="283"/>
    </row>
    <row r="118" spans="1:13" ht="12.75">
      <c r="A118" s="58" t="s">
        <v>365</v>
      </c>
      <c r="B118" s="301"/>
      <c r="C118" s="308"/>
      <c r="D118" s="305"/>
      <c r="E118" s="300" t="str">
        <f t="shared" si="9"/>
        <v> </v>
      </c>
      <c r="F118" s="306"/>
      <c r="G118" s="58" t="s">
        <v>365</v>
      </c>
      <c r="H118" s="307"/>
      <c r="I118" s="307"/>
      <c r="J118" s="307"/>
      <c r="K118" s="303"/>
      <c r="L118" s="307"/>
      <c r="M118" s="283"/>
    </row>
    <row r="119" spans="1:13" ht="12.75">
      <c r="A119" s="299" t="s">
        <v>323</v>
      </c>
      <c r="B119" s="301">
        <f>SUM(B120:B122)</f>
        <v>36515639</v>
      </c>
      <c r="C119" s="308">
        <f>3738719+3512825+3494337+2946311+2860213+2782857+2722523</f>
        <v>22057785</v>
      </c>
      <c r="D119" s="305">
        <f>SUM(D120:D122)</f>
        <v>21817734</v>
      </c>
      <c r="E119" s="300">
        <f t="shared" si="9"/>
        <v>0.5974901329263332</v>
      </c>
      <c r="F119" s="306">
        <f>SUM(F120:F122)</f>
        <v>2782458</v>
      </c>
      <c r="G119" s="299" t="s">
        <v>323</v>
      </c>
      <c r="H119" s="307">
        <f>SUM(H120:H122)</f>
        <v>36515</v>
      </c>
      <c r="I119" s="325">
        <f aca="true" t="shared" si="18" ref="H119:J122">ROUND(C119/1000,0)</f>
        <v>22058</v>
      </c>
      <c r="J119" s="307">
        <f>SUM(J120:J122)</f>
        <v>21818</v>
      </c>
      <c r="K119" s="303">
        <f t="shared" si="10"/>
        <v>0.5975078734766535</v>
      </c>
      <c r="L119" s="302">
        <f>SUM(L120:L122)</f>
        <v>2784</v>
      </c>
      <c r="M119" s="283"/>
    </row>
    <row r="120" spans="1:13" ht="12.75">
      <c r="A120" s="321" t="s">
        <v>358</v>
      </c>
      <c r="B120" s="322">
        <v>32186474</v>
      </c>
      <c r="C120" s="323"/>
      <c r="D120" s="324">
        <v>18164916</v>
      </c>
      <c r="E120" s="300">
        <f t="shared" si="9"/>
        <v>0.5643648943963231</v>
      </c>
      <c r="F120" s="306">
        <f>D120-'[5]Jūnijs'!D120</f>
        <v>2704494</v>
      </c>
      <c r="G120" s="321" t="s">
        <v>358</v>
      </c>
      <c r="H120" s="325">
        <f t="shared" si="18"/>
        <v>32186</v>
      </c>
      <c r="I120" s="325">
        <f t="shared" si="18"/>
        <v>0</v>
      </c>
      <c r="J120" s="325">
        <f t="shared" si="18"/>
        <v>18165</v>
      </c>
      <c r="K120" s="327">
        <f t="shared" si="10"/>
        <v>0.5643758155719878</v>
      </c>
      <c r="L120" s="302">
        <f>J120-'[5]Jūnijs'!J120</f>
        <v>2705</v>
      </c>
      <c r="M120" s="283"/>
    </row>
    <row r="121" spans="1:13" ht="12.75">
      <c r="A121" s="321" t="s">
        <v>359</v>
      </c>
      <c r="B121" s="322">
        <v>468801</v>
      </c>
      <c r="C121" s="323"/>
      <c r="D121" s="324">
        <v>255208</v>
      </c>
      <c r="E121" s="300">
        <f t="shared" si="9"/>
        <v>0.5443845042992655</v>
      </c>
      <c r="F121" s="306">
        <f>D121-'[5]Jūnijs'!D121</f>
        <v>35750</v>
      </c>
      <c r="G121" s="321" t="s">
        <v>359</v>
      </c>
      <c r="H121" s="325">
        <f>ROUND(B121/1000,0)</f>
        <v>469</v>
      </c>
      <c r="I121" s="325">
        <f t="shared" si="18"/>
        <v>0</v>
      </c>
      <c r="J121" s="325">
        <f>ROUND(D121/1000,0)</f>
        <v>255</v>
      </c>
      <c r="K121" s="327">
        <f t="shared" si="10"/>
        <v>0.5437100213219617</v>
      </c>
      <c r="L121" s="302">
        <f>J121-'[5]Jūnijs'!J121</f>
        <v>36</v>
      </c>
      <c r="M121" s="283"/>
    </row>
    <row r="122" spans="1:13" ht="12.75">
      <c r="A122" s="321" t="s">
        <v>360</v>
      </c>
      <c r="B122" s="322">
        <f>36515639-32186474-468801</f>
        <v>3860364</v>
      </c>
      <c r="C122" s="323"/>
      <c r="D122" s="324">
        <f>3652818-255208</f>
        <v>3397610</v>
      </c>
      <c r="E122" s="300">
        <f t="shared" si="9"/>
        <v>0.8801268481417814</v>
      </c>
      <c r="F122" s="306">
        <f>D122-'[5]Jūnijs'!D122</f>
        <v>42214</v>
      </c>
      <c r="G122" s="321" t="s">
        <v>360</v>
      </c>
      <c r="H122" s="325">
        <f>ROUND(B122/1000,0)</f>
        <v>3860</v>
      </c>
      <c r="I122" s="325">
        <f t="shared" si="18"/>
        <v>0</v>
      </c>
      <c r="J122" s="325">
        <f t="shared" si="18"/>
        <v>3398</v>
      </c>
      <c r="K122" s="327">
        <f t="shared" si="10"/>
        <v>0.8803108808290155</v>
      </c>
      <c r="L122" s="302">
        <f>J122-'[5]Jūnijs'!J122</f>
        <v>43</v>
      </c>
      <c r="M122" s="283"/>
    </row>
    <row r="123" spans="1:13" ht="12.75">
      <c r="A123" s="299" t="s">
        <v>325</v>
      </c>
      <c r="B123" s="322">
        <f>SUM(B124:B124)</f>
        <v>36168751</v>
      </c>
      <c r="C123" s="308">
        <f>SUM(C124)</f>
        <v>22071441</v>
      </c>
      <c r="D123" s="324">
        <f>SUM(D124:D124)</f>
        <v>20170765</v>
      </c>
      <c r="E123" s="300">
        <f t="shared" si="9"/>
        <v>0.5576848644842616</v>
      </c>
      <c r="F123" s="328">
        <f>SUM(F124:F124)</f>
        <v>2793944</v>
      </c>
      <c r="G123" s="299" t="s">
        <v>325</v>
      </c>
      <c r="H123" s="307">
        <f>SUM(H124:H124)</f>
        <v>36169</v>
      </c>
      <c r="I123" s="307">
        <f>SUM(I124:I124)</f>
        <v>22071</v>
      </c>
      <c r="J123" s="307">
        <f>SUM(J124:J124)</f>
        <v>20171</v>
      </c>
      <c r="K123" s="303">
        <f t="shared" si="10"/>
        <v>0.5576875224639884</v>
      </c>
      <c r="L123" s="307">
        <f>SUM(L124:L124)</f>
        <v>2794</v>
      </c>
      <c r="M123" s="283"/>
    </row>
    <row r="124" spans="1:13" ht="12.75">
      <c r="A124" s="321" t="s">
        <v>364</v>
      </c>
      <c r="B124" s="322">
        <v>36168751</v>
      </c>
      <c r="C124" s="308">
        <f>3662852+3559932+3456423+2959536+2877673+2819349+2735676</f>
        <v>22071441</v>
      </c>
      <c r="D124" s="324">
        <v>20170765</v>
      </c>
      <c r="E124" s="329">
        <f t="shared" si="9"/>
        <v>0.5576848644842616</v>
      </c>
      <c r="F124" s="306">
        <f>D124-'[5]Jūnijs'!D124</f>
        <v>2793944</v>
      </c>
      <c r="G124" s="321" t="s">
        <v>364</v>
      </c>
      <c r="H124" s="325">
        <f>ROUND(B124/1000,0)</f>
        <v>36169</v>
      </c>
      <c r="I124" s="325">
        <f>ROUND(C124/1000,0)</f>
        <v>22071</v>
      </c>
      <c r="J124" s="325">
        <f>ROUND(D124/1000,0)</f>
        <v>20171</v>
      </c>
      <c r="K124" s="327">
        <f t="shared" si="10"/>
        <v>0.5576875224639884</v>
      </c>
      <c r="L124" s="302">
        <f>J124-'[5]Jūnijs'!J124</f>
        <v>2794</v>
      </c>
      <c r="M124" s="330"/>
    </row>
    <row r="125" spans="1:13" ht="12.75">
      <c r="A125" s="299" t="s">
        <v>319</v>
      </c>
      <c r="B125" s="301">
        <f>SUM(B119-B123)</f>
        <v>346888</v>
      </c>
      <c r="C125" s="308">
        <f>SUM(C119-C123)</f>
        <v>-13656</v>
      </c>
      <c r="D125" s="305">
        <f>SUM(D119-D123)</f>
        <v>1646969</v>
      </c>
      <c r="E125" s="329"/>
      <c r="F125" s="306">
        <f>D125-'[5]Jūnijs'!D125</f>
        <v>-11486</v>
      </c>
      <c r="G125" s="299" t="s">
        <v>319</v>
      </c>
      <c r="H125" s="307">
        <f>SUM(H119-H123)</f>
        <v>346</v>
      </c>
      <c r="I125" s="307">
        <f>SUM(I119-I123)</f>
        <v>-13</v>
      </c>
      <c r="J125" s="307">
        <f>SUM(J119-J123)</f>
        <v>1647</v>
      </c>
      <c r="K125" s="303"/>
      <c r="L125" s="302">
        <f>J125-'[5]Jūnijs'!J125</f>
        <v>-10</v>
      </c>
      <c r="M125" s="283"/>
    </row>
    <row r="126" spans="1:13" ht="12.75">
      <c r="A126" s="58" t="s">
        <v>366</v>
      </c>
      <c r="B126" s="301"/>
      <c r="C126" s="308"/>
      <c r="D126" s="305"/>
      <c r="E126" s="300" t="str">
        <f t="shared" si="9"/>
        <v> </v>
      </c>
      <c r="F126" s="306"/>
      <c r="G126" s="58" t="s">
        <v>366</v>
      </c>
      <c r="H126" s="307"/>
      <c r="I126" s="307"/>
      <c r="J126" s="307"/>
      <c r="K126" s="303" t="str">
        <f t="shared" si="10"/>
        <v> </v>
      </c>
      <c r="L126" s="307"/>
      <c r="M126" s="283"/>
    </row>
    <row r="127" spans="1:13" ht="12.75">
      <c r="A127" s="299" t="s">
        <v>323</v>
      </c>
      <c r="B127" s="301">
        <f>SUM(B128:B130)</f>
        <v>1057977</v>
      </c>
      <c r="C127" s="308">
        <f>80213+79269+85249+86862+85748+88205+97685</f>
        <v>603231</v>
      </c>
      <c r="D127" s="305">
        <f>SUM(D128:D130)</f>
        <v>599595</v>
      </c>
      <c r="E127" s="300">
        <f t="shared" si="9"/>
        <v>0.5667372731165233</v>
      </c>
      <c r="F127" s="306">
        <f>SUM(F128:F130)</f>
        <v>99405</v>
      </c>
      <c r="G127" s="299" t="s">
        <v>323</v>
      </c>
      <c r="H127" s="307">
        <f>SUM(H128:H130)</f>
        <v>1058</v>
      </c>
      <c r="I127" s="325">
        <f>ROUND(C127/1000,0)</f>
        <v>603</v>
      </c>
      <c r="J127" s="307">
        <f>SUM(J128:J130)</f>
        <v>600</v>
      </c>
      <c r="K127" s="303">
        <f t="shared" si="10"/>
        <v>0.5671077504725898</v>
      </c>
      <c r="L127" s="307">
        <f>SUM(L128:L130)</f>
        <v>100</v>
      </c>
      <c r="M127" s="283"/>
    </row>
    <row r="128" spans="1:13" ht="12.75">
      <c r="A128" s="321" t="s">
        <v>358</v>
      </c>
      <c r="B128" s="322">
        <v>1041327</v>
      </c>
      <c r="C128" s="308"/>
      <c r="D128" s="324">
        <v>587688</v>
      </c>
      <c r="E128" s="300">
        <f t="shared" si="9"/>
        <v>0.5643645079787617</v>
      </c>
      <c r="F128" s="306">
        <f>D128-'[5]Jūnijs'!D128</f>
        <v>87498</v>
      </c>
      <c r="G128" s="321" t="s">
        <v>358</v>
      </c>
      <c r="H128" s="325">
        <f>ROUND(B128/1000,0)</f>
        <v>1041</v>
      </c>
      <c r="I128" s="325">
        <f>ROUND(C128/1000,0)</f>
        <v>0</v>
      </c>
      <c r="J128" s="325">
        <f>ROUND(D128/1000,0)</f>
        <v>588</v>
      </c>
      <c r="K128" s="327">
        <f t="shared" si="10"/>
        <v>0.5648414985590778</v>
      </c>
      <c r="L128" s="302">
        <f>J128-'[5]Jūnijs'!J128</f>
        <v>88</v>
      </c>
      <c r="M128" s="283"/>
    </row>
    <row r="129" spans="1:13" ht="12.75">
      <c r="A129" s="321"/>
      <c r="B129" s="322"/>
      <c r="C129" s="308"/>
      <c r="D129" s="324"/>
      <c r="E129" s="300" t="str">
        <f t="shared" si="9"/>
        <v> </v>
      </c>
      <c r="F129" s="328"/>
      <c r="G129" s="321"/>
      <c r="H129" s="331"/>
      <c r="I129" s="331"/>
      <c r="J129" s="331"/>
      <c r="K129" s="327" t="str">
        <f t="shared" si="10"/>
        <v> </v>
      </c>
      <c r="L129" s="331"/>
      <c r="M129" s="283"/>
    </row>
    <row r="130" spans="1:13" ht="12.75">
      <c r="A130" s="321" t="s">
        <v>360</v>
      </c>
      <c r="B130" s="322">
        <v>16650</v>
      </c>
      <c r="C130" s="308"/>
      <c r="D130" s="324">
        <v>11907</v>
      </c>
      <c r="E130" s="300">
        <f t="shared" si="9"/>
        <v>0.7151351351351352</v>
      </c>
      <c r="F130" s="306">
        <f>D130-'[5]Jūnijs'!D130</f>
        <v>11907</v>
      </c>
      <c r="G130" s="321" t="s">
        <v>360</v>
      </c>
      <c r="H130" s="325">
        <f>ROUND(B130/1000,0)</f>
        <v>17</v>
      </c>
      <c r="I130" s="325">
        <f>ROUND(C130/1000,0)</f>
        <v>0</v>
      </c>
      <c r="J130" s="325">
        <f>ROUND(D130/1000,0)</f>
        <v>12</v>
      </c>
      <c r="K130" s="327">
        <f t="shared" si="10"/>
        <v>0.7058823529411765</v>
      </c>
      <c r="L130" s="302">
        <f>J130-'[5]Jūnijs'!J130</f>
        <v>12</v>
      </c>
      <c r="M130" s="283"/>
    </row>
    <row r="131" spans="1:13" ht="12.75">
      <c r="A131" s="299" t="s">
        <v>325</v>
      </c>
      <c r="B131" s="322">
        <f>SUM(B132:B133)</f>
        <v>1192801</v>
      </c>
      <c r="C131" s="308">
        <f>SUM(C132)</f>
        <v>495726</v>
      </c>
      <c r="D131" s="324">
        <f>SUM(D132:D133)</f>
        <v>461546</v>
      </c>
      <c r="E131" s="300">
        <f t="shared" si="9"/>
        <v>0.38694300222753</v>
      </c>
      <c r="F131" s="328">
        <f>SUM(F132:F133)</f>
        <v>70889</v>
      </c>
      <c r="G131" s="299" t="s">
        <v>325</v>
      </c>
      <c r="H131" s="307">
        <f>SUM(H132:H133)</f>
        <v>1193</v>
      </c>
      <c r="I131" s="307">
        <f>SUM(I132:I133)</f>
        <v>496</v>
      </c>
      <c r="J131" s="307">
        <f>SUM(J132:J133)</f>
        <v>462</v>
      </c>
      <c r="K131" s="303">
        <f t="shared" si="10"/>
        <v>0.38725901089689857</v>
      </c>
      <c r="L131" s="307">
        <f>SUM(L132:L133)</f>
        <v>71</v>
      </c>
      <c r="M131" s="283"/>
    </row>
    <row r="132" spans="1:13" ht="12" customHeight="1">
      <c r="A132" s="299" t="s">
        <v>364</v>
      </c>
      <c r="B132" s="301">
        <v>1192801</v>
      </c>
      <c r="C132" s="308">
        <f>61941+67993+68009+67339+74026+76333+80085</f>
        <v>495726</v>
      </c>
      <c r="D132" s="305">
        <v>461546</v>
      </c>
      <c r="E132" s="300">
        <f t="shared" si="9"/>
        <v>0.38694300222753</v>
      </c>
      <c r="F132" s="306">
        <f>D132-'[5]Jūnijs'!D132</f>
        <v>70889</v>
      </c>
      <c r="G132" s="321" t="s">
        <v>364</v>
      </c>
      <c r="H132" s="325">
        <f>ROUND(B132/1000,0)</f>
        <v>1193</v>
      </c>
      <c r="I132" s="325">
        <f>ROUND(C132/1000,0)</f>
        <v>496</v>
      </c>
      <c r="J132" s="325">
        <f>ROUND(D132/1000,0)</f>
        <v>462</v>
      </c>
      <c r="K132" s="327">
        <f t="shared" si="10"/>
        <v>0.38725901089689857</v>
      </c>
      <c r="L132" s="302">
        <f>J132-'[5]Jūnijs'!J132</f>
        <v>71</v>
      </c>
      <c r="M132" s="283"/>
    </row>
    <row r="133" spans="1:13" ht="12.75" hidden="1">
      <c r="A133" s="299"/>
      <c r="B133" s="301"/>
      <c r="C133" s="308"/>
      <c r="D133" s="305"/>
      <c r="E133" s="300" t="str">
        <f t="shared" si="9"/>
        <v> </v>
      </c>
      <c r="F133" s="306"/>
      <c r="G133" s="299"/>
      <c r="H133" s="307"/>
      <c r="I133" s="307"/>
      <c r="J133" s="307"/>
      <c r="K133" s="303" t="str">
        <f t="shared" si="10"/>
        <v> </v>
      </c>
      <c r="L133" s="307"/>
      <c r="M133" s="283"/>
    </row>
    <row r="134" spans="1:13" ht="12.75">
      <c r="A134" s="299" t="s">
        <v>319</v>
      </c>
      <c r="B134" s="301">
        <f>SUM(B127-B131)</f>
        <v>-134824</v>
      </c>
      <c r="C134" s="308">
        <f>SUM(C127-C131)</f>
        <v>107505</v>
      </c>
      <c r="D134" s="305">
        <f>SUM(D127-D131)</f>
        <v>138049</v>
      </c>
      <c r="E134" s="300"/>
      <c r="F134" s="306">
        <f>D134-'[5]Jūnijs'!D134</f>
        <v>17685</v>
      </c>
      <c r="G134" s="299" t="s">
        <v>319</v>
      </c>
      <c r="H134" s="307">
        <f>SUM(H127-H131)</f>
        <v>-135</v>
      </c>
      <c r="I134" s="307">
        <f>SUM(I127-I131)</f>
        <v>107</v>
      </c>
      <c r="J134" s="307">
        <f>SUM(J127-J131)</f>
        <v>138</v>
      </c>
      <c r="K134" s="303"/>
      <c r="L134" s="302">
        <f>J134-'[5]Jūnijs'!J134</f>
        <v>29</v>
      </c>
      <c r="M134" s="283"/>
    </row>
    <row r="135" spans="1:13" ht="12.75">
      <c r="A135" s="299" t="s">
        <v>320</v>
      </c>
      <c r="B135" s="301">
        <v>134824</v>
      </c>
      <c r="C135" s="308">
        <v>-107505</v>
      </c>
      <c r="D135" s="305"/>
      <c r="E135" s="300">
        <f t="shared" si="9"/>
        <v>0</v>
      </c>
      <c r="F135" s="306">
        <f>D135-'[5]Jūnijs'!D135</f>
        <v>0</v>
      </c>
      <c r="G135" s="299" t="s">
        <v>320</v>
      </c>
      <c r="H135" s="302">
        <f>ROUND(B135/1000,0)</f>
        <v>135</v>
      </c>
      <c r="I135" s="302">
        <f>ROUND(C135/1000,0)</f>
        <v>-108</v>
      </c>
      <c r="J135" s="302">
        <f>ROUND(D135/1000,0)</f>
        <v>0</v>
      </c>
      <c r="K135" s="303">
        <f t="shared" si="10"/>
        <v>0</v>
      </c>
      <c r="L135" s="302">
        <f>J135-'[5]Jūnijs'!J135</f>
        <v>0</v>
      </c>
      <c r="M135" s="283"/>
    </row>
    <row r="136" spans="1:13" ht="12" customHeight="1">
      <c r="A136" s="116" t="s">
        <v>367</v>
      </c>
      <c r="B136" s="301"/>
      <c r="C136" s="308"/>
      <c r="D136" s="305"/>
      <c r="E136" s="300" t="str">
        <f t="shared" si="9"/>
        <v> </v>
      </c>
      <c r="F136" s="306"/>
      <c r="G136" s="116" t="s">
        <v>367</v>
      </c>
      <c r="H136" s="307"/>
      <c r="I136" s="307"/>
      <c r="J136" s="307"/>
      <c r="K136" s="303"/>
      <c r="L136" s="307"/>
      <c r="M136" s="283"/>
    </row>
    <row r="137" spans="1:13" ht="12.75">
      <c r="A137" s="299" t="s">
        <v>323</v>
      </c>
      <c r="B137" s="301">
        <f>SUM(B138:B140)</f>
        <v>84878185</v>
      </c>
      <c r="C137" s="308">
        <f>6427352+6350601+6836308+6967384+6876872+7076480+7846409</f>
        <v>48381406</v>
      </c>
      <c r="D137" s="305">
        <f>SUM(D138:D140)</f>
        <v>48081156</v>
      </c>
      <c r="E137" s="300">
        <f t="shared" si="9"/>
        <v>0.566472480531953</v>
      </c>
      <c r="F137" s="306">
        <f>SUM(F138:F140)</f>
        <v>7178813</v>
      </c>
      <c r="G137" s="299" t="s">
        <v>323</v>
      </c>
      <c r="H137" s="307">
        <f>SUM(H138:H140)</f>
        <v>84878</v>
      </c>
      <c r="I137" s="302">
        <f>ROUND(C137/1000,0)</f>
        <v>48381</v>
      </c>
      <c r="J137" s="307">
        <f>SUM(J138:J140)</f>
        <v>48081</v>
      </c>
      <c r="K137" s="303">
        <f t="shared" si="10"/>
        <v>0.5664718772826881</v>
      </c>
      <c r="L137" s="307">
        <f>SUM(L138:L140)</f>
        <v>7179</v>
      </c>
      <c r="M137" s="283"/>
    </row>
    <row r="138" spans="1:13" ht="12.75">
      <c r="A138" s="321" t="s">
        <v>358</v>
      </c>
      <c r="B138" s="322">
        <v>84584160</v>
      </c>
      <c r="C138" s="308"/>
      <c r="D138" s="324">
        <v>47736330</v>
      </c>
      <c r="E138" s="300">
        <f t="shared" si="9"/>
        <v>0.5643648881776446</v>
      </c>
      <c r="F138" s="306">
        <f>D138-'[5]Jūnijs'!D138</f>
        <v>7107250</v>
      </c>
      <c r="G138" s="321" t="s">
        <v>358</v>
      </c>
      <c r="H138" s="325">
        <f>ROUND(B138/1000,0)</f>
        <v>84584</v>
      </c>
      <c r="I138" s="325">
        <f>ROUND(C138/1000,0)</f>
        <v>0</v>
      </c>
      <c r="J138" s="325">
        <f>ROUND(D138/1000,0)</f>
        <v>47736</v>
      </c>
      <c r="K138" s="327">
        <f t="shared" si="10"/>
        <v>0.5643620542892273</v>
      </c>
      <c r="L138" s="302">
        <f>J138-'[5]Jūnijs'!J138</f>
        <v>7107</v>
      </c>
      <c r="M138" s="283"/>
    </row>
    <row r="139" spans="1:13" ht="12.75">
      <c r="A139" s="321"/>
      <c r="B139" s="322"/>
      <c r="C139" s="308"/>
      <c r="D139" s="324"/>
      <c r="E139" s="300" t="str">
        <f t="shared" si="9"/>
        <v> </v>
      </c>
      <c r="F139" s="328"/>
      <c r="G139" s="321"/>
      <c r="H139" s="331"/>
      <c r="I139" s="331"/>
      <c r="J139" s="331"/>
      <c r="K139" s="327" t="str">
        <f t="shared" si="10"/>
        <v> </v>
      </c>
      <c r="L139" s="331"/>
      <c r="M139" s="283"/>
    </row>
    <row r="140" spans="1:13" ht="12.75">
      <c r="A140" s="321" t="s">
        <v>360</v>
      </c>
      <c r="B140" s="322">
        <v>294025</v>
      </c>
      <c r="C140" s="308"/>
      <c r="D140" s="324">
        <v>344826</v>
      </c>
      <c r="E140" s="300">
        <f aca="true" t="shared" si="19" ref="E140:E183">IF(ISERROR(D140/B140)," ",(D140/B140))</f>
        <v>1.1727778250148797</v>
      </c>
      <c r="F140" s="306">
        <f>D140-'[5]Jūnijs'!D140</f>
        <v>71563</v>
      </c>
      <c r="G140" s="321" t="s">
        <v>360</v>
      </c>
      <c r="H140" s="325">
        <f>ROUND(B140/1000,0)</f>
        <v>294</v>
      </c>
      <c r="I140" s="325">
        <f>ROUND(C140/1000,0)</f>
        <v>0</v>
      </c>
      <c r="J140" s="325">
        <f>ROUND(D140/1000,0)</f>
        <v>345</v>
      </c>
      <c r="K140" s="327">
        <f t="shared" si="10"/>
        <v>1.1734693877551021</v>
      </c>
      <c r="L140" s="302">
        <f>J140-'[5]Jūnijs'!J140</f>
        <v>72</v>
      </c>
      <c r="M140" s="283"/>
    </row>
    <row r="141" spans="1:13" ht="12.75">
      <c r="A141" s="299" t="s">
        <v>325</v>
      </c>
      <c r="B141" s="322">
        <f>B142</f>
        <v>95023500</v>
      </c>
      <c r="C141" s="308">
        <f>SUM(C142)</f>
        <v>57971736</v>
      </c>
      <c r="D141" s="324">
        <f>D142</f>
        <v>51585798</v>
      </c>
      <c r="E141" s="300">
        <f t="shared" si="19"/>
        <v>0.542874110088557</v>
      </c>
      <c r="F141" s="328">
        <f>F142</f>
        <v>6655847</v>
      </c>
      <c r="G141" s="299" t="s">
        <v>325</v>
      </c>
      <c r="H141" s="307">
        <f>H142</f>
        <v>95024</v>
      </c>
      <c r="I141" s="307">
        <f>I142</f>
        <v>57972</v>
      </c>
      <c r="J141" s="307">
        <f>J142</f>
        <v>51586</v>
      </c>
      <c r="K141" s="303">
        <f aca="true" t="shared" si="20" ref="K141:K183">IF(ISERROR(ROUND(J141,0)/ROUND(H141,0))," ",(ROUND(J141,)/ROUND(H141,)))</f>
        <v>0.542873379356794</v>
      </c>
      <c r="L141" s="307">
        <f>L142</f>
        <v>6656</v>
      </c>
      <c r="M141" s="283"/>
    </row>
    <row r="142" spans="1:13" ht="12.75">
      <c r="A142" s="299" t="s">
        <v>364</v>
      </c>
      <c r="B142" s="301">
        <v>95023500</v>
      </c>
      <c r="C142" s="308">
        <f>9147308+9128241+9221377+7554069+8507155+7728539+6685047</f>
        <v>57971736</v>
      </c>
      <c r="D142" s="305">
        <v>51585798</v>
      </c>
      <c r="E142" s="300">
        <f t="shared" si="19"/>
        <v>0.542874110088557</v>
      </c>
      <c r="F142" s="306">
        <f>D142-'[5]Jūnijs'!D142</f>
        <v>6655847</v>
      </c>
      <c r="G142" s="321" t="s">
        <v>364</v>
      </c>
      <c r="H142" s="325">
        <f>ROUND(B142/1000,0)</f>
        <v>95024</v>
      </c>
      <c r="I142" s="325">
        <f>ROUND(C142/1000,0)</f>
        <v>57972</v>
      </c>
      <c r="J142" s="325">
        <f>ROUND(D142/1000,0)</f>
        <v>51586</v>
      </c>
      <c r="K142" s="327">
        <f t="shared" si="20"/>
        <v>0.542873379356794</v>
      </c>
      <c r="L142" s="302">
        <f>J142-'[5]Jūnijs'!J142</f>
        <v>6656</v>
      </c>
      <c r="M142" s="283"/>
    </row>
    <row r="143" spans="1:13" ht="12.75">
      <c r="A143" s="299" t="s">
        <v>319</v>
      </c>
      <c r="B143" s="301">
        <f>SUM(B137-B141)</f>
        <v>-10145315</v>
      </c>
      <c r="C143" s="308">
        <f>SUM(C137-C141)</f>
        <v>-9590330</v>
      </c>
      <c r="D143" s="305">
        <f>SUM(D137-D141)</f>
        <v>-3504642</v>
      </c>
      <c r="E143" s="300">
        <f t="shared" si="19"/>
        <v>0.34544437506376097</v>
      </c>
      <c r="F143" s="306">
        <f>D143-'[5]Jūnijs'!D143</f>
        <v>522966</v>
      </c>
      <c r="G143" s="299" t="s">
        <v>319</v>
      </c>
      <c r="H143" s="307">
        <f>SUM(H137-H141)</f>
        <v>-10146</v>
      </c>
      <c r="I143" s="307">
        <f>SUM(I137-I141)</f>
        <v>-9591</v>
      </c>
      <c r="J143" s="307">
        <f>SUM(J137-J141)</f>
        <v>-3505</v>
      </c>
      <c r="K143" s="303">
        <f t="shared" si="20"/>
        <v>0.3454563374728957</v>
      </c>
      <c r="L143" s="302">
        <f>J143-'[5]Jūnijs'!J143</f>
        <v>523</v>
      </c>
      <c r="M143" s="283"/>
    </row>
    <row r="144" spans="1:13" ht="12.75">
      <c r="A144" s="299" t="s">
        <v>320</v>
      </c>
      <c r="B144" s="301">
        <v>10145315</v>
      </c>
      <c r="C144" s="308">
        <v>9590330</v>
      </c>
      <c r="D144" s="305">
        <v>3504868</v>
      </c>
      <c r="E144" s="300">
        <f t="shared" si="19"/>
        <v>0.3454666513558229</v>
      </c>
      <c r="F144" s="306">
        <f>D144-'[5]Jūnijs'!D144</f>
        <v>-522947</v>
      </c>
      <c r="G144" s="299" t="s">
        <v>320</v>
      </c>
      <c r="H144" s="302">
        <f>ROUND(B144/1000,0)</f>
        <v>10145</v>
      </c>
      <c r="I144" s="302">
        <f>ROUND(C144/1000,0)</f>
        <v>9590</v>
      </c>
      <c r="J144" s="302">
        <f>ROUND(D144/1000,0)</f>
        <v>3505</v>
      </c>
      <c r="K144" s="303">
        <f t="shared" si="20"/>
        <v>0.34549038935436177</v>
      </c>
      <c r="L144" s="302">
        <f>J144-'[5]Jūnijs'!J144</f>
        <v>-523</v>
      </c>
      <c r="M144" s="283"/>
    </row>
    <row r="145" spans="1:13" ht="12.75">
      <c r="A145" s="58" t="s">
        <v>368</v>
      </c>
      <c r="B145" s="301"/>
      <c r="C145" s="308"/>
      <c r="D145" s="305"/>
      <c r="E145" s="300" t="str">
        <f t="shared" si="19"/>
        <v> </v>
      </c>
      <c r="F145" s="306"/>
      <c r="G145" s="58" t="s">
        <v>368</v>
      </c>
      <c r="H145" s="307"/>
      <c r="I145" s="307"/>
      <c r="J145" s="307"/>
      <c r="K145" s="303"/>
      <c r="L145" s="307"/>
      <c r="M145" s="283"/>
    </row>
    <row r="146" spans="1:13" ht="12.75">
      <c r="A146" s="299" t="s">
        <v>323</v>
      </c>
      <c r="B146" s="301">
        <f>SUM(B147:B148)</f>
        <v>10125184</v>
      </c>
      <c r="C146" s="308">
        <f>859370+904266+875156+899817+945726+816794+855817</f>
        <v>6156946</v>
      </c>
      <c r="D146" s="305">
        <f>SUM(D147:D148)</f>
        <v>6156946</v>
      </c>
      <c r="E146" s="300">
        <f t="shared" si="19"/>
        <v>0.6080823815152396</v>
      </c>
      <c r="F146" s="306">
        <f>SUM(F147:F148)</f>
        <v>855817</v>
      </c>
      <c r="G146" s="299" t="s">
        <v>323</v>
      </c>
      <c r="H146" s="307">
        <f>SUM(H147:H148)</f>
        <v>10125</v>
      </c>
      <c r="I146" s="302">
        <f aca="true" t="shared" si="21" ref="H146:J148">ROUND(C146/1000,0)</f>
        <v>6157</v>
      </c>
      <c r="J146" s="307">
        <f>SUM(J147:J148)</f>
        <v>6157</v>
      </c>
      <c r="K146" s="303">
        <f t="shared" si="20"/>
        <v>0.6080987654320987</v>
      </c>
      <c r="L146" s="302">
        <f>SUM(L147:L148)</f>
        <v>856</v>
      </c>
      <c r="M146" s="283"/>
    </row>
    <row r="147" spans="1:13" ht="12.75">
      <c r="A147" s="321" t="s">
        <v>359</v>
      </c>
      <c r="B147" s="322">
        <f>280000+1890000</f>
        <v>2170000</v>
      </c>
      <c r="C147" s="323"/>
      <c r="D147" s="324">
        <v>1331630</v>
      </c>
      <c r="E147" s="300">
        <f t="shared" si="19"/>
        <v>0.6136543778801843</v>
      </c>
      <c r="F147" s="306">
        <f>D147-'[5]Jūnijs'!D147</f>
        <v>163829</v>
      </c>
      <c r="G147" s="321" t="s">
        <v>359</v>
      </c>
      <c r="H147" s="325">
        <f t="shared" si="21"/>
        <v>2170</v>
      </c>
      <c r="I147" s="325">
        <f t="shared" si="21"/>
        <v>0</v>
      </c>
      <c r="J147" s="325">
        <f>ROUND(D147/1000,0)</f>
        <v>1332</v>
      </c>
      <c r="K147" s="327">
        <f t="shared" si="20"/>
        <v>0.6138248847926268</v>
      </c>
      <c r="L147" s="302">
        <f>J147-'[5]Jūnijs'!J147</f>
        <v>164</v>
      </c>
      <c r="M147" s="283"/>
    </row>
    <row r="148" spans="1:13" ht="12.75">
      <c r="A148" s="321" t="s">
        <v>360</v>
      </c>
      <c r="B148" s="322">
        <f>10125184-2170000</f>
        <v>7955184</v>
      </c>
      <c r="C148" s="323"/>
      <c r="D148" s="324">
        <f>6156946-1331630</f>
        <v>4825316</v>
      </c>
      <c r="E148" s="300">
        <f t="shared" si="19"/>
        <v>0.6065624629172625</v>
      </c>
      <c r="F148" s="306">
        <f>D148-'[5]Jūnijs'!D148</f>
        <v>691988</v>
      </c>
      <c r="G148" s="321" t="s">
        <v>360</v>
      </c>
      <c r="H148" s="325">
        <f t="shared" si="21"/>
        <v>7955</v>
      </c>
      <c r="I148" s="325">
        <f t="shared" si="21"/>
        <v>0</v>
      </c>
      <c r="J148" s="325">
        <f t="shared" si="21"/>
        <v>4825</v>
      </c>
      <c r="K148" s="327">
        <f t="shared" si="20"/>
        <v>0.606536769327467</v>
      </c>
      <c r="L148" s="302">
        <f>J148-'[5]Jūnijs'!J148</f>
        <v>692</v>
      </c>
      <c r="M148" s="283"/>
    </row>
    <row r="149" spans="1:13" ht="12.75">
      <c r="A149" s="299" t="s">
        <v>325</v>
      </c>
      <c r="B149" s="301">
        <f>SUM(B150:B151)</f>
        <v>14076184</v>
      </c>
      <c r="C149" s="308">
        <f>SUM(C150:C151)</f>
        <v>8554840</v>
      </c>
      <c r="D149" s="305">
        <f>SUM(D150:D151)</f>
        <v>6124978</v>
      </c>
      <c r="E149" s="300">
        <f t="shared" si="19"/>
        <v>0.43513057231988445</v>
      </c>
      <c r="F149" s="306">
        <f>SUM(F150:F151)</f>
        <v>797113</v>
      </c>
      <c r="G149" s="299" t="s">
        <v>325</v>
      </c>
      <c r="H149" s="307">
        <f>SUM(H150:H151)</f>
        <v>14076</v>
      </c>
      <c r="I149" s="307">
        <f>SUM(I150:I151)</f>
        <v>8555</v>
      </c>
      <c r="J149" s="307">
        <f>SUM(J150:J151)</f>
        <v>6125</v>
      </c>
      <c r="K149" s="303">
        <f t="shared" si="20"/>
        <v>0.43513782324524014</v>
      </c>
      <c r="L149" s="307">
        <f>SUM(L150:L151)</f>
        <v>797</v>
      </c>
      <c r="M149" s="283"/>
    </row>
    <row r="150" spans="1:13" ht="12" customHeight="1">
      <c r="A150" s="200" t="s">
        <v>364</v>
      </c>
      <c r="B150" s="301">
        <v>9845184</v>
      </c>
      <c r="C150" s="308">
        <f>826870+874266+850156+807317+905726+796794+835817</f>
        <v>5896946</v>
      </c>
      <c r="D150" s="305">
        <v>5249290</v>
      </c>
      <c r="E150" s="300">
        <f t="shared" si="19"/>
        <v>0.533183534203119</v>
      </c>
      <c r="F150" s="306">
        <f>D150-'[5]Jūnijs'!D150</f>
        <v>608476</v>
      </c>
      <c r="G150" s="332" t="s">
        <v>364</v>
      </c>
      <c r="H150" s="325">
        <f aca="true" t="shared" si="22" ref="H150:J151">ROUND(B150/1000,0)</f>
        <v>9845</v>
      </c>
      <c r="I150" s="325">
        <f t="shared" si="22"/>
        <v>5897</v>
      </c>
      <c r="J150" s="325">
        <f t="shared" si="22"/>
        <v>5249</v>
      </c>
      <c r="K150" s="327">
        <f t="shared" si="20"/>
        <v>0.5331640426612494</v>
      </c>
      <c r="L150" s="302">
        <f>J150-'[5]Jūnijs'!J150</f>
        <v>608</v>
      </c>
      <c r="M150" s="283"/>
    </row>
    <row r="151" spans="1:13" ht="12" customHeight="1">
      <c r="A151" s="200" t="s">
        <v>369</v>
      </c>
      <c r="B151" s="301">
        <v>4231000</v>
      </c>
      <c r="C151" s="308">
        <f>162741+426941+417131+681591+253440+536050+180000</f>
        <v>2657894</v>
      </c>
      <c r="D151" s="305">
        <v>875688</v>
      </c>
      <c r="E151" s="300">
        <f t="shared" si="19"/>
        <v>0.20696951075395886</v>
      </c>
      <c r="F151" s="306">
        <f>D151-'[5]Jūnijs'!D151</f>
        <v>188637</v>
      </c>
      <c r="G151" s="332" t="s">
        <v>369</v>
      </c>
      <c r="H151" s="325">
        <f t="shared" si="22"/>
        <v>4231</v>
      </c>
      <c r="I151" s="325">
        <f t="shared" si="22"/>
        <v>2658</v>
      </c>
      <c r="J151" s="325">
        <f t="shared" si="22"/>
        <v>876</v>
      </c>
      <c r="K151" s="327">
        <f t="shared" si="20"/>
        <v>0.2070432521862444</v>
      </c>
      <c r="L151" s="302">
        <f>J151-'[5]Jūnijs'!J151</f>
        <v>189</v>
      </c>
      <c r="M151" s="283"/>
    </row>
    <row r="152" spans="1:13" ht="12.75">
      <c r="A152" s="299" t="s">
        <v>319</v>
      </c>
      <c r="B152" s="301">
        <f>SUM(B146-B149)</f>
        <v>-3951000</v>
      </c>
      <c r="C152" s="308">
        <f>SUM(C146-C149)</f>
        <v>-2397894</v>
      </c>
      <c r="D152" s="305">
        <f>SUM(D146-D149)</f>
        <v>31968</v>
      </c>
      <c r="E152" s="300">
        <f t="shared" si="19"/>
        <v>-0.008091116173120728</v>
      </c>
      <c r="F152" s="306">
        <f>D152-'[5]Jūnijs'!D152</f>
        <v>58704</v>
      </c>
      <c r="G152" s="299" t="s">
        <v>319</v>
      </c>
      <c r="H152" s="307">
        <f>SUM(H146-H149)</f>
        <v>-3951</v>
      </c>
      <c r="I152" s="307">
        <f>SUM(I146-I149)</f>
        <v>-2398</v>
      </c>
      <c r="J152" s="307">
        <f>SUM(J146-J149)</f>
        <v>32</v>
      </c>
      <c r="K152" s="303">
        <f t="shared" si="20"/>
        <v>-0.008099215388509239</v>
      </c>
      <c r="L152" s="302">
        <f>J152-'[5]Jūnijs'!J152</f>
        <v>59</v>
      </c>
      <c r="M152" s="283"/>
    </row>
    <row r="153" spans="1:13" ht="12.75">
      <c r="A153" s="299" t="s">
        <v>320</v>
      </c>
      <c r="B153" s="301">
        <v>3951000</v>
      </c>
      <c r="C153" s="308">
        <v>2397894</v>
      </c>
      <c r="D153" s="305">
        <v>708946</v>
      </c>
      <c r="E153" s="300">
        <f t="shared" si="19"/>
        <v>0.1794345735256897</v>
      </c>
      <c r="F153" s="306">
        <f>D153-'[5]Jūnijs'!D153</f>
        <v>75168</v>
      </c>
      <c r="G153" s="299" t="s">
        <v>320</v>
      </c>
      <c r="H153" s="302">
        <f>ROUND(B153/1000,0)</f>
        <v>3951</v>
      </c>
      <c r="I153" s="302">
        <f>ROUND(C153/1000,0)</f>
        <v>2398</v>
      </c>
      <c r="J153" s="302">
        <f>ROUND(D153/1000,0)</f>
        <v>709</v>
      </c>
      <c r="K153" s="303">
        <f t="shared" si="20"/>
        <v>0.17944824095165782</v>
      </c>
      <c r="L153" s="302">
        <f>J153-'[5]Jūnijs'!J153</f>
        <v>75</v>
      </c>
      <c r="M153" s="283"/>
    </row>
    <row r="154" spans="1:13" ht="12" customHeight="1">
      <c r="A154" s="69" t="s">
        <v>93</v>
      </c>
      <c r="B154" s="6"/>
      <c r="C154" s="145"/>
      <c r="D154" s="120"/>
      <c r="E154" s="300" t="str">
        <f t="shared" si="19"/>
        <v> </v>
      </c>
      <c r="F154" s="298"/>
      <c r="G154" s="69" t="s">
        <v>93</v>
      </c>
      <c r="H154" s="293"/>
      <c r="I154" s="293"/>
      <c r="J154" s="293"/>
      <c r="K154" s="303"/>
      <c r="L154" s="293"/>
      <c r="M154" s="283"/>
    </row>
    <row r="155" spans="1:13" ht="12.75">
      <c r="A155" s="58" t="s">
        <v>370</v>
      </c>
      <c r="B155" s="301"/>
      <c r="C155" s="308"/>
      <c r="D155" s="305"/>
      <c r="E155" s="300" t="str">
        <f t="shared" si="19"/>
        <v> </v>
      </c>
      <c r="F155" s="306"/>
      <c r="G155" s="58" t="s">
        <v>370</v>
      </c>
      <c r="H155" s="307"/>
      <c r="I155" s="307"/>
      <c r="J155" s="307"/>
      <c r="K155" s="303"/>
      <c r="L155" s="307"/>
      <c r="M155" s="283"/>
    </row>
    <row r="156" spans="1:13" ht="12.75">
      <c r="A156" s="299" t="s">
        <v>323</v>
      </c>
      <c r="B156" s="301">
        <f>SUM(B157:B159)</f>
        <v>8568100</v>
      </c>
      <c r="C156" s="305">
        <v>5496879</v>
      </c>
      <c r="D156" s="305">
        <f>SUM(D157:D159)</f>
        <v>4733617</v>
      </c>
      <c r="E156" s="300">
        <f t="shared" si="19"/>
        <v>0.5524698591286283</v>
      </c>
      <c r="F156" s="306">
        <f>SUM(F157:F159)</f>
        <v>586505</v>
      </c>
      <c r="G156" s="299" t="s">
        <v>323</v>
      </c>
      <c r="H156" s="307">
        <f>SUM(H157:H159)</f>
        <v>8568</v>
      </c>
      <c r="I156" s="302">
        <f>ROUND(C156/1000,0)</f>
        <v>5497</v>
      </c>
      <c r="J156" s="307">
        <f>SUM(J157:J159)</f>
        <v>4733</v>
      </c>
      <c r="K156" s="303">
        <f t="shared" si="20"/>
        <v>0.5524042950513539</v>
      </c>
      <c r="L156" s="307">
        <f>SUM(L157:L159)</f>
        <v>585</v>
      </c>
      <c r="M156" s="283"/>
    </row>
    <row r="157" spans="1:13" ht="12.75">
      <c r="A157" s="299" t="s">
        <v>371</v>
      </c>
      <c r="B157" s="301">
        <v>8000000</v>
      </c>
      <c r="C157" s="308"/>
      <c r="D157" s="305">
        <v>4476958</v>
      </c>
      <c r="E157" s="300">
        <f t="shared" si="19"/>
        <v>0.55961975</v>
      </c>
      <c r="F157" s="306">
        <f>D157-'[5]Jūnijs'!D157</f>
        <v>569219</v>
      </c>
      <c r="G157" s="299" t="s">
        <v>371</v>
      </c>
      <c r="H157" s="302">
        <f>ROUND(B157/1000,0)</f>
        <v>8000</v>
      </c>
      <c r="I157" s="302">
        <f>ROUND(C157/1000,0)</f>
        <v>0</v>
      </c>
      <c r="J157" s="302">
        <f>ROUND(D157/1000,0)</f>
        <v>4477</v>
      </c>
      <c r="K157" s="303">
        <f t="shared" si="20"/>
        <v>0.559625</v>
      </c>
      <c r="L157" s="302">
        <f>J157-'[5]Jūnijs'!J157</f>
        <v>569</v>
      </c>
      <c r="M157" s="283"/>
    </row>
    <row r="158" spans="1:13" ht="12.75">
      <c r="A158" s="299" t="s">
        <v>372</v>
      </c>
      <c r="B158" s="301">
        <v>350000</v>
      </c>
      <c r="C158" s="308"/>
      <c r="D158" s="305">
        <v>197053</v>
      </c>
      <c r="E158" s="300">
        <f t="shared" si="19"/>
        <v>0.5630085714285714</v>
      </c>
      <c r="F158" s="306">
        <f>D158-'[5]Jūnijs'!D158</f>
        <v>514</v>
      </c>
      <c r="G158" s="299" t="s">
        <v>372</v>
      </c>
      <c r="H158" s="302">
        <f>ROUND(B158/1000,0)</f>
        <v>350</v>
      </c>
      <c r="I158" s="302">
        <f>ROUND(C158/1000,0)</f>
        <v>0</v>
      </c>
      <c r="J158" s="302">
        <f>ROUND(D158/1000,0)</f>
        <v>197</v>
      </c>
      <c r="K158" s="303">
        <f t="shared" si="20"/>
        <v>0.5628571428571428</v>
      </c>
      <c r="L158" s="302">
        <f>J158-'[5]Jūnijs'!J158</f>
        <v>0</v>
      </c>
      <c r="M158" s="283"/>
    </row>
    <row r="159" spans="1:13" ht="12.75">
      <c r="A159" s="299" t="s">
        <v>251</v>
      </c>
      <c r="B159" s="301">
        <f>150000+68100</f>
        <v>218100</v>
      </c>
      <c r="C159" s="308"/>
      <c r="D159" s="305">
        <f>33184+26422</f>
        <v>59606</v>
      </c>
      <c r="E159" s="300">
        <f t="shared" si="19"/>
        <v>0.2732966529115085</v>
      </c>
      <c r="F159" s="306">
        <f>D159-'[5]Jūnijs'!D159</f>
        <v>16772</v>
      </c>
      <c r="G159" s="299" t="s">
        <v>251</v>
      </c>
      <c r="H159" s="302">
        <f>ROUND(B159/1000,0)</f>
        <v>218</v>
      </c>
      <c r="I159" s="302">
        <f>ROUND(C159/1000,0)</f>
        <v>0</v>
      </c>
      <c r="J159" s="302">
        <f>ROUND(D159/1000,0)-1</f>
        <v>59</v>
      </c>
      <c r="K159" s="303">
        <f t="shared" si="20"/>
        <v>0.2706422018348624</v>
      </c>
      <c r="L159" s="302">
        <f>J159-'[5]Jūnijs'!J159</f>
        <v>16</v>
      </c>
      <c r="M159" s="283"/>
    </row>
    <row r="160" spans="1:13" ht="12.75">
      <c r="A160" s="299" t="s">
        <v>325</v>
      </c>
      <c r="B160" s="301">
        <f>SUM(B161:B162)</f>
        <v>8563245</v>
      </c>
      <c r="C160" s="308">
        <f>SUM(C161:C162)</f>
        <v>5492024</v>
      </c>
      <c r="D160" s="305">
        <f>SUM(D161:D162)</f>
        <v>3873771</v>
      </c>
      <c r="E160" s="300">
        <f t="shared" si="19"/>
        <v>0.45237185202572155</v>
      </c>
      <c r="F160" s="306">
        <f>SUM(F161:F162)</f>
        <v>668227</v>
      </c>
      <c r="G160" s="299" t="s">
        <v>325</v>
      </c>
      <c r="H160" s="307">
        <f>SUM(H161:H162)</f>
        <v>8563</v>
      </c>
      <c r="I160" s="307">
        <f>SUM(I161:I162)</f>
        <v>5492</v>
      </c>
      <c r="J160" s="307">
        <f>SUM(J161:J162)</f>
        <v>3874</v>
      </c>
      <c r="K160" s="303">
        <f t="shared" si="20"/>
        <v>0.4524115380123788</v>
      </c>
      <c r="L160" s="307">
        <f>SUM(L161:L162)</f>
        <v>669</v>
      </c>
      <c r="M160" s="283"/>
    </row>
    <row r="161" spans="1:13" ht="12.75">
      <c r="A161" s="299" t="s">
        <v>326</v>
      </c>
      <c r="B161" s="301">
        <v>3815245</v>
      </c>
      <c r="C161" s="308">
        <v>2607574</v>
      </c>
      <c r="D161" s="305">
        <v>2234691</v>
      </c>
      <c r="E161" s="300">
        <f t="shared" si="19"/>
        <v>0.5857267357666415</v>
      </c>
      <c r="F161" s="306">
        <f>D161-'[5]Jūnijs'!D161</f>
        <v>374387</v>
      </c>
      <c r="G161" s="299" t="s">
        <v>326</v>
      </c>
      <c r="H161" s="302">
        <f aca="true" t="shared" si="23" ref="H161:J162">ROUND(B161/1000,0)</f>
        <v>3815</v>
      </c>
      <c r="I161" s="302">
        <f t="shared" si="23"/>
        <v>2608</v>
      </c>
      <c r="J161" s="302">
        <f>ROUND(D161/1000,0)</f>
        <v>2235</v>
      </c>
      <c r="K161" s="303">
        <f t="shared" si="20"/>
        <v>0.5858453473132372</v>
      </c>
      <c r="L161" s="302">
        <f>J161-'[5]Jūnijs'!J161</f>
        <v>375</v>
      </c>
      <c r="M161" s="283"/>
    </row>
    <row r="162" spans="1:13" ht="12.75">
      <c r="A162" s="299" t="s">
        <v>316</v>
      </c>
      <c r="B162" s="301">
        <v>4748000</v>
      </c>
      <c r="C162" s="308">
        <v>2884450</v>
      </c>
      <c r="D162" s="305">
        <v>1639080</v>
      </c>
      <c r="E162" s="300">
        <f t="shared" si="19"/>
        <v>0.34521482729570346</v>
      </c>
      <c r="F162" s="306">
        <f>D162-'[5]Jūnijs'!D162</f>
        <v>293840</v>
      </c>
      <c r="G162" s="299" t="s">
        <v>316</v>
      </c>
      <c r="H162" s="302">
        <f t="shared" si="23"/>
        <v>4748</v>
      </c>
      <c r="I162" s="302">
        <f t="shared" si="23"/>
        <v>2884</v>
      </c>
      <c r="J162" s="302">
        <f t="shared" si="23"/>
        <v>1639</v>
      </c>
      <c r="K162" s="303">
        <f t="shared" si="20"/>
        <v>0.3451979780960404</v>
      </c>
      <c r="L162" s="302">
        <f>J162-'[5]Jūnijs'!J162</f>
        <v>294</v>
      </c>
      <c r="M162" s="283"/>
    </row>
    <row r="163" spans="1:13" ht="12.75">
      <c r="A163" s="58" t="s">
        <v>373</v>
      </c>
      <c r="B163" s="301"/>
      <c r="C163" s="308"/>
      <c r="D163" s="305"/>
      <c r="E163" s="300" t="str">
        <f t="shared" si="19"/>
        <v> </v>
      </c>
      <c r="F163" s="306"/>
      <c r="G163" s="58" t="s">
        <v>373</v>
      </c>
      <c r="H163" s="307"/>
      <c r="I163" s="307"/>
      <c r="J163" s="307"/>
      <c r="K163" s="303"/>
      <c r="L163" s="307"/>
      <c r="M163" s="283"/>
    </row>
    <row r="164" spans="1:13" ht="12.75">
      <c r="A164" s="299" t="s">
        <v>323</v>
      </c>
      <c r="B164" s="301">
        <v>228000</v>
      </c>
      <c r="C164" s="308">
        <v>228000</v>
      </c>
      <c r="D164" s="305">
        <v>443708.9</v>
      </c>
      <c r="E164" s="300">
        <f t="shared" si="19"/>
        <v>1.9460916666666668</v>
      </c>
      <c r="F164" s="306">
        <f>D164-'[5]Jūnijs'!D164</f>
        <v>-0.09999999997671694</v>
      </c>
      <c r="G164" s="299" t="s">
        <v>323</v>
      </c>
      <c r="H164" s="302">
        <f>ROUND(B164/1000,0)</f>
        <v>228</v>
      </c>
      <c r="I164" s="302">
        <f>ROUND(C164/1000,0)</f>
        <v>228</v>
      </c>
      <c r="J164" s="302">
        <f>ROUND(D164/1000,0)</f>
        <v>444</v>
      </c>
      <c r="K164" s="303">
        <f t="shared" si="20"/>
        <v>1.9473684210526316</v>
      </c>
      <c r="L164" s="302">
        <f>J164-'[5]Jūnijs'!J164</f>
        <v>0</v>
      </c>
      <c r="M164" s="283"/>
    </row>
    <row r="165" spans="1:13" ht="12.75">
      <c r="A165" s="299" t="s">
        <v>325</v>
      </c>
      <c r="B165" s="301">
        <f>SUM(B166:B167)</f>
        <v>228000</v>
      </c>
      <c r="C165" s="308">
        <f>SUM(C166:C167)</f>
        <v>355337</v>
      </c>
      <c r="D165" s="305">
        <f>SUM(D166:D167)</f>
        <v>304256.61</v>
      </c>
      <c r="E165" s="300">
        <f t="shared" si="19"/>
        <v>1.3344588157894737</v>
      </c>
      <c r="F165" s="306">
        <f>SUM(F166:F167)</f>
        <v>3526.6100000000006</v>
      </c>
      <c r="G165" s="299" t="s">
        <v>325</v>
      </c>
      <c r="H165" s="307">
        <f>SUM(H166:H167)</f>
        <v>228</v>
      </c>
      <c r="I165" s="307">
        <f>SUM(I166:I167)</f>
        <v>356</v>
      </c>
      <c r="J165" s="307">
        <f>SUM(J166:J167)</f>
        <v>304</v>
      </c>
      <c r="K165" s="303">
        <f t="shared" si="20"/>
        <v>1.3333333333333333</v>
      </c>
      <c r="L165" s="307">
        <f>SUM(L166:L167)</f>
        <v>4</v>
      </c>
      <c r="M165" s="283"/>
    </row>
    <row r="166" spans="1:13" ht="12.75">
      <c r="A166" s="299" t="s">
        <v>326</v>
      </c>
      <c r="B166" s="301">
        <v>63556</v>
      </c>
      <c r="C166" s="308">
        <v>63556</v>
      </c>
      <c r="D166" s="305">
        <v>58812.61</v>
      </c>
      <c r="E166" s="300">
        <f t="shared" si="19"/>
        <v>0.9253667631694883</v>
      </c>
      <c r="F166" s="306">
        <f>D166-'[5]Jūnijs'!D166</f>
        <v>3526.6100000000006</v>
      </c>
      <c r="G166" s="299" t="s">
        <v>326</v>
      </c>
      <c r="H166" s="302">
        <f aca="true" t="shared" si="24" ref="H166:J167">ROUND(B166/1000,0)</f>
        <v>64</v>
      </c>
      <c r="I166" s="302">
        <f t="shared" si="24"/>
        <v>64</v>
      </c>
      <c r="J166" s="302">
        <f t="shared" si="24"/>
        <v>59</v>
      </c>
      <c r="K166" s="303">
        <f t="shared" si="20"/>
        <v>0.921875</v>
      </c>
      <c r="L166" s="302">
        <f>J166-'[5]Jūnijs'!J166</f>
        <v>4</v>
      </c>
      <c r="M166" s="283"/>
    </row>
    <row r="167" spans="1:13" ht="17.25" customHeight="1">
      <c r="A167" s="299" t="s">
        <v>316</v>
      </c>
      <c r="B167" s="301">
        <v>164444</v>
      </c>
      <c r="C167" s="308">
        <v>291781</v>
      </c>
      <c r="D167" s="305">
        <v>245444</v>
      </c>
      <c r="E167" s="300">
        <f t="shared" si="19"/>
        <v>1.4925688988348618</v>
      </c>
      <c r="F167" s="306">
        <f>D167-'[5]Jūnijs'!D167</f>
        <v>0</v>
      </c>
      <c r="G167" s="299" t="s">
        <v>316</v>
      </c>
      <c r="H167" s="302">
        <f t="shared" si="24"/>
        <v>164</v>
      </c>
      <c r="I167" s="302">
        <f>ROUND(C167/1000,0)</f>
        <v>292</v>
      </c>
      <c r="J167" s="302">
        <f>ROUND(D167/1000,0)</f>
        <v>245</v>
      </c>
      <c r="K167" s="303">
        <f t="shared" si="20"/>
        <v>1.4939024390243902</v>
      </c>
      <c r="L167" s="302">
        <f>J167-'[5]Jūnijs'!J167</f>
        <v>0</v>
      </c>
      <c r="M167" s="283"/>
    </row>
    <row r="168" spans="1:13" ht="31.5" customHeight="1">
      <c r="A168" s="26" t="s">
        <v>94</v>
      </c>
      <c r="B168" s="6"/>
      <c r="C168" s="308"/>
      <c r="D168" s="120"/>
      <c r="E168" s="300" t="str">
        <f t="shared" si="19"/>
        <v> </v>
      </c>
      <c r="F168" s="298"/>
      <c r="G168" s="26" t="s">
        <v>94</v>
      </c>
      <c r="H168" s="293"/>
      <c r="I168" s="293"/>
      <c r="J168" s="293"/>
      <c r="K168" s="303"/>
      <c r="L168" s="293"/>
      <c r="M168" s="283"/>
    </row>
    <row r="169" spans="1:13" ht="12.75">
      <c r="A169" s="58" t="s">
        <v>374</v>
      </c>
      <c r="B169" s="301"/>
      <c r="C169" s="308"/>
      <c r="D169" s="305"/>
      <c r="E169" s="300" t="str">
        <f t="shared" si="19"/>
        <v> </v>
      </c>
      <c r="F169" s="306"/>
      <c r="G169" s="58" t="s">
        <v>374</v>
      </c>
      <c r="H169" s="307"/>
      <c r="I169" s="307"/>
      <c r="J169" s="307"/>
      <c r="K169" s="303"/>
      <c r="L169" s="307"/>
      <c r="M169" s="283"/>
    </row>
    <row r="170" spans="1:13" ht="12.75">
      <c r="A170" s="299" t="s">
        <v>323</v>
      </c>
      <c r="B170" s="301">
        <f>SUM(B171:B173)</f>
        <v>2400000</v>
      </c>
      <c r="C170" s="308">
        <v>1244000</v>
      </c>
      <c r="D170" s="308">
        <f>SUM(D171:D173)</f>
        <v>1060915</v>
      </c>
      <c r="E170" s="300">
        <f>IF(ISERROR(D170/B170)," ",(D170/B170))</f>
        <v>0.44204791666666665</v>
      </c>
      <c r="F170" s="306">
        <f>SUM(F171:F173)</f>
        <v>165147</v>
      </c>
      <c r="G170" s="299" t="s">
        <v>323</v>
      </c>
      <c r="H170" s="307">
        <f>SUM(H171:H173)</f>
        <v>2400</v>
      </c>
      <c r="I170" s="307">
        <f>ROUND(C170/1000,0)</f>
        <v>1244</v>
      </c>
      <c r="J170" s="307">
        <f>SUM(J171:J173)</f>
        <v>1061</v>
      </c>
      <c r="K170" s="303">
        <f t="shared" si="20"/>
        <v>0.44208333333333333</v>
      </c>
      <c r="L170" s="307">
        <f>SUM(L171:L173)</f>
        <v>165</v>
      </c>
      <c r="M170" s="283"/>
    </row>
    <row r="171" spans="1:13" ht="29.25" customHeight="1">
      <c r="A171" s="200" t="s">
        <v>375</v>
      </c>
      <c r="B171" s="301">
        <v>1578000</v>
      </c>
      <c r="C171" s="308"/>
      <c r="D171" s="305">
        <v>748172</v>
      </c>
      <c r="E171" s="300">
        <f t="shared" si="19"/>
        <v>0.47412674271229405</v>
      </c>
      <c r="F171" s="306">
        <f>D171-'[5]Jūnijs'!D171</f>
        <v>119439</v>
      </c>
      <c r="G171" s="200" t="s">
        <v>375</v>
      </c>
      <c r="H171" s="302">
        <f aca="true" t="shared" si="25" ref="H171:J173">ROUND(B171/1000,0)</f>
        <v>1578</v>
      </c>
      <c r="I171" s="302">
        <f t="shared" si="25"/>
        <v>0</v>
      </c>
      <c r="J171" s="302">
        <f t="shared" si="25"/>
        <v>748</v>
      </c>
      <c r="K171" s="303">
        <f t="shared" si="20"/>
        <v>0.4740177439797212</v>
      </c>
      <c r="L171" s="302">
        <f>J171-'[5]Jūnijs'!J171</f>
        <v>119</v>
      </c>
      <c r="M171" s="283"/>
    </row>
    <row r="172" spans="1:13" ht="27.75" customHeight="1">
      <c r="A172" s="200" t="s">
        <v>376</v>
      </c>
      <c r="B172" s="301">
        <v>618000</v>
      </c>
      <c r="C172" s="308"/>
      <c r="D172" s="305">
        <v>312743</v>
      </c>
      <c r="E172" s="300">
        <f>IF(ISERROR(D172/B172)," ",(D172/B172))</f>
        <v>0.5060566343042071</v>
      </c>
      <c r="F172" s="306">
        <f>D172-'[5]Jūnijs'!D172</f>
        <v>45708</v>
      </c>
      <c r="G172" s="200" t="s">
        <v>376</v>
      </c>
      <c r="H172" s="302">
        <f t="shared" si="25"/>
        <v>618</v>
      </c>
      <c r="I172" s="302">
        <f t="shared" si="25"/>
        <v>0</v>
      </c>
      <c r="J172" s="302">
        <f t="shared" si="25"/>
        <v>313</v>
      </c>
      <c r="K172" s="303">
        <f>IF(ISERROR(ROUND(J172,0)/ROUND(H172,0))," ",(ROUND(J172,)/ROUND(H172,)))</f>
        <v>0.5064724919093851</v>
      </c>
      <c r="L172" s="302">
        <f>J172-'[5]Jūnijs'!J172</f>
        <v>46</v>
      </c>
      <c r="M172" s="283"/>
    </row>
    <row r="173" spans="1:13" ht="12.75">
      <c r="A173" s="299" t="s">
        <v>356</v>
      </c>
      <c r="B173" s="301">
        <v>204000</v>
      </c>
      <c r="C173" s="308"/>
      <c r="D173" s="305">
        <v>0</v>
      </c>
      <c r="E173" s="300">
        <f t="shared" si="19"/>
        <v>0</v>
      </c>
      <c r="F173" s="306">
        <f>D173-'[5]Jūnijs'!D173</f>
        <v>0</v>
      </c>
      <c r="G173" s="299" t="s">
        <v>356</v>
      </c>
      <c r="H173" s="302">
        <f t="shared" si="25"/>
        <v>204</v>
      </c>
      <c r="I173" s="302">
        <f t="shared" si="25"/>
        <v>0</v>
      </c>
      <c r="J173" s="302">
        <f t="shared" si="25"/>
        <v>0</v>
      </c>
      <c r="K173" s="303">
        <f t="shared" si="20"/>
        <v>0</v>
      </c>
      <c r="L173" s="302">
        <f>J173-'[5]Jūnijs'!J173</f>
        <v>0</v>
      </c>
      <c r="M173" s="283"/>
    </row>
    <row r="174" spans="1:13" ht="12.75">
      <c r="A174" s="299" t="s">
        <v>325</v>
      </c>
      <c r="B174" s="301">
        <f>B175</f>
        <v>2400000</v>
      </c>
      <c r="C174" s="308">
        <f>SUM(C175)</f>
        <v>1244000</v>
      </c>
      <c r="D174" s="305">
        <f>D175</f>
        <v>1220000</v>
      </c>
      <c r="E174" s="300">
        <f t="shared" si="19"/>
        <v>0.5083333333333333</v>
      </c>
      <c r="F174" s="306">
        <f>F175</f>
        <v>163000</v>
      </c>
      <c r="G174" s="299" t="s">
        <v>325</v>
      </c>
      <c r="H174" s="307">
        <f>H175</f>
        <v>2400</v>
      </c>
      <c r="I174" s="307">
        <f>I175</f>
        <v>1244</v>
      </c>
      <c r="J174" s="307">
        <f>J175</f>
        <v>1220</v>
      </c>
      <c r="K174" s="303">
        <f t="shared" si="20"/>
        <v>0.5083333333333333</v>
      </c>
      <c r="L174" s="307">
        <f>L175</f>
        <v>163</v>
      </c>
      <c r="M174" s="283"/>
    </row>
    <row r="175" spans="1:13" ht="12.75">
      <c r="A175" s="299" t="s">
        <v>326</v>
      </c>
      <c r="B175" s="301">
        <v>2400000</v>
      </c>
      <c r="C175" s="308">
        <v>1244000</v>
      </c>
      <c r="D175" s="305">
        <v>1220000</v>
      </c>
      <c r="E175" s="300">
        <f t="shared" si="19"/>
        <v>0.5083333333333333</v>
      </c>
      <c r="F175" s="306">
        <f>D175-'[5]Jūnijs'!D175</f>
        <v>163000</v>
      </c>
      <c r="G175" s="299" t="s">
        <v>326</v>
      </c>
      <c r="H175" s="302">
        <f>ROUND(B175/1000,0)</f>
        <v>2400</v>
      </c>
      <c r="I175" s="302">
        <f>ROUND(C175/1000,0)</f>
        <v>1244</v>
      </c>
      <c r="J175" s="302">
        <f>ROUND(D175/1000,0)</f>
        <v>1220</v>
      </c>
      <c r="K175" s="303">
        <f t="shared" si="20"/>
        <v>0.5083333333333333</v>
      </c>
      <c r="L175" s="302">
        <f>J175-'[5]Jūnijs'!J175</f>
        <v>163</v>
      </c>
      <c r="M175" s="283"/>
    </row>
    <row r="176" spans="1:13" ht="12" customHeight="1">
      <c r="A176" s="69" t="s">
        <v>377</v>
      </c>
      <c r="B176" s="299"/>
      <c r="C176" s="308"/>
      <c r="D176" s="305"/>
      <c r="E176" s="300" t="str">
        <f t="shared" si="19"/>
        <v> </v>
      </c>
      <c r="F176" s="333"/>
      <c r="G176" s="69" t="s">
        <v>377</v>
      </c>
      <c r="H176" s="307"/>
      <c r="I176" s="307"/>
      <c r="J176" s="307"/>
      <c r="K176" s="303"/>
      <c r="L176" s="307"/>
      <c r="M176" s="283"/>
    </row>
    <row r="177" spans="1:13" ht="12.75">
      <c r="A177" s="299" t="s">
        <v>323</v>
      </c>
      <c r="B177" s="299">
        <f>B178</f>
        <v>144073</v>
      </c>
      <c r="C177" s="308">
        <v>84042</v>
      </c>
      <c r="D177" s="305">
        <f>D178</f>
        <v>53731</v>
      </c>
      <c r="E177" s="300">
        <f t="shared" si="19"/>
        <v>0.3729428831217508</v>
      </c>
      <c r="F177" s="333">
        <f>F178</f>
        <v>323</v>
      </c>
      <c r="G177" s="299" t="s">
        <v>323</v>
      </c>
      <c r="H177" s="307">
        <f>H178</f>
        <v>144</v>
      </c>
      <c r="I177" s="302">
        <f>ROUND(C177/1000,0)</f>
        <v>84</v>
      </c>
      <c r="J177" s="307">
        <f>J178</f>
        <v>54</v>
      </c>
      <c r="K177" s="303">
        <f t="shared" si="20"/>
        <v>0.375</v>
      </c>
      <c r="L177" s="307">
        <f>L178</f>
        <v>1</v>
      </c>
      <c r="M177" s="283"/>
    </row>
    <row r="178" spans="1:13" ht="12" customHeight="1">
      <c r="A178" s="200" t="s">
        <v>378</v>
      </c>
      <c r="B178" s="299">
        <v>144073</v>
      </c>
      <c r="C178" s="308"/>
      <c r="D178" s="305">
        <v>53731</v>
      </c>
      <c r="E178" s="300">
        <f t="shared" si="19"/>
        <v>0.3729428831217508</v>
      </c>
      <c r="F178" s="306">
        <f>D178-'[5]Jūnijs'!D178</f>
        <v>323</v>
      </c>
      <c r="G178" s="200" t="s">
        <v>378</v>
      </c>
      <c r="H178" s="302">
        <f>ROUND(B178/1000,0)</f>
        <v>144</v>
      </c>
      <c r="I178" s="302">
        <f>ROUND(C178/1000,0)</f>
        <v>0</v>
      </c>
      <c r="J178" s="302">
        <f>ROUND(D178/1000,0)</f>
        <v>54</v>
      </c>
      <c r="K178" s="303">
        <f t="shared" si="20"/>
        <v>0.375</v>
      </c>
      <c r="L178" s="302">
        <f>J178-'[5]Jūnijs'!J178</f>
        <v>1</v>
      </c>
      <c r="M178" s="283"/>
    </row>
    <row r="179" spans="1:13" ht="12.75">
      <c r="A179" s="299" t="s">
        <v>325</v>
      </c>
      <c r="B179" s="301">
        <f>SUM(B180:B181)</f>
        <v>200829</v>
      </c>
      <c r="C179" s="308">
        <f>SUM(C180:C181)</f>
        <v>118264</v>
      </c>
      <c r="D179" s="305">
        <f>SUM(D180:D181)</f>
        <v>115620</v>
      </c>
      <c r="E179" s="300">
        <f t="shared" si="19"/>
        <v>0.575713666850903</v>
      </c>
      <c r="F179" s="306">
        <f>SUM(F180:F181)</f>
        <v>16107</v>
      </c>
      <c r="G179" s="299" t="s">
        <v>325</v>
      </c>
      <c r="H179" s="307">
        <f>SUM(H180:H181)</f>
        <v>201</v>
      </c>
      <c r="I179" s="307">
        <f>SUM(I180:I181)</f>
        <v>119</v>
      </c>
      <c r="J179" s="307">
        <f>SUM(J180:J181)</f>
        <v>116</v>
      </c>
      <c r="K179" s="303">
        <f t="shared" si="20"/>
        <v>0.5771144278606966</v>
      </c>
      <c r="L179" s="307">
        <f>SUM(L180:L181)</f>
        <v>16</v>
      </c>
      <c r="M179" s="283"/>
    </row>
    <row r="180" spans="1:13" ht="12.75">
      <c r="A180" s="299" t="s">
        <v>326</v>
      </c>
      <c r="B180" s="301">
        <v>189219</v>
      </c>
      <c r="C180" s="308">
        <v>106654</v>
      </c>
      <c r="D180" s="305">
        <v>106075</v>
      </c>
      <c r="E180" s="300">
        <f t="shared" si="19"/>
        <v>0.5605938092897648</v>
      </c>
      <c r="F180" s="306">
        <f>D180-'[5]Jūnijs'!D180</f>
        <v>16107</v>
      </c>
      <c r="G180" s="299" t="s">
        <v>326</v>
      </c>
      <c r="H180" s="302">
        <f aca="true" t="shared" si="26" ref="H180:J183">ROUND(B180/1000,0)</f>
        <v>189</v>
      </c>
      <c r="I180" s="302">
        <f t="shared" si="26"/>
        <v>107</v>
      </c>
      <c r="J180" s="302">
        <f t="shared" si="26"/>
        <v>106</v>
      </c>
      <c r="K180" s="303">
        <f t="shared" si="20"/>
        <v>0.5608465608465608</v>
      </c>
      <c r="L180" s="302">
        <f>J180-'[5]Jūnijs'!J180</f>
        <v>16</v>
      </c>
      <c r="M180" s="283"/>
    </row>
    <row r="181" spans="1:13" ht="12.75">
      <c r="A181" s="299" t="s">
        <v>316</v>
      </c>
      <c r="B181" s="301">
        <v>11610</v>
      </c>
      <c r="C181" s="308">
        <v>11610</v>
      </c>
      <c r="D181" s="305">
        <v>9545</v>
      </c>
      <c r="E181" s="300">
        <f t="shared" si="19"/>
        <v>0.82213608957795</v>
      </c>
      <c r="F181" s="306">
        <f>D181-'[5]Jūnijs'!D181</f>
        <v>0</v>
      </c>
      <c r="G181" s="299" t="s">
        <v>316</v>
      </c>
      <c r="H181" s="302">
        <f t="shared" si="26"/>
        <v>12</v>
      </c>
      <c r="I181" s="302">
        <f t="shared" si="26"/>
        <v>12</v>
      </c>
      <c r="J181" s="302">
        <f t="shared" si="26"/>
        <v>10</v>
      </c>
      <c r="K181" s="303">
        <f t="shared" si="20"/>
        <v>0.8333333333333334</v>
      </c>
      <c r="L181" s="302">
        <f>J181-'[5]Jūnijs'!J181</f>
        <v>0</v>
      </c>
      <c r="M181" s="283"/>
    </row>
    <row r="182" spans="1:13" ht="12.75">
      <c r="A182" s="299" t="s">
        <v>319</v>
      </c>
      <c r="B182" s="301">
        <f>SUM(B177-B179)</f>
        <v>-56756</v>
      </c>
      <c r="C182" s="308">
        <f>SUM(C177-C179)</f>
        <v>-34222</v>
      </c>
      <c r="D182" s="305">
        <f>SUM(D177-D179)</f>
        <v>-61889</v>
      </c>
      <c r="E182" s="300">
        <f t="shared" si="19"/>
        <v>1.0904397772922687</v>
      </c>
      <c r="F182" s="306">
        <f>D182-'[5]Jūnijs'!D182</f>
        <v>-15784</v>
      </c>
      <c r="G182" s="299" t="s">
        <v>319</v>
      </c>
      <c r="H182" s="307">
        <f>SUM(H177-H179)</f>
        <v>-57</v>
      </c>
      <c r="I182" s="307">
        <f>SUM(I177-I179)</f>
        <v>-35</v>
      </c>
      <c r="J182" s="307">
        <f>SUM(J177-J179)</f>
        <v>-62</v>
      </c>
      <c r="K182" s="303">
        <f t="shared" si="20"/>
        <v>1.087719298245614</v>
      </c>
      <c r="L182" s="302">
        <f>J182-'[5]Jūnijs'!J182</f>
        <v>-15</v>
      </c>
      <c r="M182" s="283"/>
    </row>
    <row r="183" spans="1:13" ht="12.75">
      <c r="A183" s="299" t="s">
        <v>320</v>
      </c>
      <c r="B183" s="301">
        <f>-B182</f>
        <v>56756</v>
      </c>
      <c r="C183" s="305">
        <v>34222</v>
      </c>
      <c r="D183" s="305">
        <v>34222</v>
      </c>
      <c r="E183" s="300">
        <f t="shared" si="19"/>
        <v>0.60296708718021</v>
      </c>
      <c r="F183" s="306">
        <f>D183-'[5]Jūnijs'!D183</f>
        <v>5257</v>
      </c>
      <c r="G183" s="299" t="s">
        <v>320</v>
      </c>
      <c r="H183" s="307">
        <f>-H182</f>
        <v>57</v>
      </c>
      <c r="I183" s="302">
        <f>ROUND(C183/1000,0)</f>
        <v>34</v>
      </c>
      <c r="J183" s="302">
        <f t="shared" si="26"/>
        <v>34</v>
      </c>
      <c r="K183" s="303">
        <f t="shared" si="20"/>
        <v>0.5964912280701754</v>
      </c>
      <c r="L183" s="302">
        <f>J183-'[5]Jūnijs'!J183</f>
        <v>5</v>
      </c>
      <c r="M183" s="283"/>
    </row>
    <row r="184" spans="1:13" ht="12.75">
      <c r="A184" s="334"/>
      <c r="B184" s="210"/>
      <c r="C184" s="140"/>
      <c r="D184" s="140"/>
      <c r="E184" s="210"/>
      <c r="F184" s="282"/>
      <c r="H184" s="210"/>
      <c r="I184" s="210"/>
      <c r="J184" s="210"/>
      <c r="K184" s="210"/>
      <c r="L184" s="210"/>
      <c r="M184" s="283"/>
    </row>
    <row r="185" spans="1:13" ht="51.75" customHeight="1">
      <c r="A185" s="334"/>
      <c r="B185" s="210"/>
      <c r="C185" s="140"/>
      <c r="D185" s="140"/>
      <c r="E185" s="210"/>
      <c r="F185" s="282"/>
      <c r="G185" s="770" t="s">
        <v>379</v>
      </c>
      <c r="H185" s="509"/>
      <c r="I185" s="509"/>
      <c r="J185" s="509"/>
      <c r="K185" s="210"/>
      <c r="L185" s="282"/>
      <c r="M185" s="283"/>
    </row>
    <row r="186" spans="1:13" ht="12.75">
      <c r="A186" s="210"/>
      <c r="B186" s="210"/>
      <c r="C186" s="140"/>
      <c r="D186" s="140"/>
      <c r="E186" s="210"/>
      <c r="F186" s="282"/>
      <c r="G186" s="210" t="s">
        <v>380</v>
      </c>
      <c r="H186" s="334"/>
      <c r="I186" s="210"/>
      <c r="J186" s="210"/>
      <c r="K186" s="210"/>
      <c r="L186" s="282"/>
      <c r="M186" s="283"/>
    </row>
    <row r="187" spans="1:13" ht="12.75">
      <c r="A187" s="282"/>
      <c r="B187" s="282"/>
      <c r="C187" s="38"/>
      <c r="D187" s="35"/>
      <c r="E187" s="32"/>
      <c r="F187" s="282"/>
      <c r="G187" s="283"/>
      <c r="H187" s="32"/>
      <c r="I187" s="32"/>
      <c r="J187" s="32"/>
      <c r="K187" s="32"/>
      <c r="L187" s="282"/>
      <c r="M187" s="283"/>
    </row>
    <row r="188" spans="1:13" ht="12.75">
      <c r="A188" s="282"/>
      <c r="B188" s="282"/>
      <c r="C188" s="38"/>
      <c r="D188" s="38"/>
      <c r="E188" s="282"/>
      <c r="F188" s="282"/>
      <c r="H188" s="282"/>
      <c r="I188" s="282"/>
      <c r="J188" s="282"/>
      <c r="K188" s="282"/>
      <c r="L188" s="282"/>
      <c r="M188" s="283"/>
    </row>
    <row r="189" spans="1:13" ht="12.75">
      <c r="A189" s="282"/>
      <c r="B189" s="282"/>
      <c r="C189" s="38"/>
      <c r="D189" s="38"/>
      <c r="E189" s="282"/>
      <c r="F189" s="282"/>
      <c r="H189" s="282"/>
      <c r="I189" s="282"/>
      <c r="J189" s="282"/>
      <c r="K189" s="282"/>
      <c r="L189" s="282"/>
      <c r="M189" s="283"/>
    </row>
    <row r="190" spans="1:13" ht="12.75">
      <c r="A190" s="282"/>
      <c r="B190" s="282"/>
      <c r="C190" s="38"/>
      <c r="D190" s="38"/>
      <c r="E190" s="282"/>
      <c r="F190" s="282"/>
      <c r="G190" s="282"/>
      <c r="H190" s="282"/>
      <c r="I190" s="282"/>
      <c r="J190" s="282"/>
      <c r="K190" s="282"/>
      <c r="L190" s="282"/>
      <c r="M190" s="283"/>
    </row>
    <row r="191" spans="1:13" ht="12.75">
      <c r="A191" s="282"/>
      <c r="B191" s="282"/>
      <c r="C191" s="38"/>
      <c r="D191" s="38"/>
      <c r="E191" s="282"/>
      <c r="F191" s="282"/>
      <c r="G191" s="282"/>
      <c r="H191" s="282"/>
      <c r="I191" s="282"/>
      <c r="J191" s="282"/>
      <c r="K191" s="282"/>
      <c r="L191" s="282"/>
      <c r="M191" s="283"/>
    </row>
    <row r="192" spans="1:13" ht="12.75">
      <c r="A192" s="282"/>
      <c r="B192" s="282"/>
      <c r="C192" s="38"/>
      <c r="D192" s="38"/>
      <c r="E192" s="282"/>
      <c r="F192" s="282"/>
      <c r="J192" s="282"/>
      <c r="K192" s="282"/>
      <c r="L192" s="282"/>
      <c r="M192" s="283"/>
    </row>
    <row r="193" spans="1:13" ht="12.75">
      <c r="A193" s="282"/>
      <c r="B193" s="282"/>
      <c r="C193" s="38"/>
      <c r="D193" s="38"/>
      <c r="E193" s="282"/>
      <c r="F193" s="282"/>
      <c r="H193" s="282"/>
      <c r="I193" s="282"/>
      <c r="J193" s="282"/>
      <c r="K193" s="282"/>
      <c r="L193" s="282"/>
      <c r="M193" s="283"/>
    </row>
    <row r="194" spans="1:13" ht="12.75">
      <c r="A194" s="282"/>
      <c r="B194" s="282"/>
      <c r="C194" s="38"/>
      <c r="D194" s="38"/>
      <c r="E194" s="282"/>
      <c r="F194" s="282"/>
      <c r="K194" s="282"/>
      <c r="L194" s="282"/>
      <c r="M194" s="283"/>
    </row>
    <row r="195" spans="1:13" ht="12.75">
      <c r="A195" s="282"/>
      <c r="B195" s="282"/>
      <c r="C195" s="38"/>
      <c r="D195" s="38"/>
      <c r="E195" s="282"/>
      <c r="F195" s="282"/>
      <c r="G195" s="282"/>
      <c r="H195" s="282"/>
      <c r="I195" s="282"/>
      <c r="J195" s="282"/>
      <c r="K195" s="282"/>
      <c r="L195" s="282"/>
      <c r="M195" s="283"/>
    </row>
    <row r="196" spans="1:13" ht="12.75">
      <c r="A196" s="282"/>
      <c r="B196" s="282"/>
      <c r="C196" s="38"/>
      <c r="D196" s="38"/>
      <c r="E196" s="282"/>
      <c r="F196" s="282"/>
      <c r="G196" s="37" t="s">
        <v>381</v>
      </c>
      <c r="H196" s="282"/>
      <c r="I196" s="282"/>
      <c r="J196" s="282"/>
      <c r="K196" s="282"/>
      <c r="L196" s="282"/>
      <c r="M196" s="283"/>
    </row>
    <row r="197" spans="1:13" ht="12.75">
      <c r="A197" s="282"/>
      <c r="B197" s="282"/>
      <c r="C197" s="38"/>
      <c r="D197" s="38"/>
      <c r="E197" s="282"/>
      <c r="F197" s="282"/>
      <c r="H197" s="283"/>
      <c r="I197" s="283"/>
      <c r="J197" s="282"/>
      <c r="K197" s="283"/>
      <c r="L197" s="283"/>
      <c r="M197" s="283"/>
    </row>
    <row r="198" spans="1:13" ht="12.75">
      <c r="A198" s="282"/>
      <c r="B198" s="282"/>
      <c r="C198" s="38"/>
      <c r="D198" s="38"/>
      <c r="E198" s="282"/>
      <c r="F198" s="282"/>
      <c r="H198" s="283"/>
      <c r="I198" s="283"/>
      <c r="J198" s="283"/>
      <c r="K198" s="283"/>
      <c r="L198" s="283"/>
      <c r="M198" s="283"/>
    </row>
    <row r="199" spans="1:13" ht="12.75">
      <c r="A199" s="37"/>
      <c r="B199" s="32"/>
      <c r="C199" s="35"/>
      <c r="D199" s="38"/>
      <c r="E199" s="282"/>
      <c r="F199" s="282"/>
      <c r="G199" s="283"/>
      <c r="H199" s="283"/>
      <c r="I199" s="283"/>
      <c r="J199" s="283"/>
      <c r="K199" s="283"/>
      <c r="L199" s="283"/>
      <c r="M199" s="283"/>
    </row>
    <row r="200" spans="1:13" ht="12.75">
      <c r="A200" s="282"/>
      <c r="B200" s="282"/>
      <c r="C200" s="38"/>
      <c r="D200" s="38"/>
      <c r="E200" s="282"/>
      <c r="F200" s="282"/>
      <c r="H200" s="283"/>
      <c r="I200" s="283"/>
      <c r="J200" s="283"/>
      <c r="K200" s="283"/>
      <c r="L200" s="283"/>
      <c r="M200" s="283"/>
    </row>
    <row r="201" spans="1:13" ht="12.75">
      <c r="A201" s="282"/>
      <c r="B201" s="282"/>
      <c r="C201" s="38"/>
      <c r="D201" s="38"/>
      <c r="E201" s="282"/>
      <c r="F201" s="282"/>
      <c r="H201" s="283"/>
      <c r="I201" s="283"/>
      <c r="J201" s="283"/>
      <c r="K201" s="283"/>
      <c r="L201" s="283"/>
      <c r="M201" s="283"/>
    </row>
    <row r="202" spans="1:13" ht="12.75">
      <c r="A202" s="282"/>
      <c r="B202" s="282"/>
      <c r="C202" s="38"/>
      <c r="D202" s="38"/>
      <c r="E202" s="282"/>
      <c r="F202" s="282"/>
      <c r="H202" s="283"/>
      <c r="I202" s="283"/>
      <c r="J202" s="283"/>
      <c r="K202" s="283"/>
      <c r="L202" s="283"/>
      <c r="M202" s="283"/>
    </row>
    <row r="203" spans="1:13" ht="12.75">
      <c r="A203" s="282"/>
      <c r="B203" s="282"/>
      <c r="C203" s="38"/>
      <c r="D203" s="38"/>
      <c r="E203" s="282"/>
      <c r="F203" s="282"/>
      <c r="H203" s="283"/>
      <c r="I203" s="283"/>
      <c r="J203" s="283"/>
      <c r="K203" s="283"/>
      <c r="L203" s="283"/>
      <c r="M203" s="283"/>
    </row>
    <row r="204" spans="1:13" ht="12.75">
      <c r="A204" s="282"/>
      <c r="B204" s="282"/>
      <c r="C204" s="38"/>
      <c r="D204" s="38"/>
      <c r="E204" s="282"/>
      <c r="F204" s="282"/>
      <c r="H204" s="283"/>
      <c r="I204" s="283"/>
      <c r="J204" s="283"/>
      <c r="K204" s="283"/>
      <c r="L204" s="283"/>
      <c r="M204" s="283"/>
    </row>
    <row r="205" spans="1:13" ht="12.75">
      <c r="A205" s="282"/>
      <c r="B205" s="282"/>
      <c r="C205" s="38"/>
      <c r="D205" s="38"/>
      <c r="E205" s="282"/>
      <c r="F205" s="282"/>
      <c r="H205" s="283"/>
      <c r="I205" s="283"/>
      <c r="J205" s="283"/>
      <c r="K205" s="283"/>
      <c r="L205" s="283"/>
      <c r="M205" s="283"/>
    </row>
    <row r="206" spans="1:13" ht="12.75">
      <c r="A206" s="282"/>
      <c r="B206" s="282"/>
      <c r="C206" s="38"/>
      <c r="D206" s="38"/>
      <c r="E206" s="282"/>
      <c r="F206" s="282"/>
      <c r="H206" s="283"/>
      <c r="I206" s="283"/>
      <c r="J206" s="283"/>
      <c r="K206" s="283"/>
      <c r="L206" s="283"/>
      <c r="M206" s="283"/>
    </row>
    <row r="207" spans="1:13" ht="12.75">
      <c r="A207" s="282"/>
      <c r="B207" s="282"/>
      <c r="C207" s="38"/>
      <c r="D207" s="38"/>
      <c r="E207" s="282"/>
      <c r="F207" s="282"/>
      <c r="G207" s="283"/>
      <c r="H207" s="283"/>
      <c r="I207" s="283"/>
      <c r="J207" s="283"/>
      <c r="K207" s="283"/>
      <c r="L207" s="283"/>
      <c r="M207" s="283"/>
    </row>
    <row r="208" spans="1:13" ht="12.75">
      <c r="A208" s="282"/>
      <c r="B208" s="282"/>
      <c r="C208" s="38"/>
      <c r="D208" s="38"/>
      <c r="E208" s="282"/>
      <c r="F208" s="282"/>
      <c r="G208" s="283"/>
      <c r="H208" s="283"/>
      <c r="I208" s="283"/>
      <c r="J208" s="283"/>
      <c r="K208" s="283"/>
      <c r="L208" s="283"/>
      <c r="M208" s="283"/>
    </row>
    <row r="209" spans="1:13" ht="12.75">
      <c r="A209" s="282"/>
      <c r="B209" s="282"/>
      <c r="C209" s="38"/>
      <c r="D209" s="38"/>
      <c r="E209" s="282"/>
      <c r="F209" s="282"/>
      <c r="G209" s="283"/>
      <c r="H209" s="283"/>
      <c r="I209" s="283"/>
      <c r="J209" s="283"/>
      <c r="K209" s="283"/>
      <c r="L209" s="283"/>
      <c r="M209" s="283"/>
    </row>
    <row r="210" spans="1:13" ht="12.75">
      <c r="A210" s="282"/>
      <c r="B210" s="282"/>
      <c r="C210" s="38"/>
      <c r="D210" s="38"/>
      <c r="E210" s="282"/>
      <c r="F210" s="282"/>
      <c r="G210" s="283"/>
      <c r="H210" s="283"/>
      <c r="I210" s="283"/>
      <c r="J210" s="283"/>
      <c r="K210" s="283"/>
      <c r="L210" s="283"/>
      <c r="M210" s="283"/>
    </row>
    <row r="211" spans="1:13" ht="12.75">
      <c r="A211" s="282"/>
      <c r="B211" s="282"/>
      <c r="C211" s="38"/>
      <c r="D211" s="38"/>
      <c r="E211" s="282"/>
      <c r="F211" s="282"/>
      <c r="H211" s="283"/>
      <c r="I211" s="283"/>
      <c r="J211" s="283"/>
      <c r="K211" s="283"/>
      <c r="L211" s="283"/>
      <c r="M211" s="283"/>
    </row>
    <row r="212" spans="1:13" ht="12.75">
      <c r="A212" s="282"/>
      <c r="B212" s="282"/>
      <c r="C212" s="38"/>
      <c r="D212" s="38"/>
      <c r="E212" s="282"/>
      <c r="F212" s="282"/>
      <c r="H212" s="283"/>
      <c r="I212" s="283"/>
      <c r="J212" s="283"/>
      <c r="K212" s="283"/>
      <c r="L212" s="283"/>
      <c r="M212" s="283"/>
    </row>
    <row r="213" spans="1:13" ht="12.75">
      <c r="A213" s="282"/>
      <c r="B213" s="282"/>
      <c r="C213" s="38"/>
      <c r="D213" s="38"/>
      <c r="E213" s="282"/>
      <c r="F213" s="282"/>
      <c r="G213" s="283"/>
      <c r="H213" s="283"/>
      <c r="I213" s="283"/>
      <c r="J213" s="283"/>
      <c r="K213" s="283"/>
      <c r="L213" s="283"/>
      <c r="M213" s="283"/>
    </row>
    <row r="214" spans="1:13" ht="12.75">
      <c r="A214" s="282"/>
      <c r="B214" s="282"/>
      <c r="C214" s="38"/>
      <c r="D214" s="38"/>
      <c r="E214" s="282"/>
      <c r="F214" s="282"/>
      <c r="H214" s="283"/>
      <c r="I214" s="283"/>
      <c r="J214" s="283"/>
      <c r="K214" s="283"/>
      <c r="L214" s="283"/>
      <c r="M214" s="283"/>
    </row>
    <row r="215" spans="1:13" ht="12.75">
      <c r="A215" s="282"/>
      <c r="B215" s="282"/>
      <c r="C215" s="38"/>
      <c r="D215" s="38"/>
      <c r="E215" s="282"/>
      <c r="F215" s="282"/>
      <c r="H215" s="283"/>
      <c r="I215" s="283"/>
      <c r="J215" s="283"/>
      <c r="K215" s="283"/>
      <c r="L215" s="283"/>
      <c r="M215" s="283"/>
    </row>
    <row r="216" spans="1:13" ht="12.75">
      <c r="A216" s="282"/>
      <c r="B216" s="282"/>
      <c r="C216" s="38"/>
      <c r="D216" s="38"/>
      <c r="E216" s="282"/>
      <c r="F216" s="282"/>
      <c r="G216" s="283"/>
      <c r="H216" s="283"/>
      <c r="I216" s="283"/>
      <c r="J216" s="283"/>
      <c r="K216" s="283"/>
      <c r="L216" s="283"/>
      <c r="M216" s="283"/>
    </row>
    <row r="217" spans="1:13" ht="12.75">
      <c r="A217" s="282"/>
      <c r="B217" s="282"/>
      <c r="C217" s="38"/>
      <c r="D217" s="38"/>
      <c r="E217" s="282"/>
      <c r="F217" s="282"/>
      <c r="G217" s="282" t="s">
        <v>114</v>
      </c>
      <c r="H217" s="283"/>
      <c r="I217" s="283"/>
      <c r="J217" s="283"/>
      <c r="K217" s="283"/>
      <c r="L217" s="283"/>
      <c r="M217" s="283"/>
    </row>
    <row r="218" spans="1:13" ht="12.75">
      <c r="A218" s="282"/>
      <c r="B218" s="282"/>
      <c r="C218" s="38"/>
      <c r="D218" s="38"/>
      <c r="E218" s="282"/>
      <c r="F218" s="282"/>
      <c r="G218" s="282" t="s">
        <v>59</v>
      </c>
      <c r="H218" s="283"/>
      <c r="I218" s="283"/>
      <c r="J218" s="283"/>
      <c r="K218" s="283"/>
      <c r="L218" s="283"/>
      <c r="M218" s="283"/>
    </row>
    <row r="219" spans="1:13" ht="12.75">
      <c r="A219" s="282"/>
      <c r="B219" s="282"/>
      <c r="C219" s="38"/>
      <c r="D219" s="38"/>
      <c r="E219" s="282"/>
      <c r="F219" s="282"/>
      <c r="H219" s="283"/>
      <c r="I219" s="283"/>
      <c r="J219" s="283"/>
      <c r="K219" s="283"/>
      <c r="L219" s="283"/>
      <c r="M219" s="283"/>
    </row>
    <row r="220" spans="1:13" ht="12.75">
      <c r="A220" s="282"/>
      <c r="B220" s="282"/>
      <c r="C220" s="38"/>
      <c r="D220" s="38"/>
      <c r="E220" s="282"/>
      <c r="F220" s="282"/>
      <c r="H220" s="283"/>
      <c r="I220" s="283"/>
      <c r="J220" s="283"/>
      <c r="K220" s="283"/>
      <c r="L220" s="283"/>
      <c r="M220" s="283"/>
    </row>
    <row r="221" spans="1:13" ht="12.75">
      <c r="A221" s="282"/>
      <c r="B221" s="282"/>
      <c r="C221" s="38"/>
      <c r="D221" s="38"/>
      <c r="E221" s="282"/>
      <c r="F221" s="282"/>
      <c r="H221" s="283"/>
      <c r="I221" s="283"/>
      <c r="J221" s="283"/>
      <c r="K221" s="283"/>
      <c r="L221" s="283"/>
      <c r="M221" s="283"/>
    </row>
    <row r="222" spans="1:13" ht="12.75">
      <c r="A222" s="282"/>
      <c r="B222" s="282"/>
      <c r="C222" s="38"/>
      <c r="D222" s="38"/>
      <c r="E222" s="282"/>
      <c r="F222" s="282"/>
      <c r="H222" s="283"/>
      <c r="I222" s="283"/>
      <c r="J222" s="283"/>
      <c r="K222" s="283"/>
      <c r="L222" s="283"/>
      <c r="M222" s="283"/>
    </row>
    <row r="223" spans="1:13" ht="12.75">
      <c r="A223" s="282"/>
      <c r="B223" s="282"/>
      <c r="C223" s="38"/>
      <c r="D223" s="38"/>
      <c r="E223" s="282"/>
      <c r="F223" s="282"/>
      <c r="H223" s="283"/>
      <c r="I223" s="283"/>
      <c r="J223" s="283"/>
      <c r="K223" s="283"/>
      <c r="L223" s="283"/>
      <c r="M223" s="283"/>
    </row>
    <row r="224" spans="1:13" ht="12.75">
      <c r="A224" s="282"/>
      <c r="B224" s="282"/>
      <c r="C224" s="38"/>
      <c r="D224" s="38"/>
      <c r="E224" s="282"/>
      <c r="F224" s="282"/>
      <c r="G224" s="283"/>
      <c r="H224" s="283"/>
      <c r="I224" s="283"/>
      <c r="J224" s="283"/>
      <c r="K224" s="283"/>
      <c r="L224" s="283"/>
      <c r="M224" s="283"/>
    </row>
    <row r="225" spans="1:13" ht="12.75">
      <c r="A225" s="282"/>
      <c r="B225" s="282"/>
      <c r="C225" s="38"/>
      <c r="D225" s="38"/>
      <c r="E225" s="282"/>
      <c r="F225" s="282"/>
      <c r="G225" s="283"/>
      <c r="H225" s="283"/>
      <c r="I225" s="283"/>
      <c r="J225" s="283"/>
      <c r="K225" s="283"/>
      <c r="L225" s="283"/>
      <c r="M225" s="283"/>
    </row>
    <row r="226" spans="1:13" ht="12.75">
      <c r="A226" s="282"/>
      <c r="B226" s="282"/>
      <c r="C226" s="38"/>
      <c r="D226" s="38"/>
      <c r="E226" s="282"/>
      <c r="F226" s="282"/>
      <c r="H226" s="283"/>
      <c r="I226" s="283"/>
      <c r="J226" s="283"/>
      <c r="K226" s="283"/>
      <c r="L226" s="283"/>
      <c r="M226" s="283"/>
    </row>
    <row r="227" spans="1:13" ht="12.75">
      <c r="A227" s="282"/>
      <c r="B227" s="282"/>
      <c r="C227" s="38"/>
      <c r="D227" s="38"/>
      <c r="E227" s="282"/>
      <c r="F227" s="282"/>
      <c r="H227" s="283"/>
      <c r="I227" s="283"/>
      <c r="J227" s="283"/>
      <c r="K227" s="283"/>
      <c r="L227" s="283"/>
      <c r="M227" s="283"/>
    </row>
    <row r="228" spans="1:13" ht="12.75">
      <c r="A228" s="282"/>
      <c r="B228" s="282"/>
      <c r="C228" s="38"/>
      <c r="D228" s="38"/>
      <c r="E228" s="282"/>
      <c r="F228" s="282"/>
      <c r="H228" s="283"/>
      <c r="I228" s="283"/>
      <c r="J228" s="283"/>
      <c r="K228" s="283"/>
      <c r="L228" s="283"/>
      <c r="M228" s="283"/>
    </row>
    <row r="229" spans="1:13" ht="12.75">
      <c r="A229" s="282"/>
      <c r="B229" s="282"/>
      <c r="C229" s="38"/>
      <c r="D229" s="38"/>
      <c r="E229" s="282"/>
      <c r="F229" s="282"/>
      <c r="H229" s="283"/>
      <c r="I229" s="283"/>
      <c r="J229" s="283"/>
      <c r="K229" s="283"/>
      <c r="L229" s="283"/>
      <c r="M229" s="283"/>
    </row>
    <row r="230" spans="1:13" ht="12.75">
      <c r="A230" s="282"/>
      <c r="B230" s="282"/>
      <c r="C230" s="38"/>
      <c r="D230" s="38"/>
      <c r="E230" s="282"/>
      <c r="F230" s="282"/>
      <c r="H230" s="283"/>
      <c r="I230" s="283"/>
      <c r="J230" s="283"/>
      <c r="K230" s="283"/>
      <c r="L230" s="283"/>
      <c r="M230" s="283"/>
    </row>
  </sheetData>
  <mergeCells count="6">
    <mergeCell ref="G185:J185"/>
    <mergeCell ref="G2:L2"/>
    <mergeCell ref="A4:F4"/>
    <mergeCell ref="G4:L4"/>
    <mergeCell ref="A5:F5"/>
    <mergeCell ref="G5:L5"/>
  </mergeCells>
  <printOptions/>
  <pageMargins left="0.75" right="0.75" top="0.79" bottom="0.88" header="0.5" footer="0.5"/>
  <pageSetup firstPageNumber="12" useFirstPageNumber="1" horizontalDpi="300" verticalDpi="300" orientation="portrait" paperSize="9" scale="85" r:id="rId1"/>
  <headerFooter alignWithMargins="0">
    <oddFooter>&amp;R&amp;P</oddFooter>
  </headerFooter>
  <rowBreaks count="3" manualBreakCount="3">
    <brk id="55" max="255" man="1"/>
    <brk id="117" max="255" man="1"/>
    <brk id="1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317"/>
  <sheetViews>
    <sheetView zoomScale="75" zoomScaleNormal="75" workbookViewId="0" topLeftCell="H1">
      <selection activeCell="A7" sqref="A7"/>
    </sheetView>
  </sheetViews>
  <sheetFormatPr defaultColWidth="9.140625" defaultRowHeight="12.75"/>
  <cols>
    <col min="1" max="1" width="41.28125" style="287" hidden="1" customWidth="1"/>
    <col min="2" max="2" width="13.00390625" style="287" hidden="1" customWidth="1"/>
    <col min="3" max="3" width="12.7109375" style="287" hidden="1" customWidth="1"/>
    <col min="4" max="4" width="12.8515625" style="338" hidden="1" customWidth="1"/>
    <col min="5" max="5" width="10.7109375" style="287" hidden="1" customWidth="1"/>
    <col min="6" max="6" width="11.8515625" style="287" hidden="1" customWidth="1"/>
    <col min="7" max="7" width="14.57421875" style="287" hidden="1" customWidth="1"/>
    <col min="8" max="8" width="39.421875" style="287" customWidth="1"/>
    <col min="9" max="9" width="11.421875" style="287" customWidth="1"/>
    <col min="10" max="10" width="13.28125" style="287" customWidth="1"/>
    <col min="11" max="11" width="11.140625" style="287" customWidth="1"/>
    <col min="12" max="12" width="10.8515625" style="287" customWidth="1"/>
    <col min="13" max="13" width="11.8515625" style="287" customWidth="1"/>
    <col min="14" max="14" width="10.421875" style="287" customWidth="1"/>
    <col min="15" max="16384" width="9.140625" style="287" customWidth="1"/>
  </cols>
  <sheetData>
    <row r="1" spans="1:14" ht="21" customHeight="1">
      <c r="A1" s="335" t="s">
        <v>117</v>
      </c>
      <c r="B1" s="335"/>
      <c r="C1" s="335"/>
      <c r="D1" s="336"/>
      <c r="E1" s="335"/>
      <c r="F1" s="335"/>
      <c r="G1" s="287" t="s">
        <v>382</v>
      </c>
      <c r="H1" s="335" t="s">
        <v>383</v>
      </c>
      <c r="I1" s="335"/>
      <c r="J1" s="335"/>
      <c r="K1" s="335"/>
      <c r="L1" s="335"/>
      <c r="M1" s="335"/>
      <c r="N1" s="337" t="s">
        <v>382</v>
      </c>
    </row>
    <row r="2" ht="0.75" customHeight="1" hidden="1"/>
    <row r="3" ht="20.25" customHeight="1"/>
    <row r="4" spans="1:14" ht="18.75" customHeight="1">
      <c r="A4" s="339"/>
      <c r="B4" s="339" t="s">
        <v>384</v>
      </c>
      <c r="C4" s="339"/>
      <c r="D4" s="340"/>
      <c r="E4" s="339"/>
      <c r="F4" s="339"/>
      <c r="G4" s="339"/>
      <c r="H4" s="285"/>
      <c r="I4" s="285"/>
      <c r="J4" s="285" t="s">
        <v>385</v>
      </c>
      <c r="K4" s="285"/>
      <c r="L4" s="285"/>
      <c r="M4" s="104"/>
      <c r="N4" s="339"/>
    </row>
    <row r="5" spans="1:14" ht="20.25" customHeight="1">
      <c r="A5" s="339"/>
      <c r="B5" s="339" t="s">
        <v>240</v>
      </c>
      <c r="C5" s="339"/>
      <c r="D5" s="340"/>
      <c r="E5" s="339"/>
      <c r="F5" s="339"/>
      <c r="G5" s="339"/>
      <c r="H5" s="285"/>
      <c r="I5" s="285"/>
      <c r="J5" s="285" t="s">
        <v>240</v>
      </c>
      <c r="K5" s="285"/>
      <c r="L5" s="285"/>
      <c r="M5" s="104"/>
      <c r="N5" s="339"/>
    </row>
    <row r="6" spans="1:14" ht="18" customHeight="1">
      <c r="A6" s="285"/>
      <c r="B6" s="285" t="s">
        <v>386</v>
      </c>
      <c r="C6" s="339"/>
      <c r="D6" s="340"/>
      <c r="E6" s="339"/>
      <c r="F6" s="339"/>
      <c r="G6" s="339"/>
      <c r="H6" s="285"/>
      <c r="I6" s="285"/>
      <c r="J6" s="285" t="s">
        <v>386</v>
      </c>
      <c r="K6" s="285"/>
      <c r="L6" s="285"/>
      <c r="M6" s="104"/>
      <c r="N6" s="339"/>
    </row>
    <row r="7" spans="7:14" ht="36" customHeight="1">
      <c r="G7" s="287" t="s">
        <v>387</v>
      </c>
      <c r="N7" s="337" t="s">
        <v>67</v>
      </c>
    </row>
    <row r="8" spans="1:14" s="2" customFormat="1" ht="95.25" customHeight="1">
      <c r="A8" s="51" t="s">
        <v>18</v>
      </c>
      <c r="B8" s="51" t="s">
        <v>68</v>
      </c>
      <c r="C8" s="51" t="s">
        <v>242</v>
      </c>
      <c r="D8" s="341" t="s">
        <v>70</v>
      </c>
      <c r="E8" s="51" t="s">
        <v>243</v>
      </c>
      <c r="F8" s="51" t="s">
        <v>388</v>
      </c>
      <c r="G8" s="51" t="s">
        <v>245</v>
      </c>
      <c r="H8" s="51" t="s">
        <v>18</v>
      </c>
      <c r="I8" s="51" t="s">
        <v>68</v>
      </c>
      <c r="J8" s="51" t="s">
        <v>242</v>
      </c>
      <c r="K8" s="51" t="s">
        <v>70</v>
      </c>
      <c r="L8" s="51" t="s">
        <v>243</v>
      </c>
      <c r="M8" s="51" t="s">
        <v>389</v>
      </c>
      <c r="N8" s="51" t="str">
        <f>G8</f>
        <v>Jūlija  izpilde</v>
      </c>
    </row>
    <row r="9" spans="1:14" ht="14.25">
      <c r="A9" s="342">
        <v>1</v>
      </c>
      <c r="B9" s="342">
        <v>2</v>
      </c>
      <c r="C9" s="342">
        <v>3</v>
      </c>
      <c r="D9" s="343">
        <v>4</v>
      </c>
      <c r="E9" s="342">
        <v>5</v>
      </c>
      <c r="F9" s="342">
        <v>6</v>
      </c>
      <c r="G9" s="344">
        <v>7</v>
      </c>
      <c r="H9" s="342">
        <v>1</v>
      </c>
      <c r="I9" s="342">
        <v>2</v>
      </c>
      <c r="J9" s="342">
        <v>3</v>
      </c>
      <c r="K9" s="342">
        <v>4</v>
      </c>
      <c r="L9" s="342">
        <v>5</v>
      </c>
      <c r="M9" s="342">
        <v>6</v>
      </c>
      <c r="N9" s="342">
        <v>7</v>
      </c>
    </row>
    <row r="10" spans="1:14" ht="18.75" customHeight="1">
      <c r="A10" s="345" t="s">
        <v>390</v>
      </c>
      <c r="B10" s="346">
        <f>SUM(B11:B12:B13)</f>
        <v>699762222</v>
      </c>
      <c r="C10" s="346">
        <f>SUM(C11:C13)</f>
        <v>403695672</v>
      </c>
      <c r="D10" s="347">
        <f>SUM(D11:D13)</f>
        <v>392006723</v>
      </c>
      <c r="E10" s="348">
        <f>IF(ISERROR(D10/B10)," ",(D10/B10))</f>
        <v>0.5601998945864786</v>
      </c>
      <c r="F10" s="348">
        <f>IF(ISERROR(D10/C10)," ",(D10/C10))</f>
        <v>0.9710451466024139</v>
      </c>
      <c r="G10" s="349">
        <f>SUM(G11:G13)</f>
        <v>57837173</v>
      </c>
      <c r="H10" s="345" t="s">
        <v>390</v>
      </c>
      <c r="I10" s="350">
        <f>SUM(I11:I12:I13)</f>
        <v>699762</v>
      </c>
      <c r="J10" s="350">
        <f>SUM(J11:J13)-1</f>
        <v>403695</v>
      </c>
      <c r="K10" s="350">
        <f>SUM(K11:K13)</f>
        <v>392007</v>
      </c>
      <c r="L10" s="348">
        <f>IF(ISERROR(ROUND(K10,0)/ROUND(I10,0))," ",(ROUND(K10,)/ROUND(I10,)))</f>
        <v>0.5602004681591741</v>
      </c>
      <c r="M10" s="348">
        <f>IF(ISERROR(ROUND(K10,0)/ROUND(J10,0))," ",(ROUND(K10,)/ROUND(J10,)))</f>
        <v>0.9710474491881247</v>
      </c>
      <c r="N10" s="350">
        <f>SUM(N11:N13)</f>
        <v>57838</v>
      </c>
    </row>
    <row r="11" spans="1:14" ht="26.25" customHeight="1">
      <c r="A11" s="351" t="s">
        <v>391</v>
      </c>
      <c r="B11" s="352">
        <v>692166497</v>
      </c>
      <c r="C11" s="353">
        <f>124462774+36421481+35990428+38712123+39570361+39034797+40114787+44401932</f>
        <v>398708683</v>
      </c>
      <c r="D11" s="354">
        <v>389804756</v>
      </c>
      <c r="E11" s="355">
        <f aca="true" t="shared" si="0" ref="E11:E17">IF(ISERROR(D11/B11)," ",(D11/B11))</f>
        <v>0.5631661712745395</v>
      </c>
      <c r="F11" s="355">
        <f aca="true" t="shared" si="1" ref="F11:F17">IF(ISERROR(D11/C11)," ",(D11/C11))</f>
        <v>0.9776680885577804</v>
      </c>
      <c r="G11" s="356">
        <f>D11-'[6]Jūnijs'!D11</f>
        <v>57442326</v>
      </c>
      <c r="H11" s="351" t="s">
        <v>391</v>
      </c>
      <c r="I11" s="357">
        <f>ROUND(B11/1000,0)</f>
        <v>692166</v>
      </c>
      <c r="J11" s="357">
        <f>ROUND(C11/1000,0)</f>
        <v>398709</v>
      </c>
      <c r="K11" s="357">
        <f>ROUND(D11/1000,0)</f>
        <v>389805</v>
      </c>
      <c r="L11" s="355">
        <f aca="true" t="shared" si="2" ref="L11:L17">IF(ISERROR(ROUND(K11,0)/ROUND(I11,0))," ",(ROUND(K11,)/ROUND(I11,)))</f>
        <v>0.563166928164631</v>
      </c>
      <c r="M11" s="355">
        <f aca="true" t="shared" si="3" ref="M11:M17">IF(ISERROR(ROUND(K11,0)/ROUND(J11,0))," ",(ROUND(K11,)/ROUND(J11,)))</f>
        <v>0.9776679232221996</v>
      </c>
      <c r="N11" s="358">
        <f>K11-'[6]Jūnijs'!K11</f>
        <v>57443</v>
      </c>
    </row>
    <row r="12" spans="1:14" ht="27.75" customHeight="1">
      <c r="A12" s="351" t="s">
        <v>392</v>
      </c>
      <c r="B12" s="352">
        <v>4224473</v>
      </c>
      <c r="C12" s="353">
        <v>2784832</v>
      </c>
      <c r="D12" s="354">
        <v>1680184</v>
      </c>
      <c r="E12" s="355">
        <f t="shared" si="0"/>
        <v>0.39772629627411515</v>
      </c>
      <c r="F12" s="355">
        <f t="shared" si="1"/>
        <v>0.6033340610851929</v>
      </c>
      <c r="G12" s="356">
        <f>D12-'[6]Jūnijs'!D12</f>
        <v>153516</v>
      </c>
      <c r="H12" s="351" t="s">
        <v>392</v>
      </c>
      <c r="I12" s="357">
        <f>ROUND(B12/1000,0)+1</f>
        <v>4225</v>
      </c>
      <c r="J12" s="357">
        <f>ROUND(C12/1000,0)</f>
        <v>2785</v>
      </c>
      <c r="K12" s="357">
        <f>ROUND(D12/1000,0)</f>
        <v>1680</v>
      </c>
      <c r="L12" s="355">
        <f t="shared" si="2"/>
        <v>0.39763313609467454</v>
      </c>
      <c r="M12" s="355">
        <f t="shared" si="3"/>
        <v>0.6032315978456014</v>
      </c>
      <c r="N12" s="358">
        <f>K12-'[6]Jūnijs'!K12</f>
        <v>153</v>
      </c>
    </row>
    <row r="13" spans="1:14" ht="15.75" customHeight="1">
      <c r="A13" s="351" t="s">
        <v>393</v>
      </c>
      <c r="B13" s="352">
        <v>3371252</v>
      </c>
      <c r="C13" s="353">
        <v>2202157</v>
      </c>
      <c r="D13" s="354">
        <v>521783</v>
      </c>
      <c r="E13" s="355">
        <f t="shared" si="0"/>
        <v>0.15477425004123097</v>
      </c>
      <c r="F13" s="355">
        <f t="shared" si="1"/>
        <v>0.23694178026362334</v>
      </c>
      <c r="G13" s="356">
        <f>D13-'[6]Jūnijs'!D13</f>
        <v>241331</v>
      </c>
      <c r="H13" s="351" t="s">
        <v>393</v>
      </c>
      <c r="I13" s="357">
        <f>ROUND(B13/1000,0)</f>
        <v>3371</v>
      </c>
      <c r="J13" s="357">
        <f>ROUND(C13/1000,0)</f>
        <v>2202</v>
      </c>
      <c r="K13" s="357">
        <f>ROUND(D13/1000,0)</f>
        <v>522</v>
      </c>
      <c r="L13" s="355">
        <f t="shared" si="2"/>
        <v>0.15485019282112134</v>
      </c>
      <c r="M13" s="355">
        <f t="shared" si="3"/>
        <v>0.23705722070844687</v>
      </c>
      <c r="N13" s="358">
        <f>K13-'[6]Jūnijs'!K13</f>
        <v>242</v>
      </c>
    </row>
    <row r="14" spans="1:14" ht="21.75" customHeight="1">
      <c r="A14" s="345" t="s">
        <v>254</v>
      </c>
      <c r="B14" s="359">
        <f>SUM(B15,B36)</f>
        <v>743446778</v>
      </c>
      <c r="C14" s="359">
        <f>SUM(C15,C36)</f>
        <v>451167680</v>
      </c>
      <c r="D14" s="360">
        <f>SUM(D15,D36)</f>
        <v>420053119</v>
      </c>
      <c r="E14" s="348">
        <f t="shared" si="0"/>
        <v>0.5650076527737672</v>
      </c>
      <c r="F14" s="348">
        <f t="shared" si="1"/>
        <v>0.9310354833041232</v>
      </c>
      <c r="G14" s="361">
        <f>SUM(G15,G36)</f>
        <v>56695860</v>
      </c>
      <c r="H14" s="345" t="s">
        <v>254</v>
      </c>
      <c r="I14" s="362">
        <f>SUM(I15,I36)</f>
        <v>743447</v>
      </c>
      <c r="J14" s="362">
        <f>SUM(J15,J36)</f>
        <v>451169</v>
      </c>
      <c r="K14" s="362">
        <f>SUM(K15,K36)</f>
        <v>420053</v>
      </c>
      <c r="L14" s="348">
        <f t="shared" si="2"/>
        <v>0.5650073239921608</v>
      </c>
      <c r="M14" s="348">
        <f t="shared" si="3"/>
        <v>0.9310324955836948</v>
      </c>
      <c r="N14" s="362">
        <f>SUM(N15,N36)</f>
        <v>56696</v>
      </c>
    </row>
    <row r="15" spans="1:14" ht="20.25" customHeight="1">
      <c r="A15" s="363" t="s">
        <v>394</v>
      </c>
      <c r="B15" s="364">
        <f>SUM(B16,B21,B24)</f>
        <v>706050840</v>
      </c>
      <c r="C15" s="364">
        <f>SUM(C16,C21,C24)</f>
        <v>427533656</v>
      </c>
      <c r="D15" s="365">
        <f>SUM(D16,D21,D24)</f>
        <v>404470328</v>
      </c>
      <c r="E15" s="348">
        <f t="shared" si="0"/>
        <v>0.572862894689</v>
      </c>
      <c r="F15" s="348">
        <f t="shared" si="1"/>
        <v>0.9460549416956311</v>
      </c>
      <c r="G15" s="366">
        <f>SUM(G16,G21,G24)</f>
        <v>53930758</v>
      </c>
      <c r="H15" s="363" t="s">
        <v>394</v>
      </c>
      <c r="I15" s="367">
        <f>SUM(I16,I21,I24)+1</f>
        <v>706051</v>
      </c>
      <c r="J15" s="367">
        <f>SUM(J16,J21,J24)</f>
        <v>427535</v>
      </c>
      <c r="K15" s="367">
        <f>SUM(K16,K21,K24)-1</f>
        <v>404470</v>
      </c>
      <c r="L15" s="348">
        <f t="shared" si="2"/>
        <v>0.5728623003154163</v>
      </c>
      <c r="M15" s="348">
        <f t="shared" si="3"/>
        <v>0.9460512004865099</v>
      </c>
      <c r="N15" s="367">
        <f>SUM(N16,N21,N24)</f>
        <v>53931</v>
      </c>
    </row>
    <row r="16" spans="1:14" ht="18.75" customHeight="1">
      <c r="A16" s="363" t="s">
        <v>256</v>
      </c>
      <c r="B16" s="364">
        <v>29000156</v>
      </c>
      <c r="C16" s="364">
        <v>18845363</v>
      </c>
      <c r="D16" s="365">
        <f>SUM(D17,D18,D19,D20)</f>
        <v>15982182</v>
      </c>
      <c r="E16" s="348">
        <f t="shared" si="0"/>
        <v>0.5511067595636382</v>
      </c>
      <c r="F16" s="348">
        <f t="shared" si="1"/>
        <v>0.8480697347140514</v>
      </c>
      <c r="G16" s="366">
        <f>SUM(G17,G18,G19,G20)</f>
        <v>1579637</v>
      </c>
      <c r="H16" s="363" t="s">
        <v>256</v>
      </c>
      <c r="I16" s="350">
        <f>ROUND(B16/1000,0)</f>
        <v>29000</v>
      </c>
      <c r="J16" s="350">
        <f>ROUND(C16/1000,0)+2</f>
        <v>18847</v>
      </c>
      <c r="K16" s="362">
        <f>SUM(K17,K18,K19,K20)</f>
        <v>15982</v>
      </c>
      <c r="L16" s="348">
        <f t="shared" si="2"/>
        <v>0.5511034482758621</v>
      </c>
      <c r="M16" s="348">
        <f t="shared" si="3"/>
        <v>0.8479864169363824</v>
      </c>
      <c r="N16" s="367">
        <f>SUM(N17,N18,N19,N20)</f>
        <v>1579</v>
      </c>
    </row>
    <row r="17" spans="1:14" ht="14.25">
      <c r="A17" s="368" t="s">
        <v>257</v>
      </c>
      <c r="B17" s="369">
        <v>1540940</v>
      </c>
      <c r="C17" s="369">
        <v>932411</v>
      </c>
      <c r="D17" s="370">
        <v>696183</v>
      </c>
      <c r="E17" s="355">
        <f t="shared" si="0"/>
        <v>0.4517911145145171</v>
      </c>
      <c r="F17" s="355">
        <f t="shared" si="1"/>
        <v>0.7466482055660004</v>
      </c>
      <c r="G17" s="371">
        <f>D17-'[6]Jūnijs'!D17</f>
        <v>95995</v>
      </c>
      <c r="H17" s="368" t="s">
        <v>257</v>
      </c>
      <c r="I17" s="358">
        <f>ROUND(B17/1000,0)</f>
        <v>1541</v>
      </c>
      <c r="J17" s="358">
        <f>ROUND(C17/1000,0)</f>
        <v>932</v>
      </c>
      <c r="K17" s="357">
        <f>ROUND(D17/1000,0)</f>
        <v>696</v>
      </c>
      <c r="L17" s="355">
        <f t="shared" si="2"/>
        <v>0.4516547696301103</v>
      </c>
      <c r="M17" s="355">
        <f t="shared" si="3"/>
        <v>0.7467811158798283</v>
      </c>
      <c r="N17" s="358">
        <f>K17-'[6]Jūnijs'!K17</f>
        <v>96</v>
      </c>
    </row>
    <row r="18" spans="1:14" ht="28.5">
      <c r="A18" s="351" t="s">
        <v>258</v>
      </c>
      <c r="B18" s="372" t="s">
        <v>25</v>
      </c>
      <c r="C18" s="372" t="s">
        <v>25</v>
      </c>
      <c r="D18" s="370">
        <v>192746</v>
      </c>
      <c r="E18" s="373" t="s">
        <v>25</v>
      </c>
      <c r="F18" s="372" t="s">
        <v>25</v>
      </c>
      <c r="G18" s="371">
        <f>D18-'[6]Jūnijs'!D18</f>
        <v>16944</v>
      </c>
      <c r="H18" s="351" t="s">
        <v>258</v>
      </c>
      <c r="I18" s="374" t="s">
        <v>25</v>
      </c>
      <c r="J18" s="374" t="s">
        <v>25</v>
      </c>
      <c r="K18" s="357">
        <f>ROUND(D18/1000,0)</f>
        <v>193</v>
      </c>
      <c r="L18" s="373" t="s">
        <v>25</v>
      </c>
      <c r="M18" s="372" t="s">
        <v>25</v>
      </c>
      <c r="N18" s="358">
        <f>K18-'[6]Jūnijs'!K18</f>
        <v>17</v>
      </c>
    </row>
    <row r="19" spans="1:14" ht="14.25">
      <c r="A19" s="351" t="s">
        <v>259</v>
      </c>
      <c r="B19" s="372" t="s">
        <v>25</v>
      </c>
      <c r="C19" s="372" t="s">
        <v>25</v>
      </c>
      <c r="D19" s="370">
        <v>13132300</v>
      </c>
      <c r="E19" s="373" t="s">
        <v>25</v>
      </c>
      <c r="F19" s="372" t="s">
        <v>25</v>
      </c>
      <c r="G19" s="371">
        <f>D19-'[6]Jūnijs'!D19</f>
        <v>1456698</v>
      </c>
      <c r="H19" s="351" t="s">
        <v>259</v>
      </c>
      <c r="I19" s="374" t="s">
        <v>25</v>
      </c>
      <c r="J19" s="374" t="s">
        <v>25</v>
      </c>
      <c r="K19" s="357">
        <f>ROUND(D19/1000,0)</f>
        <v>13132</v>
      </c>
      <c r="L19" s="373" t="s">
        <v>25</v>
      </c>
      <c r="M19" s="372" t="s">
        <v>25</v>
      </c>
      <c r="N19" s="358">
        <f>K19-'[6]Jūnijs'!K19</f>
        <v>1456</v>
      </c>
    </row>
    <row r="20" spans="1:14" ht="14.25">
      <c r="A20" s="351" t="s">
        <v>395</v>
      </c>
      <c r="B20" s="372" t="s">
        <v>25</v>
      </c>
      <c r="C20" s="372" t="s">
        <v>25</v>
      </c>
      <c r="D20" s="370">
        <v>1960953</v>
      </c>
      <c r="E20" s="373" t="s">
        <v>25</v>
      </c>
      <c r="F20" s="372" t="s">
        <v>25</v>
      </c>
      <c r="G20" s="371">
        <f>D20-'[6]Jūnijs'!D20</f>
        <v>10000</v>
      </c>
      <c r="H20" s="351" t="s">
        <v>395</v>
      </c>
      <c r="I20" s="374" t="s">
        <v>25</v>
      </c>
      <c r="J20" s="374" t="s">
        <v>25</v>
      </c>
      <c r="K20" s="357">
        <f>ROUND(D20/1000,0)</f>
        <v>1961</v>
      </c>
      <c r="L20" s="373" t="s">
        <v>25</v>
      </c>
      <c r="M20" s="372" t="s">
        <v>25</v>
      </c>
      <c r="N20" s="358">
        <f>K20-'[6]Jūnijs'!K20</f>
        <v>10</v>
      </c>
    </row>
    <row r="21" spans="1:14" ht="30.75" customHeight="1">
      <c r="A21" s="375" t="s">
        <v>260</v>
      </c>
      <c r="B21" s="369">
        <v>8446493</v>
      </c>
      <c r="C21" s="369">
        <f>2483666+134664+296329+352329+413329+544329+489329+450329</f>
        <v>5164304</v>
      </c>
      <c r="D21" s="370">
        <f>SUM(D22:D23)</f>
        <v>3283716</v>
      </c>
      <c r="E21" s="355">
        <f>IF(ISERROR(D21/B21)," ",(D21/B21))</f>
        <v>0.3887667935082643</v>
      </c>
      <c r="F21" s="355">
        <f>IF(ISERROR(D21/C21)," ",(D21/C21))</f>
        <v>0.635848702942352</v>
      </c>
      <c r="G21" s="371">
        <f>SUM(G22:G23)</f>
        <v>1010603</v>
      </c>
      <c r="H21" s="375" t="s">
        <v>260</v>
      </c>
      <c r="I21" s="350">
        <f>ROUND(B21/1000,0)</f>
        <v>8446</v>
      </c>
      <c r="J21" s="350">
        <f>ROUND(C21/1000,0)</f>
        <v>5164</v>
      </c>
      <c r="K21" s="362">
        <f>SUM(K22:K23)</f>
        <v>3284</v>
      </c>
      <c r="L21" s="348">
        <f>IF(ISERROR(ROUND(K21,0)/ROUND(I21,0))," ",(ROUND(K21,)/ROUND(I21,)))</f>
        <v>0.3888231115320862</v>
      </c>
      <c r="M21" s="348">
        <f>IF(ISERROR(ROUND(K21,0)/ROUND(J21,0))," ",(ROUND(K21,)/ROUND(J21,)))</f>
        <v>0.6359411309062742</v>
      </c>
      <c r="N21" s="362">
        <f>SUM(N22:N23)</f>
        <v>1011</v>
      </c>
    </row>
    <row r="22" spans="1:14" ht="27.75" customHeight="1">
      <c r="A22" s="351" t="s">
        <v>396</v>
      </c>
      <c r="B22" s="372" t="s">
        <v>25</v>
      </c>
      <c r="C22" s="372" t="s">
        <v>25</v>
      </c>
      <c r="D22" s="370">
        <v>2510509</v>
      </c>
      <c r="E22" s="373" t="s">
        <v>25</v>
      </c>
      <c r="F22" s="372" t="s">
        <v>25</v>
      </c>
      <c r="G22" s="371">
        <f>D22-'[6]Jūnijs'!D22</f>
        <v>945158</v>
      </c>
      <c r="H22" s="351" t="s">
        <v>396</v>
      </c>
      <c r="I22" s="374" t="s">
        <v>25</v>
      </c>
      <c r="J22" s="374" t="s">
        <v>25</v>
      </c>
      <c r="K22" s="357">
        <f>ROUND(D22/1000,0)</f>
        <v>2511</v>
      </c>
      <c r="L22" s="373" t="s">
        <v>25</v>
      </c>
      <c r="M22" s="372" t="s">
        <v>25</v>
      </c>
      <c r="N22" s="358">
        <f>K22-'[6]Jūnijs'!K22</f>
        <v>946</v>
      </c>
    </row>
    <row r="23" spans="1:14" ht="27" customHeight="1">
      <c r="A23" s="351" t="s">
        <v>397</v>
      </c>
      <c r="B23" s="372" t="s">
        <v>25</v>
      </c>
      <c r="C23" s="372" t="s">
        <v>25</v>
      </c>
      <c r="D23" s="370">
        <v>773207</v>
      </c>
      <c r="E23" s="373" t="s">
        <v>25</v>
      </c>
      <c r="F23" s="372" t="s">
        <v>25</v>
      </c>
      <c r="G23" s="371">
        <f>D23-'[6]Jūnijs'!D23</f>
        <v>65445</v>
      </c>
      <c r="H23" s="351" t="s">
        <v>397</v>
      </c>
      <c r="I23" s="374" t="s">
        <v>25</v>
      </c>
      <c r="J23" s="374" t="s">
        <v>25</v>
      </c>
      <c r="K23" s="357">
        <f>ROUND(D23/1000,0)</f>
        <v>773</v>
      </c>
      <c r="L23" s="373" t="s">
        <v>25</v>
      </c>
      <c r="M23" s="372" t="s">
        <v>25</v>
      </c>
      <c r="N23" s="358">
        <f>K23-'[6]Jūnijs'!K23</f>
        <v>65</v>
      </c>
    </row>
    <row r="24" spans="1:14" ht="16.5" customHeight="1">
      <c r="A24" s="376" t="s">
        <v>265</v>
      </c>
      <c r="B24" s="369">
        <v>668604191</v>
      </c>
      <c r="C24" s="369">
        <f>95219435+44621944+44700473+47694788+40572861+47025469+43634891+40054128</f>
        <v>403523989</v>
      </c>
      <c r="D24" s="370">
        <f>SUM(D25,D26,D28,D27,D29,D34,D35)</f>
        <v>385204430</v>
      </c>
      <c r="E24" s="355">
        <f>IF(ISERROR(D24/B24)," ",(D24/B24))</f>
        <v>0.5761322396496913</v>
      </c>
      <c r="F24" s="355">
        <f>IF(ISERROR(D24/C24)," ",(D24/C24))</f>
        <v>0.9546010658612913</v>
      </c>
      <c r="G24" s="371">
        <f>SUM(G25,G26,G28,G27,G29,G34,G35)</f>
        <v>51340518</v>
      </c>
      <c r="H24" s="376" t="s">
        <v>265</v>
      </c>
      <c r="I24" s="350">
        <f>ROUND(B24/1000,0)</f>
        <v>668604</v>
      </c>
      <c r="J24" s="350">
        <f>ROUND(C24/1000,0)</f>
        <v>403524</v>
      </c>
      <c r="K24" s="362">
        <f>SUM(K25,K26,K27,K28,K29,K34,K35)</f>
        <v>385205</v>
      </c>
      <c r="L24" s="348">
        <f>IF(ISERROR(ROUND(K24,0)/ROUND(I24,0))," ",(ROUND(K24,)/ROUND(I24,)))</f>
        <v>0.5761332567558675</v>
      </c>
      <c r="M24" s="348">
        <f>IF(ISERROR(ROUND(K24,0)/ROUND(J24,0))," ",(ROUND(K24,)/ROUND(J24,)))</f>
        <v>0.9546024523944053</v>
      </c>
      <c r="N24" s="362">
        <f>SUM(N25,N26,N27,N28,N29,N34,N35)</f>
        <v>51341</v>
      </c>
    </row>
    <row r="25" spans="1:14" ht="15.75" customHeight="1">
      <c r="A25" s="368" t="s">
        <v>266</v>
      </c>
      <c r="B25" s="372" t="s">
        <v>25</v>
      </c>
      <c r="C25" s="372" t="s">
        <v>25</v>
      </c>
      <c r="D25" s="370">
        <v>1364446</v>
      </c>
      <c r="E25" s="373" t="s">
        <v>25</v>
      </c>
      <c r="F25" s="372" t="s">
        <v>25</v>
      </c>
      <c r="G25" s="371">
        <f>D25-'[6]Jūnijs'!D25</f>
        <v>284492</v>
      </c>
      <c r="H25" s="368" t="s">
        <v>266</v>
      </c>
      <c r="I25" s="374" t="s">
        <v>25</v>
      </c>
      <c r="J25" s="374" t="s">
        <v>25</v>
      </c>
      <c r="K25" s="357">
        <f>ROUND(D25/1000,0)</f>
        <v>1364</v>
      </c>
      <c r="L25" s="373" t="s">
        <v>25</v>
      </c>
      <c r="M25" s="372" t="s">
        <v>25</v>
      </c>
      <c r="N25" s="358">
        <f>K25-'[6]Jūnijs'!K25</f>
        <v>284</v>
      </c>
    </row>
    <row r="26" spans="1:14" ht="14.25">
      <c r="A26" s="368" t="s">
        <v>267</v>
      </c>
      <c r="B26" s="372" t="s">
        <v>25</v>
      </c>
      <c r="C26" s="372" t="s">
        <v>25</v>
      </c>
      <c r="D26" s="370">
        <v>10330521</v>
      </c>
      <c r="E26" s="373" t="s">
        <v>25</v>
      </c>
      <c r="F26" s="372" t="s">
        <v>25</v>
      </c>
      <c r="G26" s="371">
        <f>D26-'[6]Jūnijs'!D26</f>
        <v>1735489</v>
      </c>
      <c r="H26" s="368" t="s">
        <v>267</v>
      </c>
      <c r="I26" s="374" t="s">
        <v>25</v>
      </c>
      <c r="J26" s="374" t="s">
        <v>25</v>
      </c>
      <c r="K26" s="357">
        <f>ROUND(D26/1000,0)</f>
        <v>10331</v>
      </c>
      <c r="L26" s="373" t="s">
        <v>25</v>
      </c>
      <c r="M26" s="372" t="s">
        <v>25</v>
      </c>
      <c r="N26" s="358">
        <f>K26-'[6]Jūnijs'!K26</f>
        <v>1736</v>
      </c>
    </row>
    <row r="27" spans="1:14" ht="14.25">
      <c r="A27" s="368" t="s">
        <v>268</v>
      </c>
      <c r="B27" s="372" t="s">
        <v>25</v>
      </c>
      <c r="C27" s="372" t="s">
        <v>25</v>
      </c>
      <c r="D27" s="370"/>
      <c r="E27" s="372" t="s">
        <v>25</v>
      </c>
      <c r="F27" s="372" t="s">
        <v>25</v>
      </c>
      <c r="G27" s="371">
        <f>D27-'[6]Jūnijs'!D27</f>
        <v>0</v>
      </c>
      <c r="H27" s="368" t="s">
        <v>268</v>
      </c>
      <c r="I27" s="372" t="s">
        <v>25</v>
      </c>
      <c r="J27" s="372" t="s">
        <v>25</v>
      </c>
      <c r="K27" s="357">
        <f>ROUND(D27/1000,0)</f>
        <v>0</v>
      </c>
      <c r="L27" s="372" t="s">
        <v>25</v>
      </c>
      <c r="M27" s="372" t="s">
        <v>25</v>
      </c>
      <c r="N27" s="358">
        <f>K27-'[6]Jūnijs'!K27</f>
        <v>0</v>
      </c>
    </row>
    <row r="28" spans="1:14" ht="14.25">
      <c r="A28" s="351" t="s">
        <v>269</v>
      </c>
      <c r="B28" s="372" t="s">
        <v>25</v>
      </c>
      <c r="C28" s="372" t="s">
        <v>25</v>
      </c>
      <c r="D28" s="370">
        <f>85006314-700700</f>
        <v>84305614</v>
      </c>
      <c r="E28" s="373" t="s">
        <v>25</v>
      </c>
      <c r="F28" s="372" t="s">
        <v>25</v>
      </c>
      <c r="G28" s="371">
        <f>D28-'[6]Jūnijs'!D28</f>
        <v>11283864</v>
      </c>
      <c r="H28" s="351" t="s">
        <v>269</v>
      </c>
      <c r="I28" s="374" t="s">
        <v>25</v>
      </c>
      <c r="J28" s="374" t="s">
        <v>25</v>
      </c>
      <c r="K28" s="357">
        <f>ROUND(D28/1000,0)</f>
        <v>84306</v>
      </c>
      <c r="L28" s="373" t="s">
        <v>25</v>
      </c>
      <c r="M28" s="372" t="s">
        <v>25</v>
      </c>
      <c r="N28" s="358">
        <f>K28-'[6]Jūnijs'!K28</f>
        <v>11284</v>
      </c>
    </row>
    <row r="29" spans="1:14" ht="15" customHeight="1">
      <c r="A29" s="351" t="s">
        <v>398</v>
      </c>
      <c r="B29" s="372" t="s">
        <v>25</v>
      </c>
      <c r="C29" s="372" t="s">
        <v>25</v>
      </c>
      <c r="D29" s="370">
        <f>SUM(D30:D33)</f>
        <v>288466785</v>
      </c>
      <c r="E29" s="373" t="s">
        <v>25</v>
      </c>
      <c r="F29" s="372" t="s">
        <v>25</v>
      </c>
      <c r="G29" s="371">
        <f>SUM(G30:G33)</f>
        <v>37911434</v>
      </c>
      <c r="H29" s="351" t="s">
        <v>274</v>
      </c>
      <c r="I29" s="374" t="s">
        <v>25</v>
      </c>
      <c r="J29" s="374" t="s">
        <v>25</v>
      </c>
      <c r="K29" s="377">
        <f>SUM(K30:K33)+1</f>
        <v>288467</v>
      </c>
      <c r="L29" s="373" t="s">
        <v>25</v>
      </c>
      <c r="M29" s="372" t="s">
        <v>25</v>
      </c>
      <c r="N29" s="378">
        <f>SUM(N30:N33)</f>
        <v>37912</v>
      </c>
    </row>
    <row r="30" spans="1:14" s="384" customFormat="1" ht="15" customHeight="1">
      <c r="A30" s="379" t="s">
        <v>399</v>
      </c>
      <c r="B30" s="380" t="s">
        <v>25</v>
      </c>
      <c r="C30" s="380" t="s">
        <v>25</v>
      </c>
      <c r="D30" s="381">
        <v>263437222</v>
      </c>
      <c r="E30" s="382" t="s">
        <v>25</v>
      </c>
      <c r="F30" s="380" t="s">
        <v>25</v>
      </c>
      <c r="G30" s="371">
        <f>D30-'[6]Jūnijs'!D30</f>
        <v>34516277</v>
      </c>
      <c r="H30" s="379" t="s">
        <v>399</v>
      </c>
      <c r="I30" s="383" t="s">
        <v>25</v>
      </c>
      <c r="J30" s="383" t="s">
        <v>25</v>
      </c>
      <c r="K30" s="357">
        <f aca="true" t="shared" si="4" ref="K30:K35">ROUND(D30/1000,0)</f>
        <v>263437</v>
      </c>
      <c r="L30" s="382" t="s">
        <v>25</v>
      </c>
      <c r="M30" s="380" t="s">
        <v>25</v>
      </c>
      <c r="N30" s="358">
        <f>K30-'[6]Jūnijs'!K30+1</f>
        <v>34517</v>
      </c>
    </row>
    <row r="31" spans="1:14" s="384" customFormat="1" ht="15" customHeight="1">
      <c r="A31" s="379" t="s">
        <v>400</v>
      </c>
      <c r="B31" s="380" t="s">
        <v>25</v>
      </c>
      <c r="C31" s="380" t="s">
        <v>25</v>
      </c>
      <c r="D31" s="381">
        <v>24421303</v>
      </c>
      <c r="E31" s="382" t="s">
        <v>25</v>
      </c>
      <c r="F31" s="380" t="s">
        <v>25</v>
      </c>
      <c r="G31" s="371">
        <f>D31-'[6]Jūnijs'!D31</f>
        <v>3343404</v>
      </c>
      <c r="H31" s="379" t="s">
        <v>400</v>
      </c>
      <c r="I31" s="383" t="s">
        <v>25</v>
      </c>
      <c r="J31" s="383" t="s">
        <v>25</v>
      </c>
      <c r="K31" s="357">
        <f t="shared" si="4"/>
        <v>24421</v>
      </c>
      <c r="L31" s="382" t="s">
        <v>25</v>
      </c>
      <c r="M31" s="380" t="s">
        <v>25</v>
      </c>
      <c r="N31" s="358">
        <f>K31-'[6]Jūnijs'!K31</f>
        <v>3343</v>
      </c>
    </row>
    <row r="32" spans="1:14" s="384" customFormat="1" ht="15" customHeight="1">
      <c r="A32" s="379" t="s">
        <v>401</v>
      </c>
      <c r="B32" s="380" t="s">
        <v>25</v>
      </c>
      <c r="C32" s="380" t="s">
        <v>25</v>
      </c>
      <c r="D32" s="381">
        <v>363352</v>
      </c>
      <c r="E32" s="382" t="s">
        <v>25</v>
      </c>
      <c r="F32" s="380" t="s">
        <v>25</v>
      </c>
      <c r="G32" s="371">
        <f>D32-'[6]Jūnijs'!D32</f>
        <v>14332</v>
      </c>
      <c r="H32" s="379" t="s">
        <v>401</v>
      </c>
      <c r="I32" s="383" t="s">
        <v>25</v>
      </c>
      <c r="J32" s="383" t="s">
        <v>25</v>
      </c>
      <c r="K32" s="357">
        <f t="shared" si="4"/>
        <v>363</v>
      </c>
      <c r="L32" s="382" t="s">
        <v>25</v>
      </c>
      <c r="M32" s="380" t="s">
        <v>25</v>
      </c>
      <c r="N32" s="358">
        <f>K32-'[6]Jūnijs'!K32</f>
        <v>14</v>
      </c>
    </row>
    <row r="33" spans="1:14" s="384" customFormat="1" ht="15" customHeight="1">
      <c r="A33" s="379" t="s">
        <v>402</v>
      </c>
      <c r="B33" s="380" t="s">
        <v>25</v>
      </c>
      <c r="C33" s="380" t="s">
        <v>25</v>
      </c>
      <c r="D33" s="381">
        <v>244908</v>
      </c>
      <c r="E33" s="382" t="s">
        <v>25</v>
      </c>
      <c r="F33" s="380" t="s">
        <v>25</v>
      </c>
      <c r="G33" s="371">
        <f>D33-'[6]Jūnijs'!D33</f>
        <v>37421</v>
      </c>
      <c r="H33" s="379" t="s">
        <v>402</v>
      </c>
      <c r="I33" s="383" t="s">
        <v>25</v>
      </c>
      <c r="J33" s="383" t="s">
        <v>25</v>
      </c>
      <c r="K33" s="385">
        <f t="shared" si="4"/>
        <v>245</v>
      </c>
      <c r="L33" s="382" t="s">
        <v>25</v>
      </c>
      <c r="M33" s="380" t="s">
        <v>25</v>
      </c>
      <c r="N33" s="358">
        <f>K33-'[6]Jūnijs'!K33</f>
        <v>38</v>
      </c>
    </row>
    <row r="34" spans="1:14" ht="29.25">
      <c r="A34" s="351" t="s">
        <v>403</v>
      </c>
      <c r="B34" s="380">
        <v>66000</v>
      </c>
      <c r="C34" s="380">
        <f>46600</f>
        <v>46600</v>
      </c>
      <c r="D34" s="370">
        <v>36364</v>
      </c>
      <c r="E34" s="355">
        <f>IF(ISERROR(D34/B34)," ",(D34/B34))</f>
        <v>0.550969696969697</v>
      </c>
      <c r="F34" s="355">
        <f>IF(ISERROR(D34/C34)," ",(D34/C34))</f>
        <v>0.780343347639485</v>
      </c>
      <c r="G34" s="371">
        <f>D34-'[6]Jūnijs'!D34</f>
        <v>25139</v>
      </c>
      <c r="H34" s="351" t="s">
        <v>403</v>
      </c>
      <c r="I34" s="386">
        <f>ROUND(B34/1000,0)</f>
        <v>66</v>
      </c>
      <c r="J34" s="386">
        <f>ROUND(C34/1000,0)</f>
        <v>47</v>
      </c>
      <c r="K34" s="357">
        <f t="shared" si="4"/>
        <v>36</v>
      </c>
      <c r="L34" s="348">
        <f>IF(ISERROR(ROUND(K34,0)/ROUND(I34,0))," ",(ROUND(K34,)/ROUND(I34,)))</f>
        <v>0.5454545454545454</v>
      </c>
      <c r="M34" s="348">
        <f>IF(ISERROR(ROUND(K34,0)/ROUND(J34,0))," ",(ROUND(K34,)/ROUND(J34,)))</f>
        <v>0.7659574468085106</v>
      </c>
      <c r="N34" s="358">
        <f>K34-'[6]Jūnijs'!K34</f>
        <v>25</v>
      </c>
    </row>
    <row r="35" spans="1:14" ht="43.5">
      <c r="A35" s="351" t="s">
        <v>404</v>
      </c>
      <c r="B35" s="380">
        <v>1201200</v>
      </c>
      <c r="C35" s="380" t="s">
        <v>25</v>
      </c>
      <c r="D35" s="370">
        <v>700700</v>
      </c>
      <c r="E35" s="355">
        <f>IF(ISERROR(D35/B35)," ",(D35/B35))</f>
        <v>0.5833333333333334</v>
      </c>
      <c r="F35" s="380" t="s">
        <v>25</v>
      </c>
      <c r="G35" s="371">
        <f>D35-'[6]Jūnijs'!D35</f>
        <v>100100</v>
      </c>
      <c r="H35" s="351" t="s">
        <v>404</v>
      </c>
      <c r="I35" s="386">
        <f>ROUND(B35/1000,0)</f>
        <v>1201</v>
      </c>
      <c r="J35" s="383" t="s">
        <v>25</v>
      </c>
      <c r="K35" s="357">
        <f t="shared" si="4"/>
        <v>701</v>
      </c>
      <c r="L35" s="348">
        <f>IF(ISERROR(ROUND(K35,0)/ROUND(I35,0))," ",(ROUND(K35,)/ROUND(I35,)))</f>
        <v>0.5836802664446294</v>
      </c>
      <c r="M35" s="380" t="s">
        <v>25</v>
      </c>
      <c r="N35" s="358">
        <f>K35-'[6]Jūnijs'!K35</f>
        <v>100</v>
      </c>
    </row>
    <row r="36" spans="1:14" ht="32.25" customHeight="1">
      <c r="A36" s="387" t="s">
        <v>284</v>
      </c>
      <c r="B36" s="388">
        <f>SUM(B37:B38)</f>
        <v>37395938</v>
      </c>
      <c r="C36" s="388">
        <f>SUM(C37:C38)</f>
        <v>23634024</v>
      </c>
      <c r="D36" s="389">
        <f>SUM(D37:D38)</f>
        <v>15582791</v>
      </c>
      <c r="E36" s="348">
        <f>IF(ISERROR(D36/B36)," ",(D36/B36))</f>
        <v>0.41669742312654384</v>
      </c>
      <c r="F36" s="348">
        <f>IF(ISERROR(D36/C36)," ",(D36/C36))</f>
        <v>0.6593371911613528</v>
      </c>
      <c r="G36" s="390">
        <f>SUM(G37:G38)</f>
        <v>2765102</v>
      </c>
      <c r="H36" s="387" t="s">
        <v>284</v>
      </c>
      <c r="I36" s="391">
        <f>SUM(I37:I38)</f>
        <v>37396</v>
      </c>
      <c r="J36" s="391">
        <f>SUM(J37:J38)</f>
        <v>23634</v>
      </c>
      <c r="K36" s="391">
        <f>SUM(K37:K38)</f>
        <v>15583</v>
      </c>
      <c r="L36" s="348">
        <f>IF(ISERROR(ROUND(K36,0)/ROUND(I36,0))," ",(ROUND(K36,)/ROUND(I36,)))</f>
        <v>0.41670232110386135</v>
      </c>
      <c r="M36" s="348">
        <f>IF(ISERROR(ROUND(K36,0)/ROUND(J36,0))," ",(ROUND(K36,)/ROUND(J36,)))</f>
        <v>0.6593467039011593</v>
      </c>
      <c r="N36" s="391">
        <f>SUM(N37:N38)</f>
        <v>2765</v>
      </c>
    </row>
    <row r="37" spans="1:14" ht="18" customHeight="1">
      <c r="A37" s="351" t="s">
        <v>286</v>
      </c>
      <c r="B37" s="392">
        <v>10550686</v>
      </c>
      <c r="C37" s="392">
        <v>7484273</v>
      </c>
      <c r="D37" s="370">
        <v>6281632</v>
      </c>
      <c r="E37" s="355">
        <f>IF(ISERROR(D37/B37)," ",(D37/B37))</f>
        <v>0.5953766418600648</v>
      </c>
      <c r="F37" s="355">
        <f>IF(ISERROR(D37/C37)," ",(D37/C37))</f>
        <v>0.8393109123624967</v>
      </c>
      <c r="G37" s="371">
        <f>D37-'[6]Jūnijs'!D37</f>
        <v>669918</v>
      </c>
      <c r="H37" s="351" t="s">
        <v>286</v>
      </c>
      <c r="I37" s="358">
        <f aca="true" t="shared" si="5" ref="I37:K45">ROUND(B37/1000,0)</f>
        <v>10551</v>
      </c>
      <c r="J37" s="358">
        <f t="shared" si="5"/>
        <v>7484</v>
      </c>
      <c r="K37" s="357">
        <f t="shared" si="5"/>
        <v>6282</v>
      </c>
      <c r="L37" s="355">
        <f>IF(ISERROR(ROUND(K37,0)/ROUND(I37,0))," ",(ROUND(K37,)/ROUND(I37,)))</f>
        <v>0.5953938015353994</v>
      </c>
      <c r="M37" s="355">
        <f>IF(ISERROR(ROUND(K37,0)/ROUND(J37,0))," ",(ROUND(K37,)/ROUND(J37,)))</f>
        <v>0.8393907001603421</v>
      </c>
      <c r="N37" s="358">
        <f>K37-'[6]Jūnijs'!K37</f>
        <v>671</v>
      </c>
    </row>
    <row r="38" spans="1:14" ht="14.25">
      <c r="A38" s="351" t="s">
        <v>288</v>
      </c>
      <c r="B38" s="393">
        <v>26845252</v>
      </c>
      <c r="C38" s="392">
        <f>13491857+162741+426941+417131+681591+253440+536050+180000</f>
        <v>16149751</v>
      </c>
      <c r="D38" s="381">
        <v>9301159</v>
      </c>
      <c r="E38" s="355">
        <f>IF(ISERROR(D38/B38)," ",(D38/B38))</f>
        <v>0.34647314914384114</v>
      </c>
      <c r="F38" s="355">
        <f>IF(ISERROR(D38/C38)," ",(D38/C38))</f>
        <v>0.5759320375899294</v>
      </c>
      <c r="G38" s="371">
        <f>D38-'[6]Jūnijs'!D38</f>
        <v>2095184</v>
      </c>
      <c r="H38" s="351" t="s">
        <v>288</v>
      </c>
      <c r="I38" s="358">
        <f t="shared" si="5"/>
        <v>26845</v>
      </c>
      <c r="J38" s="358">
        <f t="shared" si="5"/>
        <v>16150</v>
      </c>
      <c r="K38" s="357">
        <f t="shared" si="5"/>
        <v>9301</v>
      </c>
      <c r="L38" s="355">
        <f>IF(ISERROR(ROUND(K38,0)/ROUND(I38,0))," ",(ROUND(K38,)/ROUND(I38,)))</f>
        <v>0.3464704786738685</v>
      </c>
      <c r="M38" s="355">
        <f>IF(ISERROR(ROUND(K38,0)/ROUND(J38,0))," ",(ROUND(K38,)/ROUND(J38,)))</f>
        <v>0.5759133126934984</v>
      </c>
      <c r="N38" s="358">
        <f>K38-'[6]Jūnijs'!K38-1</f>
        <v>2094</v>
      </c>
    </row>
    <row r="39" spans="1:14" ht="30.75" customHeight="1">
      <c r="A39" s="375" t="s">
        <v>405</v>
      </c>
      <c r="B39" s="364">
        <f>SUM(B40-B41)</f>
        <v>6739620</v>
      </c>
      <c r="C39" s="372" t="s">
        <v>25</v>
      </c>
      <c r="D39" s="365">
        <f>SUM(D40-D41)</f>
        <v>2470660</v>
      </c>
      <c r="E39" s="373" t="s">
        <v>25</v>
      </c>
      <c r="F39" s="372" t="s">
        <v>25</v>
      </c>
      <c r="G39" s="366">
        <f>SUM(G40-G41)</f>
        <v>22521</v>
      </c>
      <c r="H39" s="375" t="s">
        <v>405</v>
      </c>
      <c r="I39" s="350">
        <f t="shared" si="5"/>
        <v>6740</v>
      </c>
      <c r="J39" s="374" t="s">
        <v>25</v>
      </c>
      <c r="K39" s="367">
        <f>SUM(K40-K41)</f>
        <v>2471</v>
      </c>
      <c r="L39" s="355">
        <f aca="true" t="shared" si="6" ref="L39:L44">IF(ISERROR(ROUND(K39,0)/ROUND(I39,0))," ",(ROUND(K39,)/ROUND(I39,)))</f>
        <v>0.3666172106824926</v>
      </c>
      <c r="M39" s="373" t="s">
        <v>25</v>
      </c>
      <c r="N39" s="367">
        <f>SUM(N40-N41)</f>
        <v>23</v>
      </c>
    </row>
    <row r="40" spans="1:14" ht="19.5" customHeight="1">
      <c r="A40" s="368" t="s">
        <v>293</v>
      </c>
      <c r="B40" s="392">
        <v>6756000</v>
      </c>
      <c r="C40" s="372">
        <v>3643600</v>
      </c>
      <c r="D40" s="370">
        <v>2497550</v>
      </c>
      <c r="E40" s="355">
        <f aca="true" t="shared" si="7" ref="E40:E45">IF(ISERROR(D40/B40)," ",(D40/B40))</f>
        <v>0.3696788040260509</v>
      </c>
      <c r="F40" s="355">
        <f>IF(ISERROR(D40/C40)," ",(D40/C40))</f>
        <v>0.68546218026128</v>
      </c>
      <c r="G40" s="371">
        <f>D40-'[6]Jūnijs'!D40</f>
        <v>31478</v>
      </c>
      <c r="H40" s="368" t="s">
        <v>293</v>
      </c>
      <c r="I40" s="357">
        <f t="shared" si="5"/>
        <v>6756</v>
      </c>
      <c r="J40" s="357">
        <f>ROUND(C40/1000,0)</f>
        <v>3644</v>
      </c>
      <c r="K40" s="357">
        <f>ROUND(D40/1000,0)</f>
        <v>2498</v>
      </c>
      <c r="L40" s="355">
        <f t="shared" si="6"/>
        <v>0.3697454114860864</v>
      </c>
      <c r="M40" s="355">
        <f>IF(ISERROR(ROUND(K40,0)/ROUND(J40,0))," ",(ROUND(K40,)/ROUND(J40,)))</f>
        <v>0.685510428100988</v>
      </c>
      <c r="N40" s="358">
        <f>K40-'[6]Jūnijs'!K40</f>
        <v>32</v>
      </c>
    </row>
    <row r="41" spans="1:14" ht="27.75" customHeight="1">
      <c r="A41" s="394" t="s">
        <v>295</v>
      </c>
      <c r="B41" s="392">
        <v>16380</v>
      </c>
      <c r="C41" s="372">
        <v>6874</v>
      </c>
      <c r="D41" s="370">
        <v>26890</v>
      </c>
      <c r="E41" s="355">
        <f t="shared" si="7"/>
        <v>1.6416361416361416</v>
      </c>
      <c r="F41" s="355">
        <f>IF(ISERROR(D41/C41)," ",(D41/C41))</f>
        <v>3.911841722432354</v>
      </c>
      <c r="G41" s="371">
        <f>D41-'[6]Jūnijs'!D41</f>
        <v>8957</v>
      </c>
      <c r="H41" s="394" t="s">
        <v>295</v>
      </c>
      <c r="I41" s="357">
        <f t="shared" si="5"/>
        <v>16</v>
      </c>
      <c r="J41" s="357">
        <f>ROUND(C41/1000,0)</f>
        <v>7</v>
      </c>
      <c r="K41" s="357">
        <f>ROUND(D41/1000,0)</f>
        <v>27</v>
      </c>
      <c r="L41" s="355">
        <f t="shared" si="6"/>
        <v>1.6875</v>
      </c>
      <c r="M41" s="372" t="s">
        <v>25</v>
      </c>
      <c r="N41" s="358">
        <f>K41-'[6]Jūnijs'!K41</f>
        <v>9</v>
      </c>
    </row>
    <row r="42" spans="1:163" s="395" customFormat="1" ht="21.75" customHeight="1">
      <c r="A42" s="375" t="s">
        <v>406</v>
      </c>
      <c r="B42" s="388">
        <f>SUM(B10-B14-B39)</f>
        <v>-50424176</v>
      </c>
      <c r="C42" s="372" t="s">
        <v>25</v>
      </c>
      <c r="D42" s="389">
        <f>SUM(D10-D14-D39)</f>
        <v>-30517056</v>
      </c>
      <c r="E42" s="348">
        <f t="shared" si="7"/>
        <v>0.6052068357051585</v>
      </c>
      <c r="F42" s="372" t="s">
        <v>25</v>
      </c>
      <c r="G42" s="390">
        <f>SUM(G10-G14-G39)</f>
        <v>1118792</v>
      </c>
      <c r="H42" s="375" t="s">
        <v>406</v>
      </c>
      <c r="I42" s="350">
        <f t="shared" si="5"/>
        <v>-50424</v>
      </c>
      <c r="J42" s="374" t="s">
        <v>25</v>
      </c>
      <c r="K42" s="391">
        <f>SUM(K10-K14-K39)</f>
        <v>-30517</v>
      </c>
      <c r="L42" s="348">
        <f t="shared" si="6"/>
        <v>0.6052078375376805</v>
      </c>
      <c r="M42" s="372" t="s">
        <v>25</v>
      </c>
      <c r="N42" s="391">
        <f>SUM(N10-N14-N39)</f>
        <v>1119</v>
      </c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7"/>
      <c r="ET42" s="287"/>
      <c r="EU42" s="287"/>
      <c r="EV42" s="287"/>
      <c r="EW42" s="287"/>
      <c r="EX42" s="287"/>
      <c r="EY42" s="287"/>
      <c r="EZ42" s="287"/>
      <c r="FA42" s="287"/>
      <c r="FB42" s="287"/>
      <c r="FC42" s="287"/>
      <c r="FD42" s="287"/>
      <c r="FE42" s="287"/>
      <c r="FF42" s="287"/>
      <c r="FG42" s="287"/>
    </row>
    <row r="43" spans="1:163" s="395" customFormat="1" ht="18" customHeight="1">
      <c r="A43" s="375" t="s">
        <v>298</v>
      </c>
      <c r="B43" s="364">
        <f>SUM(B44:B45)</f>
        <v>50424176</v>
      </c>
      <c r="C43" s="372" t="s">
        <v>25</v>
      </c>
      <c r="D43" s="365">
        <f>SUM(D44:D45)</f>
        <v>30517056</v>
      </c>
      <c r="E43" s="355">
        <f t="shared" si="7"/>
        <v>0.6052068357051585</v>
      </c>
      <c r="F43" s="372" t="s">
        <v>25</v>
      </c>
      <c r="G43" s="366">
        <f>SUM(G44:G45)</f>
        <v>-1118792</v>
      </c>
      <c r="H43" s="375" t="s">
        <v>298</v>
      </c>
      <c r="I43" s="350">
        <f t="shared" si="5"/>
        <v>50424</v>
      </c>
      <c r="J43" s="374" t="s">
        <v>25</v>
      </c>
      <c r="K43" s="350">
        <f>K44+K45</f>
        <v>30517</v>
      </c>
      <c r="L43" s="348">
        <f t="shared" si="6"/>
        <v>0.6052078375376805</v>
      </c>
      <c r="M43" s="372" t="s">
        <v>25</v>
      </c>
      <c r="N43" s="364">
        <f>SUM(N44:N45)</f>
        <v>-1119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</row>
    <row r="44" spans="1:163" s="395" customFormat="1" ht="17.25" customHeight="1">
      <c r="A44" s="351" t="s">
        <v>320</v>
      </c>
      <c r="B44" s="392">
        <v>52217619</v>
      </c>
      <c r="C44" s="372" t="s">
        <v>25</v>
      </c>
      <c r="D44" s="370">
        <v>37215360</v>
      </c>
      <c r="E44" s="355">
        <f t="shared" si="7"/>
        <v>0.7126973751905463</v>
      </c>
      <c r="F44" s="372" t="s">
        <v>25</v>
      </c>
      <c r="G44" s="371">
        <f>D44-'[6]Jūnijs'!D44</f>
        <v>480608</v>
      </c>
      <c r="H44" s="351" t="s">
        <v>320</v>
      </c>
      <c r="I44" s="357">
        <f t="shared" si="5"/>
        <v>52218</v>
      </c>
      <c r="J44" s="374" t="s">
        <v>25</v>
      </c>
      <c r="K44" s="357">
        <f>ROUND(D44/1000,0)</f>
        <v>37215</v>
      </c>
      <c r="L44" s="355">
        <f t="shared" si="6"/>
        <v>0.7126852809376077</v>
      </c>
      <c r="M44" s="372" t="s">
        <v>25</v>
      </c>
      <c r="N44" s="358">
        <f>K44-'[6]Jūnijs'!K44</f>
        <v>480</v>
      </c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</row>
    <row r="45" spans="1:163" s="395" customFormat="1" ht="45.75" customHeight="1">
      <c r="A45" s="351" t="s">
        <v>407</v>
      </c>
      <c r="B45" s="392">
        <v>-1793443</v>
      </c>
      <c r="C45" s="372" t="s">
        <v>25</v>
      </c>
      <c r="D45" s="370">
        <f>-(D42+D44)</f>
        <v>-6698304</v>
      </c>
      <c r="E45" s="355">
        <f t="shared" si="7"/>
        <v>3.7348853573824203</v>
      </c>
      <c r="F45" s="372" t="s">
        <v>25</v>
      </c>
      <c r="G45" s="371">
        <f>D45-'[6]Jūnijs'!D45</f>
        <v>-1599400</v>
      </c>
      <c r="H45" s="351" t="s">
        <v>407</v>
      </c>
      <c r="I45" s="357">
        <f t="shared" si="5"/>
        <v>-1793</v>
      </c>
      <c r="J45" s="374" t="s">
        <v>25</v>
      </c>
      <c r="K45" s="357">
        <f>ROUND(D45/1000,0)</f>
        <v>-6698</v>
      </c>
      <c r="L45" s="355"/>
      <c r="M45" s="372" t="s">
        <v>25</v>
      </c>
      <c r="N45" s="357">
        <f>K45-'[6]Jūnijs'!K45</f>
        <v>-1599</v>
      </c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7"/>
      <c r="FF45" s="287"/>
      <c r="FG45" s="287"/>
    </row>
    <row r="46" spans="1:13" s="401" customFormat="1" ht="14.25">
      <c r="A46" s="396"/>
      <c r="B46" s="397"/>
      <c r="C46" s="397"/>
      <c r="D46" s="398"/>
      <c r="E46" s="399"/>
      <c r="F46" s="400"/>
      <c r="H46" s="396"/>
      <c r="I46" s="397"/>
      <c r="J46" s="397"/>
      <c r="K46" s="402"/>
      <c r="L46" s="399"/>
      <c r="M46" s="400"/>
    </row>
    <row r="47" spans="1:13" s="401" customFormat="1" ht="14.25">
      <c r="A47" s="396"/>
      <c r="B47" s="397"/>
      <c r="C47" s="397"/>
      <c r="D47" s="398"/>
      <c r="E47" s="399"/>
      <c r="F47" s="400"/>
      <c r="H47" s="396"/>
      <c r="I47" s="397"/>
      <c r="J47" s="397"/>
      <c r="K47" s="402"/>
      <c r="L47" s="399"/>
      <c r="M47" s="400"/>
    </row>
    <row r="48" spans="1:13" s="401" customFormat="1" ht="14.25">
      <c r="A48" s="396"/>
      <c r="B48" s="397"/>
      <c r="C48" s="397"/>
      <c r="D48" s="398"/>
      <c r="E48" s="399"/>
      <c r="F48" s="400"/>
      <c r="H48" s="396"/>
      <c r="I48" s="397"/>
      <c r="J48" s="397"/>
      <c r="K48" s="402"/>
      <c r="L48" s="399"/>
      <c r="M48" s="400"/>
    </row>
    <row r="49" spans="1:13" s="401" customFormat="1" ht="14.25">
      <c r="A49" s="396"/>
      <c r="B49" s="397"/>
      <c r="C49" s="397"/>
      <c r="D49" s="398"/>
      <c r="E49" s="399"/>
      <c r="F49" s="400"/>
      <c r="I49" s="397"/>
      <c r="J49" s="397"/>
      <c r="K49" s="402"/>
      <c r="L49" s="399"/>
      <c r="M49" s="400"/>
    </row>
    <row r="50" spans="1:13" s="401" customFormat="1" ht="14.25">
      <c r="A50" s="396"/>
      <c r="B50" s="397"/>
      <c r="C50" s="397"/>
      <c r="D50" s="398"/>
      <c r="E50" s="399"/>
      <c r="F50" s="400"/>
      <c r="I50" s="397"/>
      <c r="J50" s="397"/>
      <c r="K50" s="402"/>
      <c r="L50" s="399"/>
      <c r="M50" s="400"/>
    </row>
    <row r="51" spans="1:13" s="401" customFormat="1" ht="14.25">
      <c r="A51" s="396"/>
      <c r="B51" s="397"/>
      <c r="C51" s="397"/>
      <c r="D51" s="398"/>
      <c r="E51" s="399"/>
      <c r="F51" s="400"/>
      <c r="I51" s="397"/>
      <c r="J51" s="397"/>
      <c r="K51" s="402"/>
      <c r="L51" s="399"/>
      <c r="M51" s="400"/>
    </row>
    <row r="52" spans="1:13" ht="14.25">
      <c r="A52" s="396"/>
      <c r="B52" s="403"/>
      <c r="C52" s="403"/>
      <c r="E52" s="399"/>
      <c r="F52" s="404"/>
      <c r="I52" s="403"/>
      <c r="J52" s="403"/>
      <c r="K52" s="405"/>
      <c r="L52" s="399"/>
      <c r="M52" s="404"/>
    </row>
    <row r="53" spans="2:13" ht="15">
      <c r="B53" s="403"/>
      <c r="C53" s="403"/>
      <c r="E53" s="406"/>
      <c r="F53" s="404"/>
      <c r="I53" s="403"/>
      <c r="J53" s="403"/>
      <c r="K53" s="405"/>
      <c r="L53" s="406"/>
      <c r="M53" s="404"/>
    </row>
    <row r="54" spans="1:13" ht="14.25">
      <c r="A54" s="407" t="s">
        <v>302</v>
      </c>
      <c r="B54" s="408"/>
      <c r="C54" s="408"/>
      <c r="D54" s="336"/>
      <c r="E54" s="409"/>
      <c r="F54" s="410"/>
      <c r="L54" s="409"/>
      <c r="M54" s="410"/>
    </row>
    <row r="55" spans="2:13" ht="14.25">
      <c r="B55" s="403"/>
      <c r="C55" s="411"/>
      <c r="E55" s="412"/>
      <c r="F55" s="404"/>
      <c r="I55" s="403"/>
      <c r="J55" s="411"/>
      <c r="K55" s="405"/>
      <c r="L55" s="412"/>
      <c r="M55" s="404"/>
    </row>
    <row r="56" spans="2:13" ht="14.25">
      <c r="B56" s="403"/>
      <c r="C56" s="411"/>
      <c r="E56" s="412"/>
      <c r="F56" s="413"/>
      <c r="I56" s="412"/>
      <c r="J56" s="412"/>
      <c r="L56" s="412"/>
      <c r="M56" s="413"/>
    </row>
    <row r="57" spans="2:13" ht="14.25">
      <c r="B57" s="403"/>
      <c r="C57" s="411"/>
      <c r="E57" s="412"/>
      <c r="F57" s="413"/>
      <c r="H57" s="407" t="s">
        <v>408</v>
      </c>
      <c r="I57" s="412"/>
      <c r="J57" s="412"/>
      <c r="L57" s="412"/>
      <c r="M57" s="413"/>
    </row>
    <row r="58" spans="2:13" ht="14.25">
      <c r="B58" s="403"/>
      <c r="C58" s="411"/>
      <c r="E58" s="412"/>
      <c r="F58" s="413"/>
      <c r="I58" s="403"/>
      <c r="J58" s="411"/>
      <c r="K58" s="405"/>
      <c r="L58" s="412"/>
      <c r="M58" s="413"/>
    </row>
    <row r="59" spans="2:13" ht="14.25">
      <c r="B59" s="403"/>
      <c r="C59" s="411"/>
      <c r="E59" s="412"/>
      <c r="F59" s="413"/>
      <c r="I59" s="403"/>
      <c r="J59" s="411"/>
      <c r="K59" s="405"/>
      <c r="L59" s="412"/>
      <c r="M59" s="413"/>
    </row>
    <row r="60" spans="2:13" ht="14.25">
      <c r="B60" s="403"/>
      <c r="C60" s="411"/>
      <c r="E60" s="412"/>
      <c r="F60" s="413"/>
      <c r="I60" s="403"/>
      <c r="J60" s="411"/>
      <c r="K60" s="405"/>
      <c r="L60" s="412"/>
      <c r="M60" s="413"/>
    </row>
    <row r="61" spans="2:13" ht="14.25">
      <c r="B61" s="412"/>
      <c r="C61" s="412"/>
      <c r="E61" s="412"/>
      <c r="F61" s="412"/>
      <c r="I61" s="412"/>
      <c r="J61" s="412"/>
      <c r="L61" s="412"/>
      <c r="M61" s="412"/>
    </row>
    <row r="62" spans="2:13" ht="14.25">
      <c r="B62" s="412"/>
      <c r="C62" s="412"/>
      <c r="E62" s="412"/>
      <c r="F62" s="412"/>
      <c r="I62" s="412"/>
      <c r="J62" s="412"/>
      <c r="L62" s="412"/>
      <c r="M62" s="412"/>
    </row>
    <row r="63" spans="2:13" ht="14.25">
      <c r="B63" s="412"/>
      <c r="C63" s="412"/>
      <c r="E63" s="412"/>
      <c r="F63" s="412"/>
      <c r="L63" s="412"/>
      <c r="M63" s="412"/>
    </row>
    <row r="64" spans="5:13" ht="14.25">
      <c r="E64" s="412"/>
      <c r="F64" s="412"/>
      <c r="H64" s="396"/>
      <c r="L64" s="412"/>
      <c r="M64" s="412"/>
    </row>
    <row r="65" spans="5:13" ht="14.25">
      <c r="E65" s="412"/>
      <c r="F65" s="412"/>
      <c r="H65" s="396"/>
      <c r="L65" s="412"/>
      <c r="M65" s="412"/>
    </row>
    <row r="66" spans="5:13" ht="14.25">
      <c r="E66" s="412"/>
      <c r="F66" s="412"/>
      <c r="H66" s="396"/>
      <c r="L66" s="412"/>
      <c r="M66" s="412"/>
    </row>
    <row r="67" spans="5:6" ht="14.25">
      <c r="E67" s="412"/>
      <c r="F67" s="412"/>
    </row>
    <row r="68" spans="5:6" ht="14.25">
      <c r="E68" s="412"/>
      <c r="F68" s="412"/>
    </row>
    <row r="69" spans="5:6" ht="14.25">
      <c r="E69" s="412"/>
      <c r="F69" s="412"/>
    </row>
    <row r="70" spans="5:6" ht="14.25">
      <c r="E70" s="412"/>
      <c r="F70" s="412"/>
    </row>
    <row r="71" spans="5:6" ht="14.25">
      <c r="E71" s="412"/>
      <c r="F71" s="412"/>
    </row>
    <row r="72" spans="5:6" ht="14.25">
      <c r="E72" s="412"/>
      <c r="F72" s="412"/>
    </row>
    <row r="73" spans="5:6" ht="14.25">
      <c r="E73" s="412"/>
      <c r="F73" s="412"/>
    </row>
    <row r="74" spans="5:6" ht="14.25">
      <c r="E74" s="412"/>
      <c r="F74" s="412"/>
    </row>
    <row r="75" spans="5:6" ht="14.25">
      <c r="E75" s="412"/>
      <c r="F75" s="412"/>
    </row>
    <row r="76" spans="5:6" ht="14.25">
      <c r="E76" s="412"/>
      <c r="F76" s="412"/>
    </row>
    <row r="77" spans="5:6" ht="14.25">
      <c r="E77" s="412"/>
      <c r="F77" s="412"/>
    </row>
    <row r="78" spans="1:6" ht="14.25">
      <c r="A78" s="287" t="s">
        <v>114</v>
      </c>
      <c r="E78" s="412"/>
      <c r="F78" s="412"/>
    </row>
    <row r="79" spans="1:6" ht="14.25">
      <c r="A79" s="287" t="s">
        <v>59</v>
      </c>
      <c r="E79" s="412"/>
      <c r="F79" s="412"/>
    </row>
    <row r="80" spans="5:6" ht="14.25">
      <c r="E80" s="412"/>
      <c r="F80" s="412"/>
    </row>
    <row r="81" spans="5:6" ht="14.25">
      <c r="E81" s="412"/>
      <c r="F81" s="412"/>
    </row>
    <row r="82" spans="5:6" ht="14.25">
      <c r="E82" s="412"/>
      <c r="F82" s="412"/>
    </row>
    <row r="83" spans="5:6" ht="14.25">
      <c r="E83" s="412"/>
      <c r="F83" s="412"/>
    </row>
    <row r="84" spans="5:6" ht="14.25">
      <c r="E84" s="412"/>
      <c r="F84" s="412"/>
    </row>
    <row r="85" spans="5:6" ht="14.25">
      <c r="E85" s="412"/>
      <c r="F85" s="412"/>
    </row>
    <row r="86" spans="5:6" ht="14.25">
      <c r="E86" s="412"/>
      <c r="F86" s="412"/>
    </row>
    <row r="87" spans="5:8" ht="14.25">
      <c r="E87" s="412"/>
      <c r="F87" s="412"/>
      <c r="H87" s="287" t="s">
        <v>114</v>
      </c>
    </row>
    <row r="88" spans="5:8" ht="14.25">
      <c r="E88" s="412"/>
      <c r="F88" s="412"/>
      <c r="H88" s="287" t="s">
        <v>59</v>
      </c>
    </row>
    <row r="89" spans="5:6" ht="14.25">
      <c r="E89" s="412"/>
      <c r="F89" s="412"/>
    </row>
    <row r="90" spans="5:6" ht="14.25">
      <c r="E90" s="412"/>
      <c r="F90" s="412"/>
    </row>
    <row r="91" spans="5:6" ht="14.25">
      <c r="E91" s="412"/>
      <c r="F91" s="412"/>
    </row>
    <row r="92" spans="5:6" ht="14.25">
      <c r="E92" s="412"/>
      <c r="F92" s="412"/>
    </row>
    <row r="93" spans="5:6" ht="14.25">
      <c r="E93" s="412"/>
      <c r="F93" s="412"/>
    </row>
    <row r="94" spans="5:6" ht="14.25">
      <c r="E94" s="412"/>
      <c r="F94" s="412"/>
    </row>
    <row r="95" spans="5:6" ht="14.25">
      <c r="E95" s="412"/>
      <c r="F95" s="412"/>
    </row>
    <row r="96" spans="5:6" ht="14.25">
      <c r="E96" s="412"/>
      <c r="F96" s="412"/>
    </row>
    <row r="97" spans="5:6" ht="14.25">
      <c r="E97" s="412"/>
      <c r="F97" s="412"/>
    </row>
    <row r="98" spans="5:6" ht="14.25">
      <c r="E98" s="412"/>
      <c r="F98" s="412"/>
    </row>
    <row r="99" spans="5:6" ht="14.25">
      <c r="E99" s="412"/>
      <c r="F99" s="412"/>
    </row>
    <row r="100" spans="5:6" ht="14.25">
      <c r="E100" s="412"/>
      <c r="F100" s="412"/>
    </row>
    <row r="101" spans="5:6" ht="14.25">
      <c r="E101" s="412"/>
      <c r="F101" s="412"/>
    </row>
    <row r="102" spans="5:6" ht="14.25">
      <c r="E102" s="412"/>
      <c r="F102" s="412"/>
    </row>
    <row r="103" spans="5:6" ht="14.25">
      <c r="E103" s="412"/>
      <c r="F103" s="412"/>
    </row>
    <row r="104" spans="5:6" ht="14.25">
      <c r="E104" s="412"/>
      <c r="F104" s="412"/>
    </row>
    <row r="105" spans="5:6" ht="14.25">
      <c r="E105" s="412"/>
      <c r="F105" s="412"/>
    </row>
    <row r="106" spans="5:6" ht="14.25">
      <c r="E106" s="412"/>
      <c r="F106" s="412"/>
    </row>
    <row r="107" spans="5:6" ht="14.25">
      <c r="E107" s="412"/>
      <c r="F107" s="412"/>
    </row>
    <row r="108" spans="5:6" ht="14.25">
      <c r="E108" s="412"/>
      <c r="F108" s="412"/>
    </row>
    <row r="109" spans="5:6" ht="14.25">
      <c r="E109" s="412"/>
      <c r="F109" s="412"/>
    </row>
    <row r="110" spans="5:6" ht="14.25">
      <c r="E110" s="412"/>
      <c r="F110" s="412"/>
    </row>
    <row r="111" spans="5:6" ht="14.25">
      <c r="E111" s="412"/>
      <c r="F111" s="412"/>
    </row>
    <row r="112" spans="5:6" ht="14.25">
      <c r="E112" s="412"/>
      <c r="F112" s="412"/>
    </row>
    <row r="113" spans="5:6" ht="14.25">
      <c r="E113" s="412"/>
      <c r="F113" s="412"/>
    </row>
    <row r="114" spans="5:6" ht="14.25">
      <c r="E114" s="412"/>
      <c r="F114" s="412"/>
    </row>
    <row r="115" spans="5:6" ht="14.25">
      <c r="E115" s="412"/>
      <c r="F115" s="412"/>
    </row>
    <row r="116" spans="5:6" ht="14.25">
      <c r="E116" s="412"/>
      <c r="F116" s="412"/>
    </row>
    <row r="117" spans="5:6" ht="14.25">
      <c r="E117" s="412"/>
      <c r="F117" s="412"/>
    </row>
    <row r="118" spans="5:6" ht="14.25">
      <c r="E118" s="412"/>
      <c r="F118" s="412"/>
    </row>
    <row r="119" spans="5:6" ht="14.25">
      <c r="E119" s="412"/>
      <c r="F119" s="412"/>
    </row>
    <row r="120" spans="5:6" ht="14.25">
      <c r="E120" s="412"/>
      <c r="F120" s="412"/>
    </row>
    <row r="121" spans="5:6" ht="14.25">
      <c r="E121" s="412"/>
      <c r="F121" s="412"/>
    </row>
    <row r="122" spans="5:6" ht="14.25">
      <c r="E122" s="412"/>
      <c r="F122" s="412"/>
    </row>
    <row r="123" spans="5:6" ht="14.25">
      <c r="E123" s="412"/>
      <c r="F123" s="412"/>
    </row>
    <row r="124" spans="5:6" ht="14.25">
      <c r="E124" s="412"/>
      <c r="F124" s="412"/>
    </row>
    <row r="125" spans="5:6" ht="14.25">
      <c r="E125" s="412"/>
      <c r="F125" s="412"/>
    </row>
    <row r="126" spans="5:6" ht="14.25">
      <c r="E126" s="412"/>
      <c r="F126" s="412"/>
    </row>
    <row r="127" spans="5:6" ht="14.25">
      <c r="E127" s="412"/>
      <c r="F127" s="412"/>
    </row>
    <row r="128" spans="5:6" ht="14.25">
      <c r="E128" s="412"/>
      <c r="F128" s="412"/>
    </row>
    <row r="129" spans="5:6" ht="14.25">
      <c r="E129" s="412"/>
      <c r="F129" s="412"/>
    </row>
    <row r="130" spans="5:6" ht="14.25">
      <c r="E130" s="412"/>
      <c r="F130" s="412"/>
    </row>
    <row r="131" spans="5:6" ht="14.25">
      <c r="E131" s="412"/>
      <c r="F131" s="412"/>
    </row>
    <row r="132" spans="5:6" ht="14.25">
      <c r="E132" s="412"/>
      <c r="F132" s="412"/>
    </row>
    <row r="133" spans="5:6" ht="14.25">
      <c r="E133" s="412"/>
      <c r="F133" s="412"/>
    </row>
    <row r="134" spans="5:6" ht="14.25">
      <c r="E134" s="412"/>
      <c r="F134" s="412"/>
    </row>
    <row r="135" spans="5:6" ht="14.25">
      <c r="E135" s="412"/>
      <c r="F135" s="412"/>
    </row>
    <row r="136" spans="5:6" ht="14.25">
      <c r="E136" s="412"/>
      <c r="F136" s="412"/>
    </row>
    <row r="137" spans="5:6" ht="14.25">
      <c r="E137" s="412"/>
      <c r="F137" s="412"/>
    </row>
    <row r="138" spans="5:6" ht="14.25">
      <c r="E138" s="412"/>
      <c r="F138" s="412"/>
    </row>
    <row r="139" spans="5:6" ht="14.25">
      <c r="E139" s="412"/>
      <c r="F139" s="412"/>
    </row>
    <row r="140" spans="5:6" ht="14.25">
      <c r="E140" s="412"/>
      <c r="F140" s="412"/>
    </row>
    <row r="141" spans="5:6" ht="14.25">
      <c r="E141" s="412"/>
      <c r="F141" s="412"/>
    </row>
    <row r="142" spans="5:6" ht="14.25">
      <c r="E142" s="412"/>
      <c r="F142" s="412"/>
    </row>
    <row r="143" spans="5:6" ht="14.25">
      <c r="E143" s="412"/>
      <c r="F143" s="412"/>
    </row>
    <row r="144" spans="5:6" ht="14.25">
      <c r="E144" s="412"/>
      <c r="F144" s="412"/>
    </row>
    <row r="145" spans="5:6" ht="14.25">
      <c r="E145" s="412"/>
      <c r="F145" s="412"/>
    </row>
    <row r="146" spans="5:6" ht="14.25">
      <c r="E146" s="412"/>
      <c r="F146" s="412"/>
    </row>
    <row r="147" spans="5:6" ht="14.25">
      <c r="E147" s="412"/>
      <c r="F147" s="412"/>
    </row>
    <row r="148" spans="5:6" ht="14.25">
      <c r="E148" s="412"/>
      <c r="F148" s="412"/>
    </row>
    <row r="149" spans="5:6" ht="14.25">
      <c r="E149" s="412"/>
      <c r="F149" s="412"/>
    </row>
    <row r="150" spans="5:6" ht="14.25">
      <c r="E150" s="412"/>
      <c r="F150" s="412"/>
    </row>
    <row r="151" spans="5:6" ht="14.25">
      <c r="E151" s="412"/>
      <c r="F151" s="412"/>
    </row>
    <row r="152" spans="5:6" ht="14.25">
      <c r="E152" s="412"/>
      <c r="F152" s="412"/>
    </row>
    <row r="153" spans="5:6" ht="14.25">
      <c r="E153" s="412"/>
      <c r="F153" s="412"/>
    </row>
    <row r="154" spans="5:6" ht="14.25">
      <c r="E154" s="412"/>
      <c r="F154" s="412"/>
    </row>
    <row r="155" spans="5:6" ht="14.25">
      <c r="E155" s="412"/>
      <c r="F155" s="412"/>
    </row>
    <row r="156" spans="5:6" ht="14.25">
      <c r="E156" s="412"/>
      <c r="F156" s="412"/>
    </row>
    <row r="157" spans="5:6" ht="14.25">
      <c r="E157" s="412"/>
      <c r="F157" s="412"/>
    </row>
    <row r="158" spans="5:6" ht="14.25">
      <c r="E158" s="412"/>
      <c r="F158" s="412"/>
    </row>
    <row r="159" spans="5:6" ht="14.25">
      <c r="E159" s="412"/>
      <c r="F159" s="412"/>
    </row>
    <row r="160" spans="5:6" ht="14.25">
      <c r="E160" s="412"/>
      <c r="F160" s="412"/>
    </row>
    <row r="161" spans="5:6" ht="14.25">
      <c r="E161" s="412"/>
      <c r="F161" s="412"/>
    </row>
    <row r="162" spans="5:6" ht="14.25">
      <c r="E162" s="412"/>
      <c r="F162" s="412"/>
    </row>
    <row r="163" spans="5:6" ht="14.25">
      <c r="E163" s="412"/>
      <c r="F163" s="412"/>
    </row>
    <row r="164" spans="5:6" ht="14.25">
      <c r="E164" s="412"/>
      <c r="F164" s="412"/>
    </row>
    <row r="165" spans="5:6" ht="14.25">
      <c r="E165" s="412"/>
      <c r="F165" s="412"/>
    </row>
    <row r="166" spans="5:6" ht="14.25">
      <c r="E166" s="412"/>
      <c r="F166" s="412"/>
    </row>
    <row r="167" spans="5:6" ht="14.25">
      <c r="E167" s="412"/>
      <c r="F167" s="412"/>
    </row>
    <row r="168" spans="5:6" ht="14.25">
      <c r="E168" s="412"/>
      <c r="F168" s="412"/>
    </row>
    <row r="169" spans="5:6" ht="14.25">
      <c r="E169" s="412"/>
      <c r="F169" s="412"/>
    </row>
    <row r="170" spans="5:6" ht="14.25">
      <c r="E170" s="412"/>
      <c r="F170" s="412"/>
    </row>
    <row r="171" spans="5:6" ht="14.25">
      <c r="E171" s="412"/>
      <c r="F171" s="412"/>
    </row>
    <row r="172" spans="5:6" ht="14.25">
      <c r="E172" s="412"/>
      <c r="F172" s="412"/>
    </row>
    <row r="173" spans="5:6" ht="14.25">
      <c r="E173" s="412"/>
      <c r="F173" s="412"/>
    </row>
    <row r="174" spans="5:6" ht="14.25">
      <c r="E174" s="412"/>
      <c r="F174" s="412"/>
    </row>
    <row r="175" spans="5:6" ht="14.25">
      <c r="E175" s="412"/>
      <c r="F175" s="412"/>
    </row>
    <row r="176" spans="5:6" ht="14.25">
      <c r="E176" s="412"/>
      <c r="F176" s="412"/>
    </row>
    <row r="177" spans="5:6" ht="14.25">
      <c r="E177" s="412"/>
      <c r="F177" s="412"/>
    </row>
    <row r="178" spans="5:6" ht="14.25">
      <c r="E178" s="412"/>
      <c r="F178" s="412"/>
    </row>
    <row r="179" spans="5:6" ht="14.25">
      <c r="E179" s="412"/>
      <c r="F179" s="412"/>
    </row>
    <row r="180" spans="5:6" ht="14.25">
      <c r="E180" s="412"/>
      <c r="F180" s="412"/>
    </row>
    <row r="181" spans="5:6" ht="14.25">
      <c r="E181" s="412"/>
      <c r="F181" s="412"/>
    </row>
    <row r="182" spans="5:6" ht="14.25">
      <c r="E182" s="412"/>
      <c r="F182" s="412"/>
    </row>
    <row r="183" spans="5:6" ht="14.25">
      <c r="E183" s="412"/>
      <c r="F183" s="412"/>
    </row>
    <row r="184" spans="5:6" ht="14.25">
      <c r="E184" s="412"/>
      <c r="F184" s="412"/>
    </row>
    <row r="185" spans="5:6" ht="14.25">
      <c r="E185" s="412"/>
      <c r="F185" s="412"/>
    </row>
    <row r="186" spans="5:6" ht="14.25">
      <c r="E186" s="412"/>
      <c r="F186" s="412"/>
    </row>
    <row r="187" spans="5:6" ht="14.25">
      <c r="E187" s="412"/>
      <c r="F187" s="412"/>
    </row>
    <row r="188" spans="5:6" ht="14.25">
      <c r="E188" s="412"/>
      <c r="F188" s="412"/>
    </row>
    <row r="189" spans="5:6" ht="14.25">
      <c r="E189" s="412"/>
      <c r="F189" s="412"/>
    </row>
    <row r="190" spans="5:6" ht="14.25">
      <c r="E190" s="412"/>
      <c r="F190" s="412"/>
    </row>
    <row r="191" spans="5:6" ht="14.25">
      <c r="E191" s="412"/>
      <c r="F191" s="412"/>
    </row>
    <row r="192" spans="5:6" ht="14.25">
      <c r="E192" s="412"/>
      <c r="F192" s="412"/>
    </row>
    <row r="193" spans="5:6" ht="14.25">
      <c r="E193" s="412"/>
      <c r="F193" s="412"/>
    </row>
    <row r="194" spans="5:6" ht="14.25">
      <c r="E194" s="412"/>
      <c r="F194" s="412"/>
    </row>
    <row r="195" spans="5:6" ht="14.25">
      <c r="E195" s="412"/>
      <c r="F195" s="412"/>
    </row>
    <row r="196" spans="5:6" ht="14.25">
      <c r="E196" s="412"/>
      <c r="F196" s="412"/>
    </row>
    <row r="197" spans="5:6" ht="14.25">
      <c r="E197" s="412"/>
      <c r="F197" s="412"/>
    </row>
    <row r="198" spans="5:6" ht="14.25">
      <c r="E198" s="412"/>
      <c r="F198" s="412"/>
    </row>
    <row r="199" spans="5:6" ht="14.25">
      <c r="E199" s="412"/>
      <c r="F199" s="412"/>
    </row>
    <row r="200" spans="5:6" ht="14.25">
      <c r="E200" s="412"/>
      <c r="F200" s="412"/>
    </row>
    <row r="201" spans="5:6" ht="14.25">
      <c r="E201" s="412"/>
      <c r="F201" s="412"/>
    </row>
    <row r="202" spans="5:6" ht="14.25">
      <c r="E202" s="412"/>
      <c r="F202" s="412"/>
    </row>
    <row r="203" spans="5:6" ht="14.25">
      <c r="E203" s="412"/>
      <c r="F203" s="412"/>
    </row>
    <row r="204" spans="5:6" ht="14.25">
      <c r="E204" s="412"/>
      <c r="F204" s="412"/>
    </row>
    <row r="205" spans="5:6" ht="14.25">
      <c r="E205" s="412"/>
      <c r="F205" s="412"/>
    </row>
    <row r="206" spans="5:6" ht="14.25">
      <c r="E206" s="412"/>
      <c r="F206" s="412"/>
    </row>
    <row r="207" spans="5:6" ht="14.25">
      <c r="E207" s="412"/>
      <c r="F207" s="412"/>
    </row>
    <row r="208" spans="5:6" ht="14.25">
      <c r="E208" s="412"/>
      <c r="F208" s="412"/>
    </row>
    <row r="209" spans="5:6" ht="14.25">
      <c r="E209" s="412"/>
      <c r="F209" s="412"/>
    </row>
    <row r="210" spans="5:6" ht="14.25">
      <c r="E210" s="412"/>
      <c r="F210" s="412"/>
    </row>
    <row r="211" spans="5:6" ht="14.25">
      <c r="E211" s="412"/>
      <c r="F211" s="412"/>
    </row>
    <row r="212" spans="5:6" ht="14.25">
      <c r="E212" s="412"/>
      <c r="F212" s="412"/>
    </row>
    <row r="213" spans="5:6" ht="14.25">
      <c r="E213" s="412"/>
      <c r="F213" s="412"/>
    </row>
    <row r="214" spans="5:6" ht="14.25">
      <c r="E214" s="412"/>
      <c r="F214" s="412"/>
    </row>
    <row r="215" spans="5:6" ht="14.25">
      <c r="E215" s="412"/>
      <c r="F215" s="412"/>
    </row>
    <row r="216" spans="5:6" ht="14.25">
      <c r="E216" s="412"/>
      <c r="F216" s="412"/>
    </row>
    <row r="217" spans="5:6" ht="14.25">
      <c r="E217" s="412"/>
      <c r="F217" s="412"/>
    </row>
    <row r="218" spans="5:6" ht="14.25">
      <c r="E218" s="412"/>
      <c r="F218" s="412"/>
    </row>
    <row r="219" spans="5:6" ht="14.25">
      <c r="E219" s="412"/>
      <c r="F219" s="412"/>
    </row>
    <row r="220" spans="5:6" ht="14.25">
      <c r="E220" s="412"/>
      <c r="F220" s="412"/>
    </row>
    <row r="221" spans="5:6" ht="14.25">
      <c r="E221" s="412"/>
      <c r="F221" s="412"/>
    </row>
    <row r="222" spans="5:6" ht="14.25">
      <c r="E222" s="412"/>
      <c r="F222" s="412"/>
    </row>
    <row r="223" spans="5:6" ht="14.25">
      <c r="E223" s="412"/>
      <c r="F223" s="412"/>
    </row>
    <row r="224" spans="5:6" ht="14.25">
      <c r="E224" s="412"/>
      <c r="F224" s="412"/>
    </row>
    <row r="225" spans="5:6" ht="14.25">
      <c r="E225" s="412"/>
      <c r="F225" s="412"/>
    </row>
    <row r="226" spans="5:6" ht="14.25">
      <c r="E226" s="412"/>
      <c r="F226" s="412"/>
    </row>
    <row r="227" spans="5:6" ht="14.25">
      <c r="E227" s="412"/>
      <c r="F227" s="412"/>
    </row>
    <row r="228" spans="5:6" ht="14.25">
      <c r="E228" s="412"/>
      <c r="F228" s="412"/>
    </row>
    <row r="229" spans="5:6" ht="14.25">
      <c r="E229" s="412"/>
      <c r="F229" s="412"/>
    </row>
    <row r="230" spans="5:6" ht="14.25">
      <c r="E230" s="412"/>
      <c r="F230" s="412"/>
    </row>
    <row r="231" spans="5:6" ht="14.25">
      <c r="E231" s="412"/>
      <c r="F231" s="412"/>
    </row>
    <row r="232" spans="5:6" ht="14.25">
      <c r="E232" s="412"/>
      <c r="F232" s="412"/>
    </row>
    <row r="233" spans="5:6" ht="14.25">
      <c r="E233" s="412"/>
      <c r="F233" s="412"/>
    </row>
    <row r="234" spans="5:6" ht="14.25">
      <c r="E234" s="412"/>
      <c r="F234" s="412"/>
    </row>
    <row r="235" spans="5:6" ht="14.25">
      <c r="E235" s="412"/>
      <c r="F235" s="412"/>
    </row>
    <row r="236" spans="5:6" ht="14.25">
      <c r="E236" s="412"/>
      <c r="F236" s="412"/>
    </row>
    <row r="237" spans="5:6" ht="14.25">
      <c r="E237" s="412"/>
      <c r="F237" s="412"/>
    </row>
    <row r="238" spans="5:6" ht="14.25">
      <c r="E238" s="412"/>
      <c r="F238" s="412"/>
    </row>
    <row r="239" spans="5:6" ht="14.25">
      <c r="E239" s="412"/>
      <c r="F239" s="412"/>
    </row>
    <row r="240" spans="5:6" ht="14.25">
      <c r="E240" s="412"/>
      <c r="F240" s="412"/>
    </row>
    <row r="241" spans="5:6" ht="14.25">
      <c r="E241" s="412"/>
      <c r="F241" s="412"/>
    </row>
    <row r="242" spans="5:6" ht="14.25">
      <c r="E242" s="412"/>
      <c r="F242" s="412"/>
    </row>
    <row r="243" spans="5:6" ht="14.25">
      <c r="E243" s="412"/>
      <c r="F243" s="412"/>
    </row>
    <row r="244" spans="5:6" ht="14.25">
      <c r="E244" s="412"/>
      <c r="F244" s="412"/>
    </row>
    <row r="245" spans="5:6" ht="14.25">
      <c r="E245" s="412"/>
      <c r="F245" s="412"/>
    </row>
    <row r="246" spans="5:6" ht="14.25">
      <c r="E246" s="412"/>
      <c r="F246" s="412"/>
    </row>
    <row r="247" spans="5:6" ht="14.25">
      <c r="E247" s="412"/>
      <c r="F247" s="412"/>
    </row>
    <row r="248" spans="5:6" ht="14.25">
      <c r="E248" s="412"/>
      <c r="F248" s="412"/>
    </row>
    <row r="249" spans="5:6" ht="14.25">
      <c r="E249" s="412"/>
      <c r="F249" s="412"/>
    </row>
    <row r="250" spans="5:6" ht="14.25">
      <c r="E250" s="412"/>
      <c r="F250" s="412"/>
    </row>
    <row r="251" spans="5:6" ht="14.25">
      <c r="E251" s="412"/>
      <c r="F251" s="412"/>
    </row>
    <row r="252" spans="5:6" ht="14.25">
      <c r="E252" s="412"/>
      <c r="F252" s="412"/>
    </row>
    <row r="253" spans="5:6" ht="14.25">
      <c r="E253" s="412"/>
      <c r="F253" s="412"/>
    </row>
    <row r="254" spans="5:6" ht="14.25">
      <c r="E254" s="412"/>
      <c r="F254" s="412"/>
    </row>
    <row r="255" spans="5:6" ht="14.25">
      <c r="E255" s="412"/>
      <c r="F255" s="412"/>
    </row>
    <row r="256" spans="5:6" ht="14.25">
      <c r="E256" s="412"/>
      <c r="F256" s="412"/>
    </row>
    <row r="257" spans="5:6" ht="14.25">
      <c r="E257" s="412"/>
      <c r="F257" s="412"/>
    </row>
    <row r="258" spans="5:6" ht="14.25">
      <c r="E258" s="412"/>
      <c r="F258" s="412"/>
    </row>
    <row r="259" spans="5:6" ht="14.25">
      <c r="E259" s="412"/>
      <c r="F259" s="412"/>
    </row>
    <row r="260" spans="5:6" ht="14.25">
      <c r="E260" s="412"/>
      <c r="F260" s="412"/>
    </row>
    <row r="261" spans="5:6" ht="14.25">
      <c r="E261" s="412"/>
      <c r="F261" s="412"/>
    </row>
    <row r="262" spans="5:6" ht="14.25">
      <c r="E262" s="412"/>
      <c r="F262" s="412"/>
    </row>
    <row r="263" spans="5:6" ht="14.25">
      <c r="E263" s="412"/>
      <c r="F263" s="412"/>
    </row>
    <row r="264" spans="5:6" ht="14.25">
      <c r="E264" s="412"/>
      <c r="F264" s="412"/>
    </row>
    <row r="265" spans="5:6" ht="14.25">
      <c r="E265" s="412"/>
      <c r="F265" s="412"/>
    </row>
    <row r="266" spans="5:6" ht="14.25">
      <c r="E266" s="412"/>
      <c r="F266" s="412"/>
    </row>
    <row r="267" spans="5:6" ht="14.25">
      <c r="E267" s="412"/>
      <c r="F267" s="412"/>
    </row>
    <row r="268" spans="5:6" ht="14.25">
      <c r="E268" s="412"/>
      <c r="F268" s="412"/>
    </row>
    <row r="269" spans="5:6" ht="14.25">
      <c r="E269" s="412"/>
      <c r="F269" s="412"/>
    </row>
    <row r="270" spans="5:6" ht="14.25">
      <c r="E270" s="412"/>
      <c r="F270" s="412"/>
    </row>
    <row r="271" spans="5:6" ht="14.25">
      <c r="E271" s="412"/>
      <c r="F271" s="412"/>
    </row>
    <row r="272" spans="5:6" ht="14.25">
      <c r="E272" s="412"/>
      <c r="F272" s="412"/>
    </row>
    <row r="273" spans="5:6" ht="14.25">
      <c r="E273" s="412"/>
      <c r="F273" s="412"/>
    </row>
    <row r="274" spans="5:6" ht="14.25">
      <c r="E274" s="412"/>
      <c r="F274" s="412"/>
    </row>
    <row r="275" spans="5:6" ht="14.25">
      <c r="E275" s="412"/>
      <c r="F275" s="412"/>
    </row>
    <row r="276" spans="5:6" ht="14.25">
      <c r="E276" s="412"/>
      <c r="F276" s="412"/>
    </row>
    <row r="277" spans="5:6" ht="14.25">
      <c r="E277" s="412"/>
      <c r="F277" s="412"/>
    </row>
    <row r="278" spans="5:6" ht="14.25">
      <c r="E278" s="412"/>
      <c r="F278" s="412"/>
    </row>
    <row r="279" spans="5:6" ht="14.25">
      <c r="E279" s="412"/>
      <c r="F279" s="412"/>
    </row>
    <row r="280" spans="5:6" ht="14.25">
      <c r="E280" s="412"/>
      <c r="F280" s="412"/>
    </row>
    <row r="281" spans="5:6" ht="14.25">
      <c r="E281" s="412"/>
      <c r="F281" s="412"/>
    </row>
    <row r="282" spans="5:6" ht="14.25">
      <c r="E282" s="412"/>
      <c r="F282" s="412"/>
    </row>
    <row r="283" spans="5:6" ht="14.25">
      <c r="E283" s="412"/>
      <c r="F283" s="412"/>
    </row>
    <row r="284" spans="5:6" ht="14.25">
      <c r="E284" s="412"/>
      <c r="F284" s="412"/>
    </row>
    <row r="285" spans="5:6" ht="14.25">
      <c r="E285" s="412"/>
      <c r="F285" s="412"/>
    </row>
    <row r="286" spans="5:6" ht="14.25">
      <c r="E286" s="412"/>
      <c r="F286" s="412"/>
    </row>
    <row r="287" spans="5:6" ht="14.25">
      <c r="E287" s="412"/>
      <c r="F287" s="412"/>
    </row>
    <row r="288" spans="5:6" ht="14.25">
      <c r="E288" s="412"/>
      <c r="F288" s="412"/>
    </row>
    <row r="289" spans="5:6" ht="14.25">
      <c r="E289" s="412"/>
      <c r="F289" s="412"/>
    </row>
    <row r="290" spans="5:6" ht="14.25">
      <c r="E290" s="412"/>
      <c r="F290" s="412"/>
    </row>
    <row r="291" spans="5:6" ht="14.25">
      <c r="E291" s="412"/>
      <c r="F291" s="412"/>
    </row>
    <row r="292" spans="5:6" ht="14.25">
      <c r="E292" s="412"/>
      <c r="F292" s="412"/>
    </row>
    <row r="293" spans="5:6" ht="14.25">
      <c r="E293" s="412"/>
      <c r="F293" s="412"/>
    </row>
    <row r="294" spans="5:6" ht="14.25">
      <c r="E294" s="412"/>
      <c r="F294" s="412"/>
    </row>
    <row r="295" spans="5:6" ht="14.25">
      <c r="E295" s="412"/>
      <c r="F295" s="412"/>
    </row>
    <row r="296" spans="5:6" ht="14.25">
      <c r="E296" s="412"/>
      <c r="F296" s="412"/>
    </row>
    <row r="297" spans="5:6" ht="14.25">
      <c r="E297" s="412"/>
      <c r="F297" s="412"/>
    </row>
    <row r="298" spans="5:6" ht="14.25">
      <c r="E298" s="412"/>
      <c r="F298" s="412"/>
    </row>
    <row r="299" spans="5:6" ht="14.25">
      <c r="E299" s="412"/>
      <c r="F299" s="412"/>
    </row>
    <row r="300" spans="5:6" ht="14.25">
      <c r="E300" s="412"/>
      <c r="F300" s="412"/>
    </row>
    <row r="301" spans="5:6" ht="14.25">
      <c r="E301" s="412"/>
      <c r="F301" s="412"/>
    </row>
    <row r="302" spans="5:6" ht="14.25">
      <c r="E302" s="412"/>
      <c r="F302" s="412"/>
    </row>
    <row r="303" spans="5:6" ht="14.25">
      <c r="E303" s="412"/>
      <c r="F303" s="412"/>
    </row>
    <row r="304" spans="5:6" ht="14.25">
      <c r="E304" s="412"/>
      <c r="F304" s="412"/>
    </row>
    <row r="305" spans="5:6" ht="14.25">
      <c r="E305" s="412"/>
      <c r="F305" s="412"/>
    </row>
    <row r="306" spans="5:6" ht="14.25">
      <c r="E306" s="412"/>
      <c r="F306" s="412"/>
    </row>
    <row r="307" spans="5:6" ht="14.25">
      <c r="E307" s="412"/>
      <c r="F307" s="412"/>
    </row>
    <row r="308" spans="5:6" ht="14.25">
      <c r="E308" s="412"/>
      <c r="F308" s="412"/>
    </row>
    <row r="309" spans="5:6" ht="14.25">
      <c r="E309" s="412"/>
      <c r="F309" s="412"/>
    </row>
    <row r="310" spans="5:6" ht="14.25">
      <c r="E310" s="412"/>
      <c r="F310" s="412"/>
    </row>
    <row r="311" spans="5:6" ht="14.25">
      <c r="E311" s="412"/>
      <c r="F311" s="412"/>
    </row>
    <row r="312" spans="5:6" ht="14.25">
      <c r="E312" s="412"/>
      <c r="F312" s="412"/>
    </row>
    <row r="313" spans="5:6" ht="14.25">
      <c r="E313" s="412"/>
      <c r="F313" s="412"/>
    </row>
    <row r="314" spans="5:6" ht="14.25">
      <c r="E314" s="412"/>
      <c r="F314" s="412"/>
    </row>
    <row r="315" spans="5:6" ht="14.25">
      <c r="E315" s="412"/>
      <c r="F315" s="412"/>
    </row>
    <row r="316" spans="5:6" ht="14.25">
      <c r="E316" s="412"/>
      <c r="F316" s="412"/>
    </row>
    <row r="317" spans="5:6" ht="14.25">
      <c r="E317" s="412"/>
      <c r="F317" s="412"/>
    </row>
  </sheetData>
  <printOptions/>
  <pageMargins left="0.75" right="0.75" top="1" bottom="1" header="0.5" footer="0.5"/>
  <pageSetup firstPageNumber="16" useFirstPageNumber="1" horizontalDpi="300" verticalDpi="300" orientation="portrait" paperSize="9" scale="81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F8">
      <selection activeCell="L8" sqref="L8"/>
    </sheetView>
  </sheetViews>
  <sheetFormatPr defaultColWidth="9.140625" defaultRowHeight="12.75"/>
  <cols>
    <col min="1" max="1" width="36.140625" style="282" hidden="1" customWidth="1"/>
    <col min="2" max="2" width="12.57421875" style="282" hidden="1" customWidth="1"/>
    <col min="3" max="3" width="12.7109375" style="282" hidden="1" customWidth="1"/>
    <col min="4" max="4" width="13.8515625" style="282" hidden="1" customWidth="1"/>
    <col min="5" max="5" width="14.28125" style="282" hidden="1" customWidth="1"/>
    <col min="6" max="6" width="40.57421875" style="282" customWidth="1"/>
    <col min="7" max="7" width="12.421875" style="282" customWidth="1"/>
    <col min="8" max="8" width="9.7109375" style="282" customWidth="1"/>
    <col min="9" max="9" width="12.140625" style="282" customWidth="1"/>
    <col min="10" max="10" width="12.00390625" style="282" customWidth="1"/>
    <col min="11" max="16384" width="9.140625" style="282" customWidth="1"/>
  </cols>
  <sheetData>
    <row r="1" spans="1:10" ht="17.25" customHeight="1">
      <c r="A1" s="32" t="s">
        <v>409</v>
      </c>
      <c r="B1" s="32"/>
      <c r="C1" s="32"/>
      <c r="D1" s="32"/>
      <c r="E1" s="282" t="s">
        <v>410</v>
      </c>
      <c r="F1" s="282" t="s">
        <v>411</v>
      </c>
      <c r="G1" s="32"/>
      <c r="H1" s="32"/>
      <c r="I1" s="32"/>
      <c r="J1" s="414" t="s">
        <v>410</v>
      </c>
    </row>
    <row r="2" ht="1.5" customHeight="1" hidden="1"/>
    <row r="3" ht="15.75" customHeight="1"/>
    <row r="4" spans="1:10" ht="15.75">
      <c r="A4" s="45" t="s">
        <v>412</v>
      </c>
      <c r="B4" s="45"/>
      <c r="C4" s="45"/>
      <c r="D4" s="45"/>
      <c r="E4" s="45"/>
      <c r="F4" s="45" t="s">
        <v>412</v>
      </c>
      <c r="G4" s="45"/>
      <c r="H4" s="45"/>
      <c r="I4" s="45"/>
      <c r="J4" s="45"/>
    </row>
    <row r="5" spans="1:10" ht="19.5" customHeight="1">
      <c r="A5" s="415" t="s">
        <v>413</v>
      </c>
      <c r="B5" s="415"/>
      <c r="C5" s="415"/>
      <c r="D5" s="415"/>
      <c r="E5" s="415"/>
      <c r="F5" s="415" t="s">
        <v>413</v>
      </c>
      <c r="G5" s="415"/>
      <c r="H5" s="415"/>
      <c r="I5" s="415"/>
      <c r="J5" s="415"/>
    </row>
    <row r="6" spans="5:10" ht="17.25" customHeight="1">
      <c r="E6" s="282" t="s">
        <v>308</v>
      </c>
      <c r="J6" s="414" t="s">
        <v>67</v>
      </c>
    </row>
    <row r="7" spans="1:10" ht="51">
      <c r="A7" s="291" t="s">
        <v>18</v>
      </c>
      <c r="B7" s="291" t="s">
        <v>242</v>
      </c>
      <c r="C7" s="50" t="s">
        <v>70</v>
      </c>
      <c r="D7" s="50" t="s">
        <v>414</v>
      </c>
      <c r="E7" s="50" t="s">
        <v>245</v>
      </c>
      <c r="F7" s="291" t="s">
        <v>18</v>
      </c>
      <c r="G7" s="291" t="s">
        <v>69</v>
      </c>
      <c r="H7" s="50" t="s">
        <v>70</v>
      </c>
      <c r="I7" s="50" t="s">
        <v>414</v>
      </c>
      <c r="J7" s="50" t="str">
        <f>E7</f>
        <v>Jūlija  izpilde</v>
      </c>
    </row>
    <row r="8" spans="1:10" ht="12.75">
      <c r="A8" s="291">
        <v>1</v>
      </c>
      <c r="B8" s="291">
        <v>2</v>
      </c>
      <c r="C8" s="291">
        <v>3</v>
      </c>
      <c r="D8" s="291">
        <v>4</v>
      </c>
      <c r="E8" s="416">
        <v>5</v>
      </c>
      <c r="F8" s="291">
        <v>1</v>
      </c>
      <c r="G8" s="291">
        <v>2</v>
      </c>
      <c r="H8" s="291">
        <v>3</v>
      </c>
      <c r="I8" s="291">
        <v>4</v>
      </c>
      <c r="J8" s="291">
        <v>5</v>
      </c>
    </row>
    <row r="9" spans="1:10" ht="25.5">
      <c r="A9" s="116" t="s">
        <v>415</v>
      </c>
      <c r="B9" s="310" t="s">
        <v>25</v>
      </c>
      <c r="C9" s="417">
        <f>SUM(C10:C11)</f>
        <v>16619684</v>
      </c>
      <c r="D9" s="294" t="str">
        <f>IF(ISERROR(C9/B9)," ",(C9/B9))</f>
        <v> </v>
      </c>
      <c r="E9" s="418">
        <f>SUM(E10:E11)</f>
        <v>1573122</v>
      </c>
      <c r="F9" s="116" t="s">
        <v>415</v>
      </c>
      <c r="G9" s="291" t="s">
        <v>25</v>
      </c>
      <c r="H9" s="419">
        <f>SUM(H10:H11)</f>
        <v>16620</v>
      </c>
      <c r="I9" s="195" t="str">
        <f aca="true" t="shared" si="0" ref="I9:I15">IF(ISERROR(H9/G9)," ",(H9/G9))</f>
        <v> </v>
      </c>
      <c r="J9" s="417">
        <f>SUM(J10:J11)</f>
        <v>1573</v>
      </c>
    </row>
    <row r="10" spans="1:10" ht="25.5">
      <c r="A10" s="200" t="s">
        <v>416</v>
      </c>
      <c r="B10" s="310" t="s">
        <v>25</v>
      </c>
      <c r="C10" s="420">
        <v>2269160</v>
      </c>
      <c r="D10" s="421" t="str">
        <f aca="true" t="shared" si="1" ref="D10:D17">IF(ISERROR(C10/B10)," ",(C10/B10))</f>
        <v> </v>
      </c>
      <c r="E10" s="422">
        <f>C10-'[7]Jūnijs'!C10</f>
        <v>537931</v>
      </c>
      <c r="F10" s="200" t="s">
        <v>416</v>
      </c>
      <c r="G10" s="291" t="s">
        <v>25</v>
      </c>
      <c r="H10" s="420">
        <f>ROUND(C10/1000,0)</f>
        <v>2269</v>
      </c>
      <c r="I10" s="195" t="str">
        <f t="shared" si="0"/>
        <v> </v>
      </c>
      <c r="J10" s="420">
        <f>H10-'[7]Jūnijs'!H10</f>
        <v>538</v>
      </c>
    </row>
    <row r="11" spans="1:10" ht="26.25" customHeight="1">
      <c r="A11" s="200" t="s">
        <v>417</v>
      </c>
      <c r="B11" s="310" t="s">
        <v>25</v>
      </c>
      <c r="C11" s="420">
        <f>867658+13482866</f>
        <v>14350524</v>
      </c>
      <c r="D11" s="421" t="str">
        <f t="shared" si="1"/>
        <v> </v>
      </c>
      <c r="E11" s="422">
        <f>C11-'[7]Jūnijs'!C11</f>
        <v>1035191</v>
      </c>
      <c r="F11" s="200" t="s">
        <v>418</v>
      </c>
      <c r="G11" s="291" t="s">
        <v>25</v>
      </c>
      <c r="H11" s="420">
        <f>ROUND(C11/1000,0)</f>
        <v>14351</v>
      </c>
      <c r="I11" s="195" t="str">
        <f t="shared" si="0"/>
        <v> </v>
      </c>
      <c r="J11" s="420">
        <f>ROUND(E11/1000,0)</f>
        <v>1035</v>
      </c>
    </row>
    <row r="12" spans="1:10" ht="12.75">
      <c r="A12" s="116" t="s">
        <v>419</v>
      </c>
      <c r="B12" s="6">
        <f>SUM(B13,B30)</f>
        <v>10489723</v>
      </c>
      <c r="C12" s="6">
        <f>SUM(C13,C30)</f>
        <v>8110937</v>
      </c>
      <c r="D12" s="294">
        <f t="shared" si="1"/>
        <v>0.7732269956032204</v>
      </c>
      <c r="E12" s="298">
        <f>SUM(E13,E30)</f>
        <v>485551</v>
      </c>
      <c r="F12" s="116" t="s">
        <v>419</v>
      </c>
      <c r="G12" s="6">
        <f>SUM(G13,G30)</f>
        <v>10490</v>
      </c>
      <c r="H12" s="6">
        <f>SUM(H13,H30)</f>
        <v>8111</v>
      </c>
      <c r="I12" s="195">
        <f t="shared" si="0"/>
        <v>0.7732125834127741</v>
      </c>
      <c r="J12" s="6">
        <f>SUM(J13,J30)</f>
        <v>483</v>
      </c>
    </row>
    <row r="13" spans="1:10" ht="16.5" customHeight="1">
      <c r="A13" s="123" t="s">
        <v>394</v>
      </c>
      <c r="B13" s="6">
        <f>SUM(B14,B21,B24)</f>
        <v>6940889</v>
      </c>
      <c r="C13" s="6">
        <f>SUM(C14,C21,C24)</f>
        <v>5361099</v>
      </c>
      <c r="D13" s="294">
        <f t="shared" si="1"/>
        <v>0.7723937092208217</v>
      </c>
      <c r="E13" s="298">
        <f>SUM(E14,E21,E24)</f>
        <v>122229</v>
      </c>
      <c r="F13" s="123" t="s">
        <v>394</v>
      </c>
      <c r="G13" s="6">
        <f>SUM(G14,G21,G24)</f>
        <v>6941</v>
      </c>
      <c r="H13" s="6">
        <f>SUM(H14,H21,H24)</f>
        <v>5362</v>
      </c>
      <c r="I13" s="195">
        <f t="shared" si="0"/>
        <v>0.772511165538107</v>
      </c>
      <c r="J13" s="6">
        <f>SUM(J14,J21,J24)</f>
        <v>120</v>
      </c>
    </row>
    <row r="14" spans="1:10" ht="12.75">
      <c r="A14" s="123" t="s">
        <v>256</v>
      </c>
      <c r="B14" s="6">
        <f>SUM(B15:B17)</f>
        <v>6659207</v>
      </c>
      <c r="C14" s="423">
        <f>SUM(C15,C16,C17,C20)</f>
        <v>5162953</v>
      </c>
      <c r="D14" s="294">
        <f t="shared" si="1"/>
        <v>0.7753104836656978</v>
      </c>
      <c r="E14" s="424">
        <f>SUM(E15,E16,E17,E20)</f>
        <v>101799</v>
      </c>
      <c r="F14" s="123" t="s">
        <v>256</v>
      </c>
      <c r="G14" s="417">
        <f>ROUND(B14/1000,0)</f>
        <v>6659</v>
      </c>
      <c r="H14" s="423">
        <f>SUM(H15,H16,H17,H20)</f>
        <v>5163</v>
      </c>
      <c r="I14" s="195">
        <f t="shared" si="0"/>
        <v>0.7753416428893227</v>
      </c>
      <c r="J14" s="423">
        <f>SUM(J15,J16,J17,J20)</f>
        <v>100</v>
      </c>
    </row>
    <row r="15" spans="1:10" ht="12.75">
      <c r="A15" s="299" t="s">
        <v>257</v>
      </c>
      <c r="B15" s="301">
        <v>421696</v>
      </c>
      <c r="C15" s="301">
        <v>241871</v>
      </c>
      <c r="D15" s="425">
        <f t="shared" si="1"/>
        <v>0.5735672142965549</v>
      </c>
      <c r="E15" s="426">
        <f>C15-'[7]Jūnijs'!C15</f>
        <v>34119</v>
      </c>
      <c r="F15" s="299" t="s">
        <v>257</v>
      </c>
      <c r="G15" s="420">
        <f>ROUND(B15/1000,0)</f>
        <v>422</v>
      </c>
      <c r="H15" s="420">
        <f>ROUND(C15/1000,0)</f>
        <v>242</v>
      </c>
      <c r="I15" s="195">
        <f t="shared" si="0"/>
        <v>0.5734597156398105</v>
      </c>
      <c r="J15" s="420">
        <f>H15-'[7]Jūnijs'!H15</f>
        <v>34</v>
      </c>
    </row>
    <row r="16" spans="1:10" ht="25.5">
      <c r="A16" s="200" t="s">
        <v>420</v>
      </c>
      <c r="B16" s="310" t="s">
        <v>25</v>
      </c>
      <c r="C16" s="301">
        <v>50845</v>
      </c>
      <c r="D16" s="310" t="s">
        <v>25</v>
      </c>
      <c r="E16" s="426">
        <f>C16-'[7]Jūnijs'!C16</f>
        <v>6302</v>
      </c>
      <c r="F16" s="200" t="s">
        <v>420</v>
      </c>
      <c r="G16" s="310" t="s">
        <v>25</v>
      </c>
      <c r="H16" s="420">
        <f>ROUND(C16/1000,0)</f>
        <v>51</v>
      </c>
      <c r="I16" s="310" t="s">
        <v>25</v>
      </c>
      <c r="J16" s="420">
        <f>H16-'[7]Jūnijs'!H16</f>
        <v>6</v>
      </c>
    </row>
    <row r="17" spans="1:10" ht="12.75">
      <c r="A17" s="200" t="s">
        <v>259</v>
      </c>
      <c r="B17" s="315">
        <f>867658+2720460+2649393</f>
        <v>6237511</v>
      </c>
      <c r="C17" s="301">
        <f>SUM(C18:C19)</f>
        <v>4870237</v>
      </c>
      <c r="D17" s="425">
        <f t="shared" si="1"/>
        <v>0.7807981420794288</v>
      </c>
      <c r="E17" s="427">
        <f>SUM(E18:E19)</f>
        <v>61378</v>
      </c>
      <c r="F17" s="200" t="s">
        <v>259</v>
      </c>
      <c r="G17" s="310" t="s">
        <v>25</v>
      </c>
      <c r="H17" s="315">
        <f>SUM(H18:H19)</f>
        <v>4870</v>
      </c>
      <c r="I17" s="310" t="s">
        <v>25</v>
      </c>
      <c r="J17" s="315">
        <f>SUM(J18:J19)</f>
        <v>60</v>
      </c>
    </row>
    <row r="18" spans="1:10" s="431" customFormat="1" ht="12.75">
      <c r="A18" s="428" t="s">
        <v>421</v>
      </c>
      <c r="B18" s="429" t="s">
        <v>25</v>
      </c>
      <c r="C18" s="322">
        <f>867177+235902+867658+2649393</f>
        <v>4620130</v>
      </c>
      <c r="D18" s="429" t="s">
        <v>25</v>
      </c>
      <c r="E18" s="426">
        <f>C18-'[7]Jūnijs'!C18</f>
        <v>49162</v>
      </c>
      <c r="F18" s="428" t="s">
        <v>422</v>
      </c>
      <c r="G18" s="429" t="s">
        <v>25</v>
      </c>
      <c r="H18" s="430">
        <f>ROUND(C18/1000,0)</f>
        <v>4620</v>
      </c>
      <c r="I18" s="429" t="s">
        <v>25</v>
      </c>
      <c r="J18" s="430">
        <f>ROUND(E18/1000,0)-1</f>
        <v>48</v>
      </c>
    </row>
    <row r="19" spans="1:10" s="431" customFormat="1" ht="12.75">
      <c r="A19" s="432" t="s">
        <v>423</v>
      </c>
      <c r="B19" s="429" t="s">
        <v>25</v>
      </c>
      <c r="C19" s="322">
        <f>238883+11224</f>
        <v>250107</v>
      </c>
      <c r="D19" s="429" t="s">
        <v>25</v>
      </c>
      <c r="E19" s="426">
        <f>C19-'[7]Jūnijs'!C19</f>
        <v>12216</v>
      </c>
      <c r="F19" s="428" t="s">
        <v>424</v>
      </c>
      <c r="G19" s="429" t="s">
        <v>25</v>
      </c>
      <c r="H19" s="430">
        <f>ROUND(C19/1000,0)</f>
        <v>250</v>
      </c>
      <c r="I19" s="429" t="s">
        <v>25</v>
      </c>
      <c r="J19" s="420">
        <f>H19-'[7]Jūnijs'!H19</f>
        <v>12</v>
      </c>
    </row>
    <row r="20" spans="1:10" ht="12.75">
      <c r="A20" s="200" t="s">
        <v>395</v>
      </c>
      <c r="B20" s="310" t="s">
        <v>25</v>
      </c>
      <c r="C20" s="301"/>
      <c r="D20" s="310" t="s">
        <v>25</v>
      </c>
      <c r="E20" s="426">
        <f>C20-'[7]Jūnijs'!C20</f>
        <v>0</v>
      </c>
      <c r="F20" s="200" t="s">
        <v>395</v>
      </c>
      <c r="G20" s="310" t="s">
        <v>25</v>
      </c>
      <c r="H20" s="420">
        <f>ROUND(C20/1000,0)</f>
        <v>0</v>
      </c>
      <c r="I20" s="310" t="s">
        <v>25</v>
      </c>
      <c r="J20" s="420">
        <f>H20-'[7]Jūnijs'!H20</f>
        <v>0</v>
      </c>
    </row>
    <row r="21" spans="1:10" ht="25.5">
      <c r="A21" s="69" t="s">
        <v>260</v>
      </c>
      <c r="B21" s="310" t="s">
        <v>25</v>
      </c>
      <c r="C21" s="423">
        <f>SUM(C22:C23)</f>
        <v>0</v>
      </c>
      <c r="D21" s="294" t="str">
        <f>IF(ISERROR(C21/B21)," ",(C21/B21))</f>
        <v> </v>
      </c>
      <c r="E21" s="424">
        <f>SUM(E22:E23)</f>
        <v>0</v>
      </c>
      <c r="F21" s="69" t="s">
        <v>260</v>
      </c>
      <c r="G21" s="310" t="s">
        <v>25</v>
      </c>
      <c r="H21" s="423">
        <f>SUM(H22:H23)</f>
        <v>0</v>
      </c>
      <c r="I21" s="433" t="str">
        <f>IF(ISERROR(ROUND(H21,0)/ROUND(g,0))," ",(ROUND(H21,)/ROUND(G21,)))</f>
        <v> </v>
      </c>
      <c r="J21" s="423">
        <f>SUM(J22:J23)</f>
        <v>0</v>
      </c>
    </row>
    <row r="22" spans="1:10" ht="25.5">
      <c r="A22" s="200" t="s">
        <v>425</v>
      </c>
      <c r="B22" s="310" t="s">
        <v>25</v>
      </c>
      <c r="C22" s="301"/>
      <c r="D22" s="310" t="s">
        <v>25</v>
      </c>
      <c r="E22" s="426">
        <f>C22-'[7]Jūnijs'!C22</f>
        <v>0</v>
      </c>
      <c r="F22" s="200" t="s">
        <v>425</v>
      </c>
      <c r="G22" s="310" t="s">
        <v>25</v>
      </c>
      <c r="H22" s="420">
        <f>ROUND(C22/1000,0)</f>
        <v>0</v>
      </c>
      <c r="I22" s="310" t="s">
        <v>25</v>
      </c>
      <c r="J22" s="420">
        <f>H22-'[7]Jūnijs'!H22</f>
        <v>0</v>
      </c>
    </row>
    <row r="23" spans="1:10" ht="25.5">
      <c r="A23" s="200" t="s">
        <v>426</v>
      </c>
      <c r="B23" s="310" t="s">
        <v>25</v>
      </c>
      <c r="C23" s="301"/>
      <c r="D23" s="310" t="s">
        <v>25</v>
      </c>
      <c r="E23" s="426">
        <f>C23-'[7]Jūnijs'!C23</f>
        <v>0</v>
      </c>
      <c r="F23" s="200" t="s">
        <v>426</v>
      </c>
      <c r="G23" s="310" t="s">
        <v>25</v>
      </c>
      <c r="H23" s="420">
        <f>ROUND(C23/1000,0)</f>
        <v>0</v>
      </c>
      <c r="I23" s="310" t="s">
        <v>25</v>
      </c>
      <c r="J23" s="420">
        <f>H23-'[7]Jūnijs'!H23</f>
        <v>0</v>
      </c>
    </row>
    <row r="24" spans="1:10" ht="17.25" customHeight="1">
      <c r="A24" s="26" t="s">
        <v>265</v>
      </c>
      <c r="B24" s="6">
        <f>SUM(B28:B29)</f>
        <v>281682</v>
      </c>
      <c r="C24" s="423">
        <f>SUM(C25:C29)</f>
        <v>198146</v>
      </c>
      <c r="D24" s="294">
        <f>IF(ISERROR(C24/B24)," ",(C24/B24))</f>
        <v>0.703438629376389</v>
      </c>
      <c r="E24" s="424">
        <f>SUM(E25:E29)</f>
        <v>20430</v>
      </c>
      <c r="F24" s="26" t="s">
        <v>265</v>
      </c>
      <c r="G24" s="420">
        <f>ROUND(B24/1000,0)</f>
        <v>282</v>
      </c>
      <c r="H24" s="423">
        <f>SUM(H25:H29)</f>
        <v>199</v>
      </c>
      <c r="I24" s="195">
        <f>IF(ISERROR(H24/G24)," ",(H24/G24))</f>
        <v>0.7056737588652482</v>
      </c>
      <c r="J24" s="423">
        <f>SUM(J25:J29)</f>
        <v>20</v>
      </c>
    </row>
    <row r="25" spans="1:10" ht="15.75" customHeight="1">
      <c r="A25" s="299" t="s">
        <v>266</v>
      </c>
      <c r="B25" s="310">
        <f>21203+11966</f>
        <v>33169</v>
      </c>
      <c r="C25" s="301">
        <v>13604</v>
      </c>
      <c r="D25" s="425">
        <f>IF(ISERROR(C25/B25)," ",(C25/B25))</f>
        <v>0.4101420000602973</v>
      </c>
      <c r="E25" s="426">
        <f>C25-'[7]Jūnijs'!C25</f>
        <v>4101</v>
      </c>
      <c r="F25" s="299" t="s">
        <v>266</v>
      </c>
      <c r="G25" s="310" t="s">
        <v>25</v>
      </c>
      <c r="H25" s="420">
        <f>ROUND(C25/1000,0)</f>
        <v>14</v>
      </c>
      <c r="I25" s="310" t="s">
        <v>25</v>
      </c>
      <c r="J25" s="420">
        <f>H25-'[7]Jūnijs'!H25</f>
        <v>4</v>
      </c>
    </row>
    <row r="26" spans="1:10" ht="15.75" customHeight="1">
      <c r="A26" s="299" t="s">
        <v>267</v>
      </c>
      <c r="B26" s="310" t="s">
        <v>25</v>
      </c>
      <c r="C26" s="301"/>
      <c r="D26" s="310" t="s">
        <v>25</v>
      </c>
      <c r="E26" s="426">
        <f>C26-'[7]Jūnijs'!C26</f>
        <v>0</v>
      </c>
      <c r="F26" s="299" t="s">
        <v>267</v>
      </c>
      <c r="G26" s="310" t="s">
        <v>25</v>
      </c>
      <c r="H26" s="420">
        <f>ROUND(C26/1000,0)</f>
        <v>0</v>
      </c>
      <c r="I26" s="310" t="s">
        <v>25</v>
      </c>
      <c r="J26" s="420">
        <f>H26-'[7]Jūnijs'!H26</f>
        <v>0</v>
      </c>
    </row>
    <row r="27" spans="1:10" ht="16.5" customHeight="1">
      <c r="A27" s="200" t="s">
        <v>268</v>
      </c>
      <c r="B27" s="310" t="s">
        <v>25</v>
      </c>
      <c r="C27" s="301"/>
      <c r="D27" s="310" t="s">
        <v>25</v>
      </c>
      <c r="E27" s="426">
        <f>C27-'[7]Jūnijs'!C27</f>
        <v>0</v>
      </c>
      <c r="F27" s="200" t="s">
        <v>268</v>
      </c>
      <c r="G27" s="310" t="s">
        <v>25</v>
      </c>
      <c r="H27" s="420">
        <f>ROUND(C27/1000,0)</f>
        <v>0</v>
      </c>
      <c r="I27" s="310" t="s">
        <v>25</v>
      </c>
      <c r="J27" s="420">
        <f>H27-'[7]Jūnijs'!H27</f>
        <v>0</v>
      </c>
    </row>
    <row r="28" spans="1:10" ht="12.75">
      <c r="A28" s="200" t="s">
        <v>269</v>
      </c>
      <c r="B28" s="315">
        <v>55216</v>
      </c>
      <c r="C28" s="301">
        <v>57586</v>
      </c>
      <c r="D28" s="425">
        <f>IF(ISERROR(C28/B28)," ",(C28/B28))</f>
        <v>1.0429223413503332</v>
      </c>
      <c r="E28" s="426">
        <f>C28-'[7]Jūnijs'!C28</f>
        <v>8934</v>
      </c>
      <c r="F28" s="200" t="s">
        <v>427</v>
      </c>
      <c r="G28" s="310" t="s">
        <v>25</v>
      </c>
      <c r="H28" s="420">
        <f>ROUND(C28/1000,0)</f>
        <v>58</v>
      </c>
      <c r="I28" s="310" t="s">
        <v>25</v>
      </c>
      <c r="J28" s="420">
        <f>H28-'[7]Jūnijs'!H28</f>
        <v>9</v>
      </c>
    </row>
    <row r="29" spans="1:10" ht="15" customHeight="1">
      <c r="A29" s="200" t="s">
        <v>398</v>
      </c>
      <c r="B29" s="315">
        <v>226466</v>
      </c>
      <c r="C29" s="301">
        <v>126956</v>
      </c>
      <c r="D29" s="425">
        <f>IF(ISERROR(C29/B29)," ",(C29/B29))</f>
        <v>0.5605962926002137</v>
      </c>
      <c r="E29" s="426">
        <f>C29-'[7]Jūnijs'!C29</f>
        <v>7395</v>
      </c>
      <c r="F29" s="200" t="s">
        <v>274</v>
      </c>
      <c r="G29" s="310" t="s">
        <v>25</v>
      </c>
      <c r="H29" s="420">
        <f>ROUND(C29/1000,0)</f>
        <v>127</v>
      </c>
      <c r="I29" s="310" t="s">
        <v>25</v>
      </c>
      <c r="J29" s="420">
        <f>H29-'[7]Jūnijs'!H29</f>
        <v>7</v>
      </c>
    </row>
    <row r="30" spans="1:10" ht="19.5" customHeight="1">
      <c r="A30" s="90" t="s">
        <v>428</v>
      </c>
      <c r="B30" s="423">
        <f>SUM(B31:B32)</f>
        <v>3548834</v>
      </c>
      <c r="C30" s="423">
        <f>SUM(C31:C32)</f>
        <v>2749838</v>
      </c>
      <c r="D30" s="294">
        <f>IF(ISERROR(C30/B30)," ",(C30/B30))</f>
        <v>0.7748567557682327</v>
      </c>
      <c r="E30" s="424">
        <f>SUM(E31:E32)</f>
        <v>363322</v>
      </c>
      <c r="F30" s="90" t="s">
        <v>428</v>
      </c>
      <c r="G30" s="423">
        <f>SUM(G31:G32)</f>
        <v>3549</v>
      </c>
      <c r="H30" s="423">
        <f>SUM(H31:H32)</f>
        <v>2749</v>
      </c>
      <c r="I30" s="195">
        <f>IF(ISERROR(H30/G30)," ",(H30/G30))</f>
        <v>0.7745843899690054</v>
      </c>
      <c r="J30" s="423">
        <f>SUM(J31:J32)</f>
        <v>363</v>
      </c>
    </row>
    <row r="31" spans="1:10" ht="18.75" customHeight="1">
      <c r="A31" s="200" t="s">
        <v>286</v>
      </c>
      <c r="B31" s="301">
        <f>1383100+2107734</f>
        <v>3490834</v>
      </c>
      <c r="C31" s="301">
        <f>329111+5427+2125+790+273190+10048+2107734</f>
        <v>2728425</v>
      </c>
      <c r="D31" s="425">
        <f>IF(ISERROR(C31/B31)," ",(C31/B31))</f>
        <v>0.7815968905997822</v>
      </c>
      <c r="E31" s="426">
        <f>C31-'[7]Jūnijs'!C31</f>
        <v>363322</v>
      </c>
      <c r="F31" s="200" t="s">
        <v>429</v>
      </c>
      <c r="G31" s="420">
        <f>ROUND(B31/1000,0)</f>
        <v>3491</v>
      </c>
      <c r="H31" s="420">
        <f>ROUND(C31/1000,0)</f>
        <v>2728</v>
      </c>
      <c r="I31" s="195">
        <f>IF(ISERROR(H31/G31)," ",(H31/G31))</f>
        <v>0.7814379833858494</v>
      </c>
      <c r="J31" s="420">
        <f>ROUND(E31/1000,0)</f>
        <v>363</v>
      </c>
    </row>
    <row r="32" spans="1:10" ht="18" customHeight="1">
      <c r="A32" s="200" t="s">
        <v>288</v>
      </c>
      <c r="B32" s="301">
        <v>58000</v>
      </c>
      <c r="C32" s="322">
        <v>21413</v>
      </c>
      <c r="D32" s="425">
        <f>IF(ISERROR(C32/B32)," ",(C32/B32))</f>
        <v>0.3691896551724138</v>
      </c>
      <c r="E32" s="426">
        <f>C32-'[7]Jūnijs'!C32</f>
        <v>0</v>
      </c>
      <c r="F32" s="200" t="s">
        <v>288</v>
      </c>
      <c r="G32" s="420">
        <f>ROUND(B32/1000,0)</f>
        <v>58</v>
      </c>
      <c r="H32" s="420">
        <f>ROUND(C32/1000,0)</f>
        <v>21</v>
      </c>
      <c r="I32" s="195">
        <f>IF(ISERROR(H32/G32)," ",(H32/G32))</f>
        <v>0.3620689655172414</v>
      </c>
      <c r="J32" s="420">
        <f>H32-'[7]Jūnijs'!H32</f>
        <v>0</v>
      </c>
    </row>
    <row r="33" spans="1:12" s="299" customFormat="1" ht="15.75" customHeight="1">
      <c r="A33" s="90" t="s">
        <v>430</v>
      </c>
      <c r="B33" s="310" t="s">
        <v>25</v>
      </c>
      <c r="C33" s="6">
        <f>SUM(C9-C12)</f>
        <v>8508747</v>
      </c>
      <c r="D33" s="310" t="s">
        <v>25</v>
      </c>
      <c r="E33" s="312" t="s">
        <v>25</v>
      </c>
      <c r="F33" s="90" t="s">
        <v>430</v>
      </c>
      <c r="G33" s="310"/>
      <c r="H33" s="423">
        <f>SUM(H9-H12)</f>
        <v>8509</v>
      </c>
      <c r="I33" s="310" t="s">
        <v>25</v>
      </c>
      <c r="J33" s="291" t="s">
        <v>25</v>
      </c>
      <c r="K33" s="210"/>
      <c r="L33" s="434"/>
    </row>
    <row r="34" spans="1:12" s="299" customFormat="1" ht="16.5" customHeight="1">
      <c r="A34" s="90" t="s">
        <v>298</v>
      </c>
      <c r="B34" s="310" t="s">
        <v>25</v>
      </c>
      <c r="C34" s="301">
        <f>-(C33)</f>
        <v>-8508747</v>
      </c>
      <c r="D34" s="310" t="s">
        <v>25</v>
      </c>
      <c r="E34" s="312" t="s">
        <v>25</v>
      </c>
      <c r="F34" s="90" t="s">
        <v>298</v>
      </c>
      <c r="G34" s="301"/>
      <c r="H34" s="423">
        <f>ROUND(C34/1000,0)+2</f>
        <v>-8507</v>
      </c>
      <c r="I34" s="310" t="s">
        <v>25</v>
      </c>
      <c r="J34" s="291" t="s">
        <v>25</v>
      </c>
      <c r="K34" s="210"/>
      <c r="L34" s="434"/>
    </row>
    <row r="35" spans="1:12" s="299" customFormat="1" ht="26.25" customHeight="1">
      <c r="A35" s="435" t="s">
        <v>431</v>
      </c>
      <c r="B35" s="310" t="s">
        <v>25</v>
      </c>
      <c r="C35" s="301">
        <f>-(C33)</f>
        <v>-8508747</v>
      </c>
      <c r="D35" s="310" t="s">
        <v>25</v>
      </c>
      <c r="E35" s="312" t="s">
        <v>25</v>
      </c>
      <c r="F35" s="435" t="s">
        <v>431</v>
      </c>
      <c r="G35" s="301"/>
      <c r="H35" s="420">
        <f>ROUND(C35/1000,0)+2</f>
        <v>-8507</v>
      </c>
      <c r="I35" s="310" t="s">
        <v>25</v>
      </c>
      <c r="J35" s="291" t="s">
        <v>25</v>
      </c>
      <c r="K35" s="210"/>
      <c r="L35" s="434"/>
    </row>
    <row r="36" spans="1:10" s="210" customFormat="1" ht="16.5" customHeight="1">
      <c r="A36" s="436"/>
      <c r="B36" s="171"/>
      <c r="C36" s="437"/>
      <c r="D36" s="437"/>
      <c r="E36" s="437"/>
      <c r="F36" s="512" t="s">
        <v>432</v>
      </c>
      <c r="G36" s="512"/>
      <c r="H36" s="512"/>
      <c r="I36" s="512"/>
      <c r="J36" s="512"/>
    </row>
    <row r="37" spans="1:6" s="210" customFormat="1" ht="16.5" customHeight="1">
      <c r="A37" s="436"/>
      <c r="B37" s="171"/>
      <c r="C37" s="437"/>
      <c r="D37" s="437"/>
      <c r="E37" s="437"/>
      <c r="F37" s="210" t="s">
        <v>433</v>
      </c>
    </row>
    <row r="38" spans="1:10" s="210" customFormat="1" ht="16.5" customHeight="1">
      <c r="A38" s="436"/>
      <c r="B38" s="171"/>
      <c r="C38" s="437"/>
      <c r="D38" s="437"/>
      <c r="E38" s="437"/>
      <c r="G38" s="171"/>
      <c r="H38" s="437"/>
      <c r="I38" s="437"/>
      <c r="J38" s="437"/>
    </row>
    <row r="39" spans="1:10" s="210" customFormat="1" ht="16.5" customHeight="1">
      <c r="A39" s="436"/>
      <c r="B39" s="171"/>
      <c r="C39" s="437"/>
      <c r="D39" s="437"/>
      <c r="E39" s="437"/>
      <c r="J39" s="437"/>
    </row>
    <row r="40" spans="1:6" s="210" customFormat="1" ht="16.5" customHeight="1">
      <c r="A40" s="436"/>
      <c r="B40" s="171"/>
      <c r="C40" s="437"/>
      <c r="D40" s="437"/>
      <c r="E40" s="437"/>
      <c r="F40" s="37" t="s">
        <v>434</v>
      </c>
    </row>
    <row r="41" spans="1:10" s="210" customFormat="1" ht="16.5" customHeight="1">
      <c r="A41" s="436"/>
      <c r="B41" s="171"/>
      <c r="C41" s="437"/>
      <c r="D41" s="437"/>
      <c r="E41" s="437"/>
      <c r="G41" s="171"/>
      <c r="H41" s="437"/>
      <c r="I41" s="437"/>
      <c r="J41" s="282"/>
    </row>
    <row r="42" spans="1:10" ht="16.5" customHeight="1">
      <c r="A42" s="164"/>
      <c r="B42" s="171"/>
      <c r="C42" s="171"/>
      <c r="D42" s="438"/>
      <c r="E42" s="210"/>
      <c r="G42" s="34"/>
      <c r="H42" s="34"/>
      <c r="I42" s="98"/>
      <c r="J42" s="32"/>
    </row>
    <row r="43" spans="2:9" ht="12.75">
      <c r="B43" s="29"/>
      <c r="C43" s="29"/>
      <c r="D43" s="439"/>
      <c r="F43" s="282" t="s">
        <v>114</v>
      </c>
      <c r="G43" s="38"/>
      <c r="H43" s="29"/>
      <c r="I43" s="439"/>
    </row>
    <row r="44" spans="1:9" ht="12.75">
      <c r="A44" s="37" t="s">
        <v>302</v>
      </c>
      <c r="B44" s="34"/>
      <c r="C44" s="34"/>
      <c r="D44" s="98"/>
      <c r="E44" s="32"/>
      <c r="F44" s="282" t="s">
        <v>59</v>
      </c>
      <c r="G44" s="38"/>
      <c r="H44" s="29"/>
      <c r="I44" s="439"/>
    </row>
    <row r="45" spans="2:9" ht="12.75">
      <c r="B45" s="38"/>
      <c r="C45" s="29"/>
      <c r="D45" s="439"/>
      <c r="G45" s="38"/>
      <c r="H45" s="29"/>
      <c r="I45" s="439"/>
    </row>
    <row r="46" spans="2:9" ht="12.75">
      <c r="B46" s="38"/>
      <c r="C46" s="29"/>
      <c r="D46" s="439"/>
      <c r="G46" s="38"/>
      <c r="H46" s="29"/>
      <c r="I46" s="439"/>
    </row>
    <row r="47" spans="1:4" ht="12.75">
      <c r="A47" s="282" t="s">
        <v>114</v>
      </c>
      <c r="B47" s="38"/>
      <c r="C47" s="29"/>
      <c r="D47" s="439"/>
    </row>
    <row r="48" spans="1:4" ht="12.75">
      <c r="A48" s="282" t="s">
        <v>59</v>
      </c>
      <c r="B48" s="38"/>
      <c r="C48" s="29"/>
      <c r="D48" s="439"/>
    </row>
    <row r="49" spans="2:9" ht="12.75">
      <c r="B49" s="38"/>
      <c r="C49" s="29"/>
      <c r="D49" s="439"/>
      <c r="G49" s="38"/>
      <c r="H49" s="29"/>
      <c r="I49" s="439"/>
    </row>
    <row r="50" ht="12" customHeight="1"/>
  </sheetData>
  <mergeCells count="1">
    <mergeCell ref="F36:J36"/>
  </mergeCells>
  <printOptions/>
  <pageMargins left="0.75" right="0.75" top="0.25" bottom="0.5" header="0.25" footer="0.5"/>
  <pageSetup horizontalDpi="300" verticalDpi="300" orientation="portrait" paperSize="9" r:id="rId1"/>
  <headerFooter alignWithMargins="0">
    <oddFooter>&amp;R18</oddFooter>
  </headerFooter>
  <rowBreaks count="1" manualBreakCount="1">
    <brk id="4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F26">
      <selection activeCell="H32" sqref="H32"/>
    </sheetView>
  </sheetViews>
  <sheetFormatPr defaultColWidth="9.140625" defaultRowHeight="12.75"/>
  <cols>
    <col min="1" max="1" width="35.28125" style="43" hidden="1" customWidth="1"/>
    <col min="2" max="2" width="8.8515625" style="43" hidden="1" customWidth="1"/>
    <col min="3" max="3" width="14.28125" style="43" hidden="1" customWidth="1"/>
    <col min="4" max="4" width="13.7109375" style="43" hidden="1" customWidth="1"/>
    <col min="5" max="5" width="11.7109375" style="43" hidden="1" customWidth="1"/>
    <col min="6" max="6" width="44.28125" style="43" customWidth="1"/>
    <col min="7" max="7" width="8.00390625" style="43" customWidth="1"/>
    <col min="8" max="8" width="11.7109375" style="43" customWidth="1"/>
    <col min="9" max="9" width="10.8515625" style="43" customWidth="1"/>
    <col min="10" max="10" width="9.140625" style="43" customWidth="1"/>
    <col min="11" max="16384" width="7.8515625" style="43" customWidth="1"/>
  </cols>
  <sheetData>
    <row r="1" ht="12.75">
      <c r="H1" s="48"/>
    </row>
    <row r="2" spans="1:10" ht="12.75">
      <c r="A2" s="766" t="s">
        <v>435</v>
      </c>
      <c r="B2" s="766"/>
      <c r="C2" s="766"/>
      <c r="E2" s="37" t="s">
        <v>436</v>
      </c>
      <c r="F2" s="766" t="s">
        <v>437</v>
      </c>
      <c r="G2" s="766"/>
      <c r="H2" s="766"/>
      <c r="I2" s="766"/>
      <c r="J2" s="414" t="s">
        <v>436</v>
      </c>
    </row>
    <row r="3" ht="12.75">
      <c r="A3" s="440" t="s">
        <v>438</v>
      </c>
    </row>
    <row r="4" spans="1:10" ht="15.75">
      <c r="A4" s="513" t="s">
        <v>439</v>
      </c>
      <c r="B4" s="513"/>
      <c r="C4" s="513"/>
      <c r="D4" s="513"/>
      <c r="F4" s="767" t="s">
        <v>438</v>
      </c>
      <c r="G4" s="767"/>
      <c r="H4" s="767"/>
      <c r="I4" s="767"/>
      <c r="J4" s="767"/>
    </row>
    <row r="5" spans="6:10" ht="15.75">
      <c r="F5" s="513" t="s">
        <v>439</v>
      </c>
      <c r="G5" s="513"/>
      <c r="H5" s="513"/>
      <c r="I5" s="513"/>
      <c r="J5" s="104"/>
    </row>
    <row r="8" spans="5:10" ht="12.75">
      <c r="E8" s="37" t="s">
        <v>440</v>
      </c>
      <c r="J8" s="414" t="s">
        <v>67</v>
      </c>
    </row>
    <row r="9" spans="1:10" ht="51">
      <c r="A9" s="441" t="s">
        <v>18</v>
      </c>
      <c r="B9" s="52" t="s">
        <v>441</v>
      </c>
      <c r="C9" s="52" t="s">
        <v>68</v>
      </c>
      <c r="D9" s="52" t="s">
        <v>70</v>
      </c>
      <c r="E9" s="52" t="s">
        <v>442</v>
      </c>
      <c r="F9" s="289" t="s">
        <v>18</v>
      </c>
      <c r="G9" s="50" t="s">
        <v>441</v>
      </c>
      <c r="H9" s="50" t="s">
        <v>68</v>
      </c>
      <c r="I9" s="50" t="s">
        <v>70</v>
      </c>
      <c r="J9" s="50" t="s">
        <v>442</v>
      </c>
    </row>
    <row r="10" spans="1:10" ht="12.75">
      <c r="A10" s="441">
        <v>1</v>
      </c>
      <c r="B10" s="441">
        <v>2</v>
      </c>
      <c r="C10" s="52">
        <v>3</v>
      </c>
      <c r="D10" s="52">
        <v>4</v>
      </c>
      <c r="E10" s="52">
        <v>5</v>
      </c>
      <c r="F10" s="289">
        <v>1</v>
      </c>
      <c r="G10" s="289">
        <v>2</v>
      </c>
      <c r="H10" s="50">
        <v>3</v>
      </c>
      <c r="I10" s="50">
        <v>4</v>
      </c>
      <c r="J10" s="50">
        <v>5</v>
      </c>
    </row>
    <row r="11" spans="1:10" ht="17.25" customHeight="1">
      <c r="A11" s="122" t="s">
        <v>313</v>
      </c>
      <c r="B11" s="47"/>
      <c r="C11" s="442">
        <f>SUM(C12:C25)</f>
        <v>759846889</v>
      </c>
      <c r="D11" s="442">
        <f>D12+D13+D14+D15+D16+D17+D18+D19+D20+D21+D22+D23+D24+D25</f>
        <v>453819285</v>
      </c>
      <c r="E11" s="443">
        <f>IF(ISERROR(D11/C11)," ",(D11/C11))</f>
        <v>0.5972509614367849</v>
      </c>
      <c r="F11" s="123" t="s">
        <v>313</v>
      </c>
      <c r="G11" s="58"/>
      <c r="H11" s="6">
        <f>SUM(H12:H25)</f>
        <v>759847</v>
      </c>
      <c r="I11" s="6">
        <f>I12+I13+I14+I15+I16+I17+I18+I19+I20+I21+I22+I23+I24+I25+I26</f>
        <v>453820</v>
      </c>
      <c r="J11" s="433">
        <f>IF(ISERROR(I11/H11)," ",(I11/H11))</f>
        <v>0.5972518151680536</v>
      </c>
    </row>
    <row r="12" spans="1:10" ht="16.5" customHeight="1">
      <c r="A12" s="210" t="s">
        <v>443</v>
      </c>
      <c r="B12" s="444">
        <v>1</v>
      </c>
      <c r="C12" s="221">
        <v>81345350</v>
      </c>
      <c r="D12" s="221">
        <v>42063316</v>
      </c>
      <c r="E12" s="172">
        <f aca="true" t="shared" si="0" ref="E12:E25">IF(ISERROR(D12/C12)," ",(D12/C12))</f>
        <v>0.5170955192890558</v>
      </c>
      <c r="F12" s="299" t="s">
        <v>443</v>
      </c>
      <c r="G12" s="445">
        <v>1</v>
      </c>
      <c r="H12" s="301">
        <f>ROUND(C12/1000,)</f>
        <v>81345</v>
      </c>
      <c r="I12" s="301">
        <f>ROUND(D12/1000,)</f>
        <v>42063</v>
      </c>
      <c r="J12" s="446">
        <f aca="true" t="shared" si="1" ref="J12:J25">IF(ISERROR(I12/H12)," ",(I12/H12))</f>
        <v>0.5170938594873686</v>
      </c>
    </row>
    <row r="13" spans="1:10" ht="18.75" customHeight="1">
      <c r="A13" s="48" t="s">
        <v>444</v>
      </c>
      <c r="B13" s="444">
        <v>2</v>
      </c>
      <c r="C13" s="221">
        <v>42056404</v>
      </c>
      <c r="D13" s="221">
        <v>20737578</v>
      </c>
      <c r="E13" s="172">
        <f t="shared" si="0"/>
        <v>0.49308966120831443</v>
      </c>
      <c r="F13" s="54" t="s">
        <v>444</v>
      </c>
      <c r="G13" s="445">
        <v>2</v>
      </c>
      <c r="H13" s="301">
        <f aca="true" t="shared" si="2" ref="H13:H23">ROUND(C13/1000,)</f>
        <v>42056</v>
      </c>
      <c r="I13" s="301">
        <f>ROUND(D13/1000,0)</f>
        <v>20738</v>
      </c>
      <c r="J13" s="446">
        <f t="shared" si="1"/>
        <v>0.4931044321856572</v>
      </c>
    </row>
    <row r="14" spans="1:10" ht="17.25" customHeight="1">
      <c r="A14" s="48" t="s">
        <v>445</v>
      </c>
      <c r="B14" s="444">
        <v>3</v>
      </c>
      <c r="C14" s="221">
        <v>107516673</v>
      </c>
      <c r="D14" s="221">
        <v>61231564</v>
      </c>
      <c r="E14" s="172">
        <f t="shared" si="0"/>
        <v>0.569507614879415</v>
      </c>
      <c r="F14" s="54" t="s">
        <v>445</v>
      </c>
      <c r="G14" s="445">
        <v>3</v>
      </c>
      <c r="H14" s="301">
        <f t="shared" si="2"/>
        <v>107517</v>
      </c>
      <c r="I14" s="301">
        <f>ROUND(D14/1000,0)</f>
        <v>61232</v>
      </c>
      <c r="J14" s="446">
        <f t="shared" si="1"/>
        <v>0.5695099379632989</v>
      </c>
    </row>
    <row r="15" spans="1:10" ht="18" customHeight="1">
      <c r="A15" s="48" t="s">
        <v>446</v>
      </c>
      <c r="B15" s="444">
        <v>4</v>
      </c>
      <c r="C15" s="221">
        <v>94107012</v>
      </c>
      <c r="D15" s="221">
        <v>48659369</v>
      </c>
      <c r="E15" s="172">
        <f t="shared" si="0"/>
        <v>0.517064222589492</v>
      </c>
      <c r="F15" s="54" t="s">
        <v>446</v>
      </c>
      <c r="G15" s="445">
        <v>4</v>
      </c>
      <c r="H15" s="301">
        <f t="shared" si="2"/>
        <v>94107</v>
      </c>
      <c r="I15" s="301">
        <f aca="true" t="shared" si="3" ref="I15:I23">ROUND(D15/1000,0)</f>
        <v>48659</v>
      </c>
      <c r="J15" s="446">
        <f t="shared" si="1"/>
        <v>0.5170603674540682</v>
      </c>
    </row>
    <row r="16" spans="1:10" ht="18" customHeight="1">
      <c r="A16" s="48" t="s">
        <v>447</v>
      </c>
      <c r="B16" s="444">
        <v>5</v>
      </c>
      <c r="C16" s="221">
        <v>68611451</v>
      </c>
      <c r="D16" s="221">
        <v>40153657</v>
      </c>
      <c r="E16" s="172">
        <f t="shared" si="0"/>
        <v>0.5852325874874735</v>
      </c>
      <c r="F16" s="54" t="s">
        <v>447</v>
      </c>
      <c r="G16" s="445">
        <v>5</v>
      </c>
      <c r="H16" s="301">
        <f t="shared" si="2"/>
        <v>68611</v>
      </c>
      <c r="I16" s="301">
        <f>ROUND(D16/1000,0)</f>
        <v>40154</v>
      </c>
      <c r="J16" s="446">
        <f t="shared" si="1"/>
        <v>0.5852414335893661</v>
      </c>
    </row>
    <row r="17" spans="1:10" ht="20.25" customHeight="1">
      <c r="A17" s="48" t="s">
        <v>448</v>
      </c>
      <c r="B17" s="444">
        <v>6</v>
      </c>
      <c r="C17" s="221">
        <v>80413469</v>
      </c>
      <c r="D17" s="221">
        <v>47594339</v>
      </c>
      <c r="E17" s="172">
        <f t="shared" si="0"/>
        <v>0.5918702375593322</v>
      </c>
      <c r="F17" s="54" t="s">
        <v>448</v>
      </c>
      <c r="G17" s="445">
        <v>6</v>
      </c>
      <c r="H17" s="301">
        <f t="shared" si="2"/>
        <v>80413</v>
      </c>
      <c r="I17" s="301">
        <f>ROUND(D17/1000,0)</f>
        <v>47594</v>
      </c>
      <c r="J17" s="446">
        <f t="shared" si="1"/>
        <v>0.5918694738412943</v>
      </c>
    </row>
    <row r="18" spans="1:10" ht="26.25" customHeight="1">
      <c r="A18" s="92" t="s">
        <v>449</v>
      </c>
      <c r="B18" s="444">
        <v>7</v>
      </c>
      <c r="C18" s="221">
        <v>5236094</v>
      </c>
      <c r="D18" s="221">
        <v>2376170</v>
      </c>
      <c r="E18" s="172">
        <f t="shared" si="0"/>
        <v>0.45380583312675443</v>
      </c>
      <c r="F18" s="200" t="s">
        <v>449</v>
      </c>
      <c r="G18" s="445">
        <v>7</v>
      </c>
      <c r="H18" s="301">
        <f t="shared" si="2"/>
        <v>5236</v>
      </c>
      <c r="I18" s="301">
        <f>ROUND(D18/1000,0)+1</f>
        <v>2377</v>
      </c>
      <c r="J18" s="446">
        <f t="shared" si="1"/>
        <v>0.45397249809014517</v>
      </c>
    </row>
    <row r="19" spans="1:10" ht="18.75" customHeight="1">
      <c r="A19" s="48" t="s">
        <v>450</v>
      </c>
      <c r="B19" s="444">
        <v>8</v>
      </c>
      <c r="C19" s="221">
        <v>23321734</v>
      </c>
      <c r="D19" s="221">
        <v>13958520</v>
      </c>
      <c r="E19" s="172">
        <f t="shared" si="0"/>
        <v>0.5985198184663284</v>
      </c>
      <c r="F19" s="54" t="s">
        <v>450</v>
      </c>
      <c r="G19" s="445">
        <v>8</v>
      </c>
      <c r="H19" s="301">
        <f t="shared" si="2"/>
        <v>23322</v>
      </c>
      <c r="I19" s="301">
        <f>ROUND(D19/1000,0)</f>
        <v>13959</v>
      </c>
      <c r="J19" s="446">
        <f t="shared" si="1"/>
        <v>0.5985335734499614</v>
      </c>
    </row>
    <row r="20" spans="1:10" ht="19.5" customHeight="1">
      <c r="A20" s="48" t="s">
        <v>451</v>
      </c>
      <c r="B20" s="444">
        <v>9</v>
      </c>
      <c r="C20" s="221">
        <v>156021</v>
      </c>
      <c r="D20" s="221">
        <v>91184</v>
      </c>
      <c r="E20" s="172">
        <f t="shared" si="0"/>
        <v>0.5844341466853821</v>
      </c>
      <c r="F20" s="54" t="s">
        <v>451</v>
      </c>
      <c r="G20" s="445">
        <v>9</v>
      </c>
      <c r="H20" s="301">
        <f t="shared" si="2"/>
        <v>156</v>
      </c>
      <c r="I20" s="301">
        <f t="shared" si="3"/>
        <v>91</v>
      </c>
      <c r="J20" s="446">
        <f t="shared" si="1"/>
        <v>0.5833333333333334</v>
      </c>
    </row>
    <row r="21" spans="1:12" ht="27.75" customHeight="1">
      <c r="A21" s="92" t="s">
        <v>452</v>
      </c>
      <c r="B21" s="444">
        <v>10</v>
      </c>
      <c r="C21" s="221">
        <v>75574914</v>
      </c>
      <c r="D21" s="221">
        <v>32401151</v>
      </c>
      <c r="E21" s="172">
        <f t="shared" si="0"/>
        <v>0.4287289165820288</v>
      </c>
      <c r="F21" s="200" t="s">
        <v>452</v>
      </c>
      <c r="G21" s="445">
        <v>10</v>
      </c>
      <c r="H21" s="301">
        <f t="shared" si="2"/>
        <v>75575</v>
      </c>
      <c r="I21" s="301">
        <f t="shared" si="3"/>
        <v>32401</v>
      </c>
      <c r="J21" s="446">
        <f t="shared" si="1"/>
        <v>0.42872643069798216</v>
      </c>
      <c r="L21" s="447"/>
    </row>
    <row r="22" spans="1:10" ht="25.5" customHeight="1">
      <c r="A22" s="92" t="s">
        <v>453</v>
      </c>
      <c r="B22" s="444">
        <v>11</v>
      </c>
      <c r="C22" s="221">
        <v>827061</v>
      </c>
      <c r="D22" s="221">
        <v>412657</v>
      </c>
      <c r="E22" s="172">
        <f t="shared" si="0"/>
        <v>0.4989438505745042</v>
      </c>
      <c r="F22" s="200" t="s">
        <v>453</v>
      </c>
      <c r="G22" s="445">
        <v>11</v>
      </c>
      <c r="H22" s="301">
        <f t="shared" si="2"/>
        <v>827</v>
      </c>
      <c r="I22" s="301">
        <f t="shared" si="3"/>
        <v>413</v>
      </c>
      <c r="J22" s="446">
        <f t="shared" si="1"/>
        <v>0.49939540507859737</v>
      </c>
    </row>
    <row r="23" spans="1:10" ht="19.5" customHeight="1">
      <c r="A23" s="48" t="s">
        <v>454</v>
      </c>
      <c r="B23" s="444">
        <v>12</v>
      </c>
      <c r="C23" s="221">
        <v>13810084</v>
      </c>
      <c r="D23" s="221">
        <v>6115464</v>
      </c>
      <c r="E23" s="172">
        <f t="shared" si="0"/>
        <v>0.4428259813626043</v>
      </c>
      <c r="F23" s="54" t="s">
        <v>454</v>
      </c>
      <c r="G23" s="445">
        <v>12</v>
      </c>
      <c r="H23" s="301">
        <f t="shared" si="2"/>
        <v>13810</v>
      </c>
      <c r="I23" s="301">
        <f t="shared" si="3"/>
        <v>6115</v>
      </c>
      <c r="J23" s="446">
        <f t="shared" si="1"/>
        <v>0.44279507603186097</v>
      </c>
    </row>
    <row r="24" spans="1:10" ht="19.5" customHeight="1">
      <c r="A24" s="48" t="s">
        <v>455</v>
      </c>
      <c r="B24" s="444">
        <v>13</v>
      </c>
      <c r="C24" s="221">
        <v>25013391</v>
      </c>
      <c r="D24" s="221">
        <v>12626406</v>
      </c>
      <c r="E24" s="172">
        <f t="shared" si="0"/>
        <v>0.5047858565038222</v>
      </c>
      <c r="F24" s="54" t="s">
        <v>455</v>
      </c>
      <c r="G24" s="445">
        <v>13</v>
      </c>
      <c r="H24" s="301">
        <f>ROUND(C24/1000,)+2</f>
        <v>25015</v>
      </c>
      <c r="I24" s="301">
        <f>ROUND(D24/1000,0)</f>
        <v>12626</v>
      </c>
      <c r="J24" s="446">
        <f t="shared" si="1"/>
        <v>0.5047371577053767</v>
      </c>
    </row>
    <row r="25" spans="1:10" ht="24.75" customHeight="1">
      <c r="A25" s="92" t="s">
        <v>456</v>
      </c>
      <c r="B25" s="444">
        <v>14</v>
      </c>
      <c r="C25" s="221">
        <v>141857231</v>
      </c>
      <c r="D25" s="221">
        <f>89712370+35685540</f>
        <v>125397910</v>
      </c>
      <c r="E25" s="172">
        <f t="shared" si="0"/>
        <v>0.8839726330200256</v>
      </c>
      <c r="F25" s="448" t="s">
        <v>457</v>
      </c>
      <c r="G25" s="449">
        <v>14</v>
      </c>
      <c r="H25" s="319">
        <f>ROUND(C25/1000,)</f>
        <v>141857</v>
      </c>
      <c r="I25" s="319">
        <f>ROUND(D25/1000,0)</f>
        <v>125398</v>
      </c>
      <c r="J25" s="446">
        <f t="shared" si="1"/>
        <v>0.8839747069231692</v>
      </c>
    </row>
    <row r="26" spans="2:10" ht="12.75">
      <c r="B26" s="36"/>
      <c r="C26" s="30"/>
      <c r="D26" s="30"/>
      <c r="E26" s="186"/>
      <c r="G26" s="36"/>
      <c r="H26" s="30"/>
      <c r="I26" s="30"/>
      <c r="J26" s="186"/>
    </row>
    <row r="27" spans="1:10" ht="12.75">
      <c r="A27" s="43" t="s">
        <v>458</v>
      </c>
      <c r="B27" s="36"/>
      <c r="C27" s="30"/>
      <c r="D27" s="30"/>
      <c r="E27" s="186"/>
      <c r="F27" s="43" t="s">
        <v>458</v>
      </c>
      <c r="G27" s="36"/>
      <c r="H27" s="30"/>
      <c r="I27" s="30"/>
      <c r="J27" s="186"/>
    </row>
    <row r="28" spans="2:10" ht="12.75">
      <c r="B28" s="36"/>
      <c r="C28" s="30"/>
      <c r="D28" s="30"/>
      <c r="E28" s="186"/>
      <c r="G28" s="36"/>
      <c r="H28" s="30"/>
      <c r="I28" s="30"/>
      <c r="J28" s="186"/>
    </row>
    <row r="29" spans="2:10" ht="12.75">
      <c r="B29" s="36"/>
      <c r="C29" s="30"/>
      <c r="D29" s="30"/>
      <c r="E29" s="186"/>
      <c r="F29" s="447"/>
      <c r="G29" s="36"/>
      <c r="H29" s="30"/>
      <c r="I29" s="30"/>
      <c r="J29" s="186"/>
    </row>
    <row r="30" spans="2:10" ht="12.75">
      <c r="B30" s="36"/>
      <c r="C30" s="30"/>
      <c r="D30" s="30"/>
      <c r="E30" s="186"/>
      <c r="G30" s="36"/>
      <c r="H30" s="30"/>
      <c r="I30" s="30"/>
      <c r="J30" s="186"/>
    </row>
    <row r="31" spans="2:10" ht="12.75">
      <c r="B31" s="36"/>
      <c r="C31" s="30"/>
      <c r="D31" s="30"/>
      <c r="E31" s="186"/>
      <c r="I31" s="30"/>
      <c r="J31" s="186"/>
    </row>
    <row r="32" spans="2:10" ht="12.75">
      <c r="B32" s="36"/>
      <c r="C32" s="30"/>
      <c r="D32" s="30"/>
      <c r="E32" s="186"/>
      <c r="G32" s="36"/>
      <c r="H32" s="30"/>
      <c r="I32" s="30"/>
      <c r="J32" s="186"/>
    </row>
    <row r="33" spans="1:13" ht="12.75">
      <c r="A33" s="43" t="s">
        <v>459</v>
      </c>
      <c r="B33" s="36"/>
      <c r="C33" s="30" t="s">
        <v>460</v>
      </c>
      <c r="D33" s="30"/>
      <c r="E33" s="186"/>
      <c r="I33" s="30"/>
      <c r="J33" s="186"/>
      <c r="L33" s="36"/>
      <c r="M33" s="30"/>
    </row>
    <row r="34" spans="2:10" ht="12.75">
      <c r="B34" s="36"/>
      <c r="C34" s="30"/>
      <c r="D34" s="30"/>
      <c r="E34" s="186"/>
      <c r="G34" s="36"/>
      <c r="H34" s="30"/>
      <c r="I34" s="30"/>
      <c r="J34" s="186"/>
    </row>
    <row r="35" spans="2:9" ht="12.75">
      <c r="B35" s="36"/>
      <c r="C35" s="30"/>
      <c r="D35" s="30"/>
      <c r="E35" s="186"/>
      <c r="F35" s="43" t="s">
        <v>113</v>
      </c>
      <c r="G35" s="29"/>
      <c r="H35" s="101"/>
      <c r="I35" s="30"/>
    </row>
    <row r="36" spans="4:10" ht="12.75">
      <c r="D36" s="30"/>
      <c r="E36" s="186"/>
      <c r="I36" s="30"/>
      <c r="J36" s="186"/>
    </row>
    <row r="37" spans="2:10" ht="12.75">
      <c r="B37" s="36"/>
      <c r="C37" s="30"/>
      <c r="D37" s="30"/>
      <c r="E37" s="186"/>
      <c r="G37" s="36"/>
      <c r="H37" s="30"/>
      <c r="I37" s="30"/>
      <c r="J37" s="186"/>
    </row>
    <row r="38" spans="3:10" ht="12.75">
      <c r="C38" s="30"/>
      <c r="D38" s="30"/>
      <c r="E38" s="186"/>
      <c r="F38" s="39" t="s">
        <v>461</v>
      </c>
      <c r="H38" s="30"/>
      <c r="I38" s="30"/>
      <c r="J38" s="186"/>
    </row>
    <row r="39" spans="3:10" ht="12.75">
      <c r="C39" s="30"/>
      <c r="D39" s="30"/>
      <c r="E39" s="186"/>
      <c r="F39" s="39" t="s">
        <v>303</v>
      </c>
      <c r="H39" s="30"/>
      <c r="I39" s="30"/>
      <c r="J39" s="186"/>
    </row>
    <row r="40" spans="3:10" ht="12.75">
      <c r="C40" s="30"/>
      <c r="D40" s="30"/>
      <c r="E40" s="186"/>
      <c r="H40" s="30"/>
      <c r="I40" s="30"/>
      <c r="J40" s="186"/>
    </row>
    <row r="41" spans="3:10" ht="12.75">
      <c r="C41" s="30"/>
      <c r="D41" s="30"/>
      <c r="E41" s="186"/>
      <c r="H41" s="30"/>
      <c r="I41" s="30"/>
      <c r="J41" s="186"/>
    </row>
    <row r="42" spans="3:10" ht="12.75">
      <c r="C42" s="30"/>
      <c r="D42" s="30"/>
      <c r="E42" s="186"/>
      <c r="H42" s="30"/>
      <c r="I42" s="30"/>
      <c r="J42" s="186"/>
    </row>
    <row r="43" spans="3:10" ht="12.75">
      <c r="C43" s="30"/>
      <c r="D43" s="30"/>
      <c r="E43" s="186"/>
      <c r="H43" s="30"/>
      <c r="I43" s="30"/>
      <c r="J43" s="186"/>
    </row>
    <row r="44" spans="3:10" ht="12.75">
      <c r="C44" s="30"/>
      <c r="D44" s="30"/>
      <c r="E44" s="186"/>
      <c r="H44" s="30"/>
      <c r="I44" s="30"/>
      <c r="J44" s="186"/>
    </row>
    <row r="45" spans="3:10" ht="12.75">
      <c r="C45" s="30"/>
      <c r="D45" s="30"/>
      <c r="E45" s="186"/>
      <c r="H45" s="30"/>
      <c r="I45" s="30"/>
      <c r="J45" s="186"/>
    </row>
    <row r="46" spans="3:10" ht="12.75">
      <c r="C46" s="30"/>
      <c r="D46" s="30"/>
      <c r="E46" s="186"/>
      <c r="H46" s="30"/>
      <c r="I46" s="30"/>
      <c r="J46" s="186"/>
    </row>
    <row r="47" spans="2:9" ht="12.75">
      <c r="B47" s="30"/>
      <c r="C47" s="30"/>
      <c r="D47" s="186"/>
      <c r="G47" s="30"/>
      <c r="H47" s="30"/>
      <c r="I47" s="186"/>
    </row>
    <row r="48" spans="2:9" ht="12.75">
      <c r="B48" s="30"/>
      <c r="C48" s="30"/>
      <c r="D48" s="186"/>
      <c r="G48" s="30"/>
      <c r="H48" s="30"/>
      <c r="I48" s="186"/>
    </row>
    <row r="49" spans="2:9" ht="12.75">
      <c r="B49" s="30"/>
      <c r="C49" s="30"/>
      <c r="D49" s="186"/>
      <c r="G49" s="30"/>
      <c r="H49" s="30"/>
      <c r="I49" s="186"/>
    </row>
    <row r="50" spans="2:9" ht="12.75">
      <c r="B50" s="30"/>
      <c r="C50" s="30"/>
      <c r="D50" s="186"/>
      <c r="G50" s="30"/>
      <c r="H50" s="30"/>
      <c r="I50" s="186"/>
    </row>
    <row r="51" spans="2:9" ht="12.75">
      <c r="B51" s="30"/>
      <c r="C51" s="30"/>
      <c r="D51" s="186"/>
      <c r="G51" s="30"/>
      <c r="H51" s="30"/>
      <c r="I51" s="186"/>
    </row>
    <row r="52" spans="2:9" ht="12.75">
      <c r="B52" s="30"/>
      <c r="C52" s="30"/>
      <c r="D52" s="186"/>
      <c r="G52" s="30"/>
      <c r="H52" s="30"/>
      <c r="I52" s="186"/>
    </row>
    <row r="53" spans="2:9" ht="12.75">
      <c r="B53" s="30"/>
      <c r="D53" s="186"/>
      <c r="G53" s="30"/>
      <c r="I53" s="186"/>
    </row>
    <row r="54" spans="2:9" ht="12.75">
      <c r="B54" s="30"/>
      <c r="D54" s="186"/>
      <c r="G54" s="30"/>
      <c r="I54" s="186"/>
    </row>
    <row r="55" spans="2:9" ht="12.75">
      <c r="B55" s="30"/>
      <c r="D55" s="186"/>
      <c r="G55" s="30"/>
      <c r="I55" s="186"/>
    </row>
    <row r="56" spans="2:9" ht="12.75">
      <c r="B56" s="30"/>
      <c r="D56" s="186"/>
      <c r="G56" s="30"/>
      <c r="I56" s="186"/>
    </row>
    <row r="57" spans="2:9" ht="12.75">
      <c r="B57" s="30"/>
      <c r="D57" s="186"/>
      <c r="G57" s="30"/>
      <c r="I57" s="186"/>
    </row>
    <row r="58" spans="2:9" ht="12.75">
      <c r="B58" s="30"/>
      <c r="D58" s="186"/>
      <c r="G58" s="30"/>
      <c r="I58" s="186"/>
    </row>
    <row r="59" spans="2:9" ht="12.75">
      <c r="B59" s="30"/>
      <c r="D59" s="186"/>
      <c r="G59" s="30"/>
      <c r="I59" s="186"/>
    </row>
    <row r="60" spans="2:9" ht="12.75">
      <c r="B60" s="30"/>
      <c r="D60" s="186"/>
      <c r="G60" s="30"/>
      <c r="I60" s="186"/>
    </row>
    <row r="61" spans="2:9" ht="12.75">
      <c r="B61" s="30"/>
      <c r="D61" s="186"/>
      <c r="G61" s="30"/>
      <c r="I61" s="186"/>
    </row>
    <row r="62" spans="2:9" ht="12.75">
      <c r="B62" s="30"/>
      <c r="D62" s="186"/>
      <c r="G62" s="30"/>
      <c r="I62" s="186"/>
    </row>
    <row r="63" spans="2:9" ht="12.75">
      <c r="B63" s="30"/>
      <c r="D63" s="186"/>
      <c r="G63" s="30"/>
      <c r="I63" s="186"/>
    </row>
    <row r="64" spans="2:9" ht="12.75">
      <c r="B64" s="30"/>
      <c r="D64" s="186"/>
      <c r="G64" s="30"/>
      <c r="I64" s="186"/>
    </row>
    <row r="65" spans="2:9" ht="12.75">
      <c r="B65" s="30"/>
      <c r="D65" s="186"/>
      <c r="G65" s="30"/>
      <c r="I65" s="186"/>
    </row>
    <row r="66" spans="2:9" ht="12.75">
      <c r="B66" s="30"/>
      <c r="D66" s="186"/>
      <c r="G66" s="30"/>
      <c r="I66" s="186"/>
    </row>
    <row r="67" spans="2:9" ht="12.75">
      <c r="B67" s="30"/>
      <c r="D67" s="186"/>
      <c r="G67" s="30"/>
      <c r="I67" s="186"/>
    </row>
    <row r="68" spans="2:9" ht="12.75">
      <c r="B68" s="30"/>
      <c r="D68" s="186"/>
      <c r="G68" s="30"/>
      <c r="I68" s="186"/>
    </row>
    <row r="69" spans="2:9" ht="12.75">
      <c r="B69" s="30"/>
      <c r="D69" s="186"/>
      <c r="G69" s="30"/>
      <c r="I69" s="186"/>
    </row>
    <row r="70" spans="2:9" ht="12.75">
      <c r="B70" s="30"/>
      <c r="D70" s="186"/>
      <c r="G70" s="30"/>
      <c r="I70" s="186"/>
    </row>
    <row r="71" spans="2:9" ht="12.75">
      <c r="B71" s="30"/>
      <c r="D71" s="186"/>
      <c r="G71" s="30"/>
      <c r="I71" s="186"/>
    </row>
    <row r="72" spans="2:9" ht="12.75">
      <c r="B72" s="30"/>
      <c r="D72" s="186"/>
      <c r="G72" s="30"/>
      <c r="I72" s="186"/>
    </row>
    <row r="73" spans="2:9" ht="12.75">
      <c r="B73" s="30"/>
      <c r="D73" s="186"/>
      <c r="G73" s="30"/>
      <c r="I73" s="186"/>
    </row>
    <row r="74" spans="2:9" ht="12.75">
      <c r="B74" s="30"/>
      <c r="D74" s="186"/>
      <c r="G74" s="30"/>
      <c r="I74" s="186"/>
    </row>
    <row r="75" spans="2:9" ht="12.75">
      <c r="B75" s="30"/>
      <c r="D75" s="186"/>
      <c r="G75" s="30"/>
      <c r="I75" s="186"/>
    </row>
    <row r="76" spans="2:9" ht="12.75">
      <c r="B76" s="30"/>
      <c r="D76" s="186"/>
      <c r="G76" s="30"/>
      <c r="I76" s="186"/>
    </row>
    <row r="77" spans="2:9" ht="12.75">
      <c r="B77" s="30"/>
      <c r="D77" s="186"/>
      <c r="G77" s="30"/>
      <c r="I77" s="186"/>
    </row>
    <row r="78" spans="2:9" ht="12.75">
      <c r="B78" s="30"/>
      <c r="D78" s="186"/>
      <c r="G78" s="30"/>
      <c r="I78" s="186"/>
    </row>
    <row r="79" spans="2:9" ht="12.75">
      <c r="B79" s="30"/>
      <c r="D79" s="186"/>
      <c r="G79" s="30"/>
      <c r="I79" s="186"/>
    </row>
    <row r="80" spans="2:9" ht="12.75">
      <c r="B80" s="30"/>
      <c r="D80" s="186"/>
      <c r="G80" s="30"/>
      <c r="I80" s="186"/>
    </row>
    <row r="81" spans="2:9" ht="12.75">
      <c r="B81" s="30"/>
      <c r="D81" s="186"/>
      <c r="G81" s="30"/>
      <c r="I81" s="186"/>
    </row>
    <row r="82" spans="2:9" ht="12.75">
      <c r="B82" s="30"/>
      <c r="D82" s="186"/>
      <c r="G82" s="30"/>
      <c r="I82" s="186"/>
    </row>
    <row r="83" spans="2:9" ht="12.75">
      <c r="B83" s="30"/>
      <c r="D83" s="186"/>
      <c r="G83" s="30"/>
      <c r="I83" s="186"/>
    </row>
    <row r="84" spans="2:9" ht="12.75">
      <c r="B84" s="30"/>
      <c r="D84" s="186"/>
      <c r="G84" s="30"/>
      <c r="I84" s="186"/>
    </row>
    <row r="85" spans="2:9" ht="12.75">
      <c r="B85" s="30"/>
      <c r="D85" s="186"/>
      <c r="G85" s="30"/>
      <c r="I85" s="186"/>
    </row>
    <row r="86" spans="2:9" ht="12.75">
      <c r="B86" s="30"/>
      <c r="D86" s="186"/>
      <c r="G86" s="30"/>
      <c r="I86" s="186"/>
    </row>
    <row r="87" spans="2:9" ht="12.75">
      <c r="B87" s="30"/>
      <c r="D87" s="186"/>
      <c r="G87" s="30"/>
      <c r="I87" s="186"/>
    </row>
    <row r="88" spans="2:9" ht="12.75">
      <c r="B88" s="30"/>
      <c r="D88" s="186"/>
      <c r="G88" s="30"/>
      <c r="I88" s="186"/>
    </row>
    <row r="89" spans="2:9" ht="12.75">
      <c r="B89" s="30"/>
      <c r="D89" s="186"/>
      <c r="G89" s="30"/>
      <c r="I89" s="186"/>
    </row>
    <row r="90" spans="2:9" ht="12.75">
      <c r="B90" s="30"/>
      <c r="D90" s="186"/>
      <c r="G90" s="30"/>
      <c r="I90" s="186"/>
    </row>
    <row r="91" spans="2:9" ht="12.75">
      <c r="B91" s="30"/>
      <c r="D91" s="186"/>
      <c r="G91" s="30"/>
      <c r="I91" s="186"/>
    </row>
    <row r="92" spans="2:9" ht="12.75">
      <c r="B92" s="30"/>
      <c r="D92" s="186"/>
      <c r="G92" s="30"/>
      <c r="I92" s="186"/>
    </row>
    <row r="93" spans="2:9" ht="12.75">
      <c r="B93" s="30"/>
      <c r="D93" s="186"/>
      <c r="G93" s="30"/>
      <c r="I93" s="186"/>
    </row>
    <row r="94" spans="2:9" ht="12.75">
      <c r="B94" s="30"/>
      <c r="D94" s="186"/>
      <c r="G94" s="30"/>
      <c r="I94" s="186"/>
    </row>
    <row r="95" spans="2:9" ht="12.75">
      <c r="B95" s="30"/>
      <c r="D95" s="186"/>
      <c r="G95" s="30"/>
      <c r="I95" s="186"/>
    </row>
    <row r="96" spans="2:9" ht="12.75">
      <c r="B96" s="30"/>
      <c r="D96" s="186"/>
      <c r="G96" s="30"/>
      <c r="I96" s="186"/>
    </row>
    <row r="97" spans="2:9" ht="12.75">
      <c r="B97" s="30"/>
      <c r="D97" s="186"/>
      <c r="G97" s="30"/>
      <c r="I97" s="186"/>
    </row>
    <row r="98" spans="2:9" ht="12.75">
      <c r="B98" s="30"/>
      <c r="D98" s="186"/>
      <c r="G98" s="30"/>
      <c r="I98" s="186"/>
    </row>
    <row r="99" spans="2:9" ht="12.75">
      <c r="B99" s="30"/>
      <c r="D99" s="186"/>
      <c r="G99" s="30"/>
      <c r="I99" s="186"/>
    </row>
    <row r="100" spans="2:7" ht="12.75">
      <c r="B100" s="30"/>
      <c r="G100" s="30"/>
    </row>
    <row r="101" spans="2:7" ht="12.75">
      <c r="B101" s="30"/>
      <c r="G101" s="30"/>
    </row>
    <row r="102" spans="2:7" ht="12.75">
      <c r="B102" s="30"/>
      <c r="G102" s="30"/>
    </row>
    <row r="103" spans="2:7" ht="12.75">
      <c r="B103" s="30"/>
      <c r="G103" s="30"/>
    </row>
    <row r="104" spans="2:7" ht="12.75">
      <c r="B104" s="30"/>
      <c r="G104" s="30"/>
    </row>
    <row r="105" spans="2:7" ht="12.75">
      <c r="B105" s="30"/>
      <c r="G105" s="30"/>
    </row>
    <row r="106" spans="2:7" ht="12.75">
      <c r="B106" s="30"/>
      <c r="G106" s="30"/>
    </row>
    <row r="107" spans="2:7" ht="12.75">
      <c r="B107" s="30"/>
      <c r="G107" s="30"/>
    </row>
    <row r="108" spans="2:7" ht="12.75">
      <c r="B108" s="30"/>
      <c r="G108" s="30"/>
    </row>
  </sheetData>
  <mergeCells count="5">
    <mergeCell ref="F5:I5"/>
    <mergeCell ref="A2:C2"/>
    <mergeCell ref="F2:I2"/>
    <mergeCell ref="A4:D4"/>
    <mergeCell ref="F4:J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VinetaP</cp:lastModifiedBy>
  <cp:lastPrinted>2000-08-16T12:36:10Z</cp:lastPrinted>
  <dcterms:created xsi:type="dcterms:W3CDTF">2000-08-16T11:44:14Z</dcterms:created>
  <dcterms:modified xsi:type="dcterms:W3CDTF">2002-12-02T15:08:02Z</dcterms:modified>
  <cp:category/>
  <cp:version/>
  <cp:contentType/>
  <cp:contentStatus/>
</cp:coreProperties>
</file>