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activeTab="0"/>
  </bookViews>
  <sheets>
    <sheet name="kopbudzets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ula" sheetId="12" r:id="rId12"/>
    <sheet name="12.tabula" sheetId="13" r:id="rId13"/>
    <sheet name="13.tabula" sheetId="14" r:id="rId14"/>
    <sheet name="14.tabula" sheetId="15" r:id="rId15"/>
    <sheet name="15.tabula" sheetId="16" r:id="rId16"/>
    <sheet name="16.tabula" sheetId="17" r:id="rId17"/>
    <sheet name="17.tabula" sheetId="18" r:id="rId18"/>
    <sheet name="18.tabula" sheetId="19" r:id="rId19"/>
    <sheet name="19.tabula" sheetId="20" r:id="rId20"/>
    <sheet name="20.tabula" sheetId="21" r:id="rId21"/>
    <sheet name="Sheet1" sheetId="22" r:id="rId22"/>
    <sheet name="Sheet2" sheetId="23" r:id="rId23"/>
    <sheet name="Sheet3" sheetId="24" r:id="rId24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11">'11.tabula'!$A$1:$F$62</definedName>
    <definedName name="_xlnm.Print_Area" localSheetId="12">'12.tabula'!$A$1:$E$59</definedName>
    <definedName name="_xlnm.Print_Area" localSheetId="13">'13.tabula'!$A$1:$F$48</definedName>
    <definedName name="_xlnm.Print_Area" localSheetId="14">'14.tabula'!$A$1:$E$47</definedName>
    <definedName name="_xlnm.Print_Area" localSheetId="15">'15.tabula'!$A$1:$E$34</definedName>
    <definedName name="_xlnm.Print_Area" localSheetId="16">'16.tabula'!$A$1:$E$49</definedName>
    <definedName name="_xlnm.Print_Titles" localSheetId="10">'10.tab.'!$5:$7</definedName>
    <definedName name="_xlnm.Print_Titles" localSheetId="11">'11.tabula'!$5:$6</definedName>
    <definedName name="_xlnm.Print_Titles" localSheetId="17">'17.tabula'!$8:$11</definedName>
    <definedName name="_xlnm.Print_Titles" localSheetId="18">'18.tabula'!$8:$11</definedName>
    <definedName name="_xlnm.Print_Titles" localSheetId="20">'20.tabula'!$7:$9</definedName>
  </definedNames>
  <calcPr fullCalcOnLoad="1"/>
</workbook>
</file>

<file path=xl/sharedStrings.xml><?xml version="1.0" encoding="utf-8"?>
<sst xmlns="http://schemas.openxmlformats.org/spreadsheetml/2006/main" count="2503" uniqueCount="781">
  <si>
    <t>Finansēšana                   -(4-7)</t>
  </si>
  <si>
    <t>Budžeta līdzekļu izmaiņas (12-13)</t>
  </si>
  <si>
    <t>Līdzekļu atlikums gada sākumā</t>
  </si>
  <si>
    <t>Līdzekļu atlikums perioda beigās</t>
  </si>
  <si>
    <t>No komerc-
bankām</t>
  </si>
  <si>
    <t>Ārējā  finansēšana</t>
  </si>
  <si>
    <t>PILSĒTAS</t>
  </si>
  <si>
    <t>RĪGA</t>
  </si>
  <si>
    <t>DAUGAVPILS</t>
  </si>
  <si>
    <t>JELGAVA</t>
  </si>
  <si>
    <t>JŪRMALA</t>
  </si>
  <si>
    <t>LIEPĀJA</t>
  </si>
  <si>
    <t>RĒZEKNE</t>
  </si>
  <si>
    <t>VENTSPILS</t>
  </si>
  <si>
    <t>KOPĀ PILSĒTĀS</t>
  </si>
  <si>
    <t>RAJONI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</si>
  <si>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</si>
  <si>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</si>
  <si>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</si>
  <si>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</si>
  <si>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</si>
  <si>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</si>
  <si>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</si>
  <si>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</si>
  <si>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</si>
  <si>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</si>
  <si>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</si>
  <si>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</si>
  <si>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</si>
  <si>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</si>
  <si>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</si>
  <si>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</si>
  <si>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</si>
  <si>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</si>
  <si>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</si>
  <si>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</si>
  <si>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</si>
  <si>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</si>
  <si>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</si>
  <si>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</si>
  <si>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</si>
  <si>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</si>
  <si>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 RAJONOS</t>
  </si>
  <si>
    <t>KOPĀ</t>
  </si>
  <si>
    <t>*  -  neieskaitot iedzīvotāju ienākuma nodokļa atlikumu sadales kontā</t>
  </si>
  <si>
    <t xml:space="preserve">** -   ieskaitot  tīros aizdevumus </t>
  </si>
  <si>
    <t xml:space="preserve">Valsts kases pārvaldnieks </t>
  </si>
  <si>
    <t>_______________________________</t>
  </si>
  <si>
    <t xml:space="preserve">   A. Veiss</t>
  </si>
  <si>
    <t xml:space="preserve">                Valsts kases oficiālais pārskats</t>
  </si>
  <si>
    <t>18.tabula</t>
  </si>
  <si>
    <t>Pašvaldību speciālā budžeta izpildes rādītāji</t>
  </si>
  <si>
    <t xml:space="preserve">                            (tūkst. latu)</t>
  </si>
  <si>
    <t>Iekšējā finansēšana</t>
  </si>
  <si>
    <t>Rajona, pilsētas nosaukums</t>
  </si>
  <si>
    <t>Ieņēmumi kopā</t>
  </si>
  <si>
    <t>Izdevumi *   kopā</t>
  </si>
  <si>
    <t>Fiskālais deficīts (-), pārpalikums (+)       (2-3)</t>
  </si>
  <si>
    <t>Finansēšana       -(2-3)</t>
  </si>
  <si>
    <t>Budžeta līdzekļu izmaiņas         (8-9)</t>
  </si>
  <si>
    <t>Ārējā finansēšana</t>
  </si>
  <si>
    <t xml:space="preserve">*  -   ieskaitot  tīros aizdevumus </t>
  </si>
  <si>
    <t xml:space="preserve">                                      Valsts kases oficiālais mēneša pārskats</t>
  </si>
  <si>
    <t xml:space="preserve">                19. tabula</t>
  </si>
  <si>
    <t xml:space="preserve">                   Pašvaldību finansu izlīdzināšanas  fonda līdzekļi</t>
  </si>
  <si>
    <t xml:space="preserve">                   ( 2000. gada janvāris - novembris )</t>
  </si>
  <si>
    <t>Izpilde</t>
  </si>
  <si>
    <t xml:space="preserve">1. Ieņēmumi - kopā   </t>
  </si>
  <si>
    <t xml:space="preserve">Atlikums uz 2000.gada  1. janvāri </t>
  </si>
  <si>
    <t xml:space="preserve">Ieņēmumu prognozes neizpildes kompensācija - </t>
  </si>
  <si>
    <t>aizdevums no valsts pamatbudžeta</t>
  </si>
  <si>
    <t>Ieskaitīts dotācija no valsts pamatbudžeta</t>
  </si>
  <si>
    <t>Ieskaitīts iedzīvotāju ienākuma nodoklis no pašvaldībām</t>
  </si>
  <si>
    <t>Ieņēmumi no nekustamā īpašuma nodokļa</t>
  </si>
  <si>
    <t>2. Izdevumi - kopā</t>
  </si>
  <si>
    <t>Dotācijas pašvaldību budžetiem</t>
  </si>
  <si>
    <t>Mērķdotācijas pašvaldību budžetiem</t>
  </si>
  <si>
    <t>3. Atlikums uz 2000.gada 1. decembri  (1.- 2.)</t>
  </si>
  <si>
    <t>Valsts kases pārvaldnieks              __________________________________</t>
  </si>
  <si>
    <t xml:space="preserve">                                                                                         Valsts kases oficiālais mēneša pārskats</t>
  </si>
  <si>
    <t>20. tabula</t>
  </si>
  <si>
    <t>No valsts budžeta pārskaitītās mērķdotācijas pašvaldībām</t>
  </si>
  <si>
    <t xml:space="preserve">   ( 2000. gada janvāris - novembris )</t>
  </si>
  <si>
    <t xml:space="preserve">                (latos)</t>
  </si>
  <si>
    <t>Rajona vai pilsētas nosaukums</t>
  </si>
  <si>
    <t>Mērķdotācijas investīcijām   (13.pielikums)</t>
  </si>
  <si>
    <t xml:space="preserve">Mērķdotācijas specializētiem izglītības pasākumiem (11.pielikums) </t>
  </si>
  <si>
    <t xml:space="preserve">Mērķdotācijas pašvaldību pašdarbības kolektīviem (12.pielikums) </t>
  </si>
  <si>
    <t>Mērķdotācijas izglītības pasākumiem
(6.-10.pielikums)</t>
  </si>
  <si>
    <t xml:space="preserve">Pārējās mērķdotā-cijas </t>
  </si>
  <si>
    <t>Mērķdotācijas teritoriālplānošanai</t>
  </si>
  <si>
    <t>Mērķdotācijas
 kopā              (2+3+4+5+6+7+8)</t>
  </si>
  <si>
    <t>1999.g.</t>
  </si>
  <si>
    <t>2000.g.</t>
  </si>
  <si>
    <t xml:space="preserve">Valsts kases oficiālais mēneša pārskats </t>
  </si>
  <si>
    <t>10. tabula</t>
  </si>
  <si>
    <t>10.tabula</t>
  </si>
  <si>
    <t xml:space="preserve">Ārvalstu finansu palīdzības un valsts budžeta līdzdalības maksājumi </t>
  </si>
  <si>
    <t>(2000.gada janvāris - novembris)</t>
  </si>
  <si>
    <t>(latos)</t>
  </si>
  <si>
    <t>(tūkst. latu)</t>
  </si>
  <si>
    <t>Rādītāji</t>
  </si>
  <si>
    <t>Likumā apstiprinātais gada plāns</t>
  </si>
  <si>
    <t xml:space="preserve">Finansēšanas plāns pārskata periodam </t>
  </si>
  <si>
    <t>Izpilde no gada sākuma</t>
  </si>
  <si>
    <t>Izpilde % pret gada plānu (4/2)</t>
  </si>
  <si>
    <t>Izpilde % pret finansēša-nas plānu pārskata periodam 
  (4/3)</t>
  </si>
  <si>
    <t>Novembra izpilde</t>
  </si>
  <si>
    <t xml:space="preserve">   1. Ārvalstu finansu palīdzība
un valsts pamatbudžeta 
līdzdalības maksājumi kopā</t>
  </si>
  <si>
    <t>Ārvalstu finansu palīdzība</t>
  </si>
  <si>
    <t xml:space="preserve">     Uzturēšanas izdevumi</t>
  </si>
  <si>
    <t xml:space="preserve">     Izdevumi kapitālieguldījumiem</t>
  </si>
  <si>
    <t>Valsts pamatbudžets</t>
  </si>
  <si>
    <t>Saeima</t>
  </si>
  <si>
    <t xml:space="preserve">  Ārvalstu finansu palīdzība</t>
  </si>
  <si>
    <t>Ministru Kabinets</t>
  </si>
  <si>
    <t xml:space="preserve">  Valsts pamatbudžets</t>
  </si>
  <si>
    <t>Ārlietu ministrija</t>
  </si>
  <si>
    <t>Ekonomikas ministrija</t>
  </si>
  <si>
    <t>Finansu ministrija</t>
  </si>
  <si>
    <t>Iekšlietu ministrija</t>
  </si>
  <si>
    <t>Izglītības un zinātnes ministrija</t>
  </si>
  <si>
    <t>Zemkopības ministrija</t>
  </si>
  <si>
    <t>Satiksmes ministrija</t>
  </si>
  <si>
    <t>Labklājības ministrija</t>
  </si>
  <si>
    <t xml:space="preserve">Tieslietu ministrija </t>
  </si>
  <si>
    <t>Vides aizsardzības un reģionālās 
attīstības ministrija</t>
  </si>
  <si>
    <t>Īpašu uzdevumu ministra sadarbībai  ar starptautiskajām finansu institūcijām sekretariāts</t>
  </si>
  <si>
    <t>Īpašu uzdevumu ministra valsts pārvaldes  un  pašvaldību  reformas jautājumos  sekretariāts</t>
  </si>
  <si>
    <t xml:space="preserve">   2. Ārvalstu finansu palīdzība
un valsts speciālā budžeta
līdzdalības maksājumi kopā</t>
  </si>
  <si>
    <t>Valsts speciālais budžets</t>
  </si>
  <si>
    <t xml:space="preserve">  Valsts speciālais budžets</t>
  </si>
  <si>
    <t>3. Pārējā ārvalstu finansu palīdzība *</t>
  </si>
  <si>
    <t>X</t>
  </si>
  <si>
    <t>3. Pārējā ārvalstu finansu palīdzība*</t>
  </si>
  <si>
    <t>* iepriekšējo periodu izmaksas sadalītas pa attiecīgajām budžeta pozīcijām</t>
  </si>
  <si>
    <t>Valsts kases pārvaldnieks ________________________________________ (A. Veiss)</t>
  </si>
  <si>
    <t>Valsts kase / Pārskatu departaments</t>
  </si>
  <si>
    <t>2000. gada 15. decembrī</t>
  </si>
  <si>
    <t>Valsts kases oficiālais mēneša pārskats par valsts kopbudžeta izpildi
(2000. gada janvāris - novembris)</t>
  </si>
  <si>
    <t xml:space="preserve">                (tūkst.latu)</t>
  </si>
  <si>
    <t>Konsolidētais
valsts budžets*</t>
  </si>
  <si>
    <t>Konsolidētais
pašvaldību budžets</t>
  </si>
  <si>
    <t>Konsolidētais kopbudžets</t>
  </si>
  <si>
    <t>1. Ieņēmumi (bruto)</t>
  </si>
  <si>
    <t>mīnus transferts no valsts pamatbudžeta pašvaldību budžetos</t>
  </si>
  <si>
    <t>x</t>
  </si>
  <si>
    <t>mīnus transferts no valsts speciālā budžeta pašvaldību budžetos **</t>
  </si>
  <si>
    <t>1.1. Kopbudžeta ieņēmumi (neto)</t>
  </si>
  <si>
    <t>2. Izdevumi (bruto)</t>
  </si>
  <si>
    <t>mīnus valsts pamatbudžeta dotācijas, mērķdotācijas pašvaldību budžetiem</t>
  </si>
  <si>
    <t>mīnus valsts speciālā budžeta dotācijas, mērķdotācijas pašvaldību budžetiem **</t>
  </si>
  <si>
    <t>2.1.Kopbudžeta izdevumi (neto)</t>
  </si>
  <si>
    <t>3.  Finansiālais deficīts(-) vai pārpalikums(+)</t>
  </si>
  <si>
    <t>4. Budžeta aizdevumi un atmaksas</t>
  </si>
  <si>
    <t>Budžeta aizdevumi (bruto)</t>
  </si>
  <si>
    <t>mīnus valsts pamatbudžeta aizdevumi pašvaldību budžetiem</t>
  </si>
  <si>
    <t>Budžeta aizdevumi (neto)</t>
  </si>
  <si>
    <t>Budžeta aizdevumu atmaksa (bruto)</t>
  </si>
  <si>
    <t xml:space="preserve">mīnus pašvaldību aizdevumu atmaksas valsts pamatbudžetam </t>
  </si>
  <si>
    <t>Budžeta aizdevumu atmaksas (neto)</t>
  </si>
  <si>
    <t>5. Fiskālais deficīts(-) vai pārpalikums(+)</t>
  </si>
  <si>
    <t>6. Finansēšana</t>
  </si>
  <si>
    <t>6.1.Iekšējā finansēšana</t>
  </si>
  <si>
    <t>No citām valsts pārvaldes struktūrām</t>
  </si>
  <si>
    <t xml:space="preserve">     no citām tā paša līmeņa valsts pārvaldes  struktūrām</t>
  </si>
  <si>
    <t xml:space="preserve">           no citiem valsts pārvaldes līmeņiem (bruto)</t>
  </si>
  <si>
    <t xml:space="preserve">   mīnus pašvaldību finansēšana no valsts pamatbudžeta</t>
  </si>
  <si>
    <t xml:space="preserve">       no citiem valsts pārvaldes līmeņiem (neto)</t>
  </si>
  <si>
    <t>No Latvijas Bankas</t>
  </si>
  <si>
    <t xml:space="preserve">         Depozītu apjoma izmaiņas</t>
  </si>
  <si>
    <t>Norēķinu kontu
atlikumu izmaiņas</t>
  </si>
  <si>
    <t xml:space="preserve">         Valsts iekšējā aizņēmuma vērtspapīri</t>
  </si>
  <si>
    <t>No komercbankām</t>
  </si>
  <si>
    <t xml:space="preserve"> Tīrais aizņēmumu apjoms</t>
  </si>
  <si>
    <t>Pārējā iekšējā finansēšana</t>
  </si>
  <si>
    <t>6.2. Ārējā finansēšana</t>
  </si>
  <si>
    <t>* ieskaitot budžeta iestāžu saņemtos ziedojumus, dāvinājumus un pārējo ārvalstu finansu palīdzību</t>
  </si>
  <si>
    <t>Valsts kases pārvaldnieks                                                                              A. Veiss</t>
  </si>
  <si>
    <t>Valsts kase/Pārskatu departaments</t>
  </si>
  <si>
    <t>2000.gada 15.decembris</t>
  </si>
  <si>
    <t>1.tabula</t>
  </si>
  <si>
    <t xml:space="preserve"> Valsts kases oficiālais mēneša pārskats</t>
  </si>
  <si>
    <t>Valsts konsolidētā budžeta izpilde (2000.gada janvāris)</t>
  </si>
  <si>
    <t>Valsts konsolidētā budžeta izpilde (2000. gada janvāris - novembris)</t>
  </si>
  <si>
    <t>(tūkst.latu)</t>
  </si>
  <si>
    <t>Izpilde  % pret gada plānu         (3/2)</t>
  </si>
  <si>
    <t xml:space="preserve">Janvāra  izpilde </t>
  </si>
  <si>
    <t xml:space="preserve">Novembra  izpilde </t>
  </si>
  <si>
    <t>A.1. Kopējie ieņēmumi (B.1.+C.1.)</t>
  </si>
  <si>
    <t xml:space="preserve">  Valsts pamatbudžeta ieņēmumi (bruto)</t>
  </si>
  <si>
    <t xml:space="preserve">     Nodokļu ieņēmumi</t>
  </si>
  <si>
    <t xml:space="preserve">               - Tiešie nodokļi</t>
  </si>
  <si>
    <t xml:space="preserve">                Uzņēmumu ienākuma nodoklis</t>
  </si>
  <si>
    <t xml:space="preserve">               -  Netiešie nodokļi</t>
  </si>
  <si>
    <t xml:space="preserve">               Pievienotās vērtības nodoklis</t>
  </si>
  <si>
    <t xml:space="preserve">               Akcīzes nodoklis</t>
  </si>
  <si>
    <t xml:space="preserve">               Muitas nodoklis</t>
  </si>
  <si>
    <t xml:space="preserve">              - Citiem budžetiem sadalāmie nodokļi</t>
  </si>
  <si>
    <t xml:space="preserve">     Nenodokļu ieņēmumi</t>
  </si>
  <si>
    <t xml:space="preserve">     Maksas pakalpojumi un citi pašu ieņēmumi</t>
  </si>
  <si>
    <t xml:space="preserve">     Ārvalstu finansu palīdzība</t>
  </si>
  <si>
    <t xml:space="preserve">                                        mīnus transferts no valsts speciālā budžeta</t>
  </si>
  <si>
    <t xml:space="preserve">  B.1. Valsts pamatbudžeta ieņēmumi (neto)</t>
  </si>
  <si>
    <t xml:space="preserve">   Valsts speciālā budžeta ieņēmumi (bruto)</t>
  </si>
  <si>
    <t xml:space="preserve">     Nodokļu un nenodokļu ieņēmumi</t>
  </si>
  <si>
    <t xml:space="preserve">             Sociālās apdrošināšanas iemaksas</t>
  </si>
  <si>
    <t xml:space="preserve">             Akcīzes nodoklis</t>
  </si>
  <si>
    <t xml:space="preserve">             Iedzīvotāju ienākuma nodoklis</t>
  </si>
  <si>
    <t xml:space="preserve">          Ārvalstu finansu palīdzība</t>
  </si>
  <si>
    <t xml:space="preserve">             Pārējie</t>
  </si>
  <si>
    <t xml:space="preserve">                                         mīnus transferts no valsts pamatbudžeta</t>
  </si>
  <si>
    <t xml:space="preserve"> C.1. Valsts speciālā budžeta ieņēmumi (neto)</t>
  </si>
  <si>
    <t>A.2. Kopējie valsts budžeta izdevumi  (A.2.1.+A.2.2.+A.2.3.)</t>
  </si>
  <si>
    <t>A.2.1. Kopējie valsts budžeta uzturēšanas izdevumi (B.2.1.+C.2.1.)</t>
  </si>
  <si>
    <t>A.2.2. Kopējie valsts budžeta kapitālie izdevumi (B.2.2.+C.2.2.)</t>
  </si>
  <si>
    <t>A.2.3. Kopējie valsts budžeta izdevumi investīcijām (B.2.3.+C.2.3.)</t>
  </si>
  <si>
    <t>A.3. Valsts budžeta finansiālais deficīts (-), pārpalikums (+), (A.1.-A.2.)</t>
  </si>
  <si>
    <t>A.4. Kopējie valsts budžeta tīrie aizdevumi (B.4.+C.4.)</t>
  </si>
  <si>
    <t>Kopējie valsts budžeta izdevumi, ieskaitot tīros aizdevumus (A.2.+A.4.)</t>
  </si>
  <si>
    <t>A.5. Valsts budžeta fiskālais deficīts (-), pārpalikums (+), (A.3.-A.4.)</t>
  </si>
  <si>
    <t xml:space="preserve">  Valsts pamatbudžeta izdevumi (bruto)</t>
  </si>
  <si>
    <t xml:space="preserve">                             mīnus transferts valsts speciālajam  budžetam</t>
  </si>
  <si>
    <t xml:space="preserve">  B.2. Valsts pamatbudžeta izdevumi (neto)</t>
  </si>
  <si>
    <t xml:space="preserve">     Valsts pamatbudžeta uzturēšanas izdevumi (bruto)</t>
  </si>
  <si>
    <t xml:space="preserve">                            mīnus transferts valsts speciālajam  budžetam</t>
  </si>
  <si>
    <t xml:space="preserve">  B.2.1. Valsts pamatbudžeta uzturēšanas izdevumi (neto)</t>
  </si>
  <si>
    <t xml:space="preserve">     Valsts pamatbudžeta kapitālie  izdevumi (bruto)</t>
  </si>
  <si>
    <t xml:space="preserve">  B.2.2. Valsts pamatbudžeta kapitālie izdevumi (neto)</t>
  </si>
  <si>
    <t xml:space="preserve">     Valsts pamatbudžeta investīcijas (bruto)</t>
  </si>
  <si>
    <t xml:space="preserve">                           mīnus transferts valsts speciālajam  budžetam</t>
  </si>
  <si>
    <t xml:space="preserve">  B.2.3. Valsts pamatbudžeta investīcijas (neto)</t>
  </si>
  <si>
    <t>B.3. Valsts pamatbudžeta finansiālais deficīts (-), pārpalikums (+)</t>
  </si>
  <si>
    <t xml:space="preserve">  B.4. Valsts pamatbudžeta tīrie aizdevumi </t>
  </si>
  <si>
    <t>Valsts pamatbudžeta tīrie aizdevumi (bruto)</t>
  </si>
  <si>
    <t>B.4.1. Valsts pamatbudžeta tīrie aizdevumi (bruto)</t>
  </si>
  <si>
    <t xml:space="preserve">     Valsts pamatbudžeta tīrie aizdevumi (neto)</t>
  </si>
  <si>
    <t>B.5. Valsts pamatbudžeta fiskālais deficīts (-), pārpalikums (+), (B.3.- B.4.)</t>
  </si>
  <si>
    <t>B.5. Valsts pamatbudžeta fiskālais deficīts (-), pārpalikums (+), (B.3.- B.4.1)</t>
  </si>
  <si>
    <t xml:space="preserve">  Valsts speciālā budžeta izdevumi (bruto)</t>
  </si>
  <si>
    <t xml:space="preserve">                           mīnus transferts valsts pamatbudžetam</t>
  </si>
  <si>
    <t xml:space="preserve">  C.2. Valsts speciālā budžeta izdevumi (neto)</t>
  </si>
  <si>
    <t xml:space="preserve">     Valsts speciālā budžeta uzturēšanas izdevumi (bruto)</t>
  </si>
  <si>
    <t xml:space="preserve">                          mīnus transferts valsts pamatbudžetam</t>
  </si>
  <si>
    <t xml:space="preserve">  C.2.1. Valsts speciālā budžeta uzturēšanas izdevumi (neto)</t>
  </si>
  <si>
    <t xml:space="preserve">     Valsts speciālā budžeta kapitālie izdevumi (bruto)</t>
  </si>
  <si>
    <t xml:space="preserve">  C.2.2. Valsts speciālā budžeta kapitālie izdevumi (neto)</t>
  </si>
  <si>
    <t xml:space="preserve">     Valsts speciālā budžeta investīcijas (bruto)</t>
  </si>
  <si>
    <t xml:space="preserve">  C.2.3. Valsts speciālā budžeta investīcijas (neto)</t>
  </si>
  <si>
    <t>C.3. Valsts speciālā budžeta finansiālais deficīts (-), pārpalikums (+)</t>
  </si>
  <si>
    <t xml:space="preserve">  C.4. Valsts speciālā budžeta tīrie aizdevumi </t>
  </si>
  <si>
    <t xml:space="preserve">     Valsts speciālā budžeta aizdevumi (bruto)</t>
  </si>
  <si>
    <t xml:space="preserve">     Valsts speciālā budžeta aizdevumi (neto)</t>
  </si>
  <si>
    <t>C.5. Valsts speciālā budžeta fiskālais deficīts (-), pārpalikums (+), (C.3.- C.4.)</t>
  </si>
  <si>
    <t xml:space="preserve">Valsts kases pārvaldnieks ______________________________  (A. Veiss)                                                                    </t>
  </si>
  <si>
    <t xml:space="preserve">Valsts kases pārvaldnieks ______________________________  (A.Veiss)                                                                    </t>
  </si>
  <si>
    <t>2.tabula</t>
  </si>
  <si>
    <t>Valsts kases oficiālais mēneša pārskats</t>
  </si>
  <si>
    <t xml:space="preserve">                    Valsts kases oficiālais mēneša pārskats</t>
  </si>
  <si>
    <t>Valsts pamatbudžeta ieņēmumi (2000.gada janvāris- novembra  )</t>
  </si>
  <si>
    <t>Valsts pamatbudžeta ieņēmumi (2000.gada janvāris- novembris )</t>
  </si>
  <si>
    <t>Gada sagaidāmā izpilde %</t>
  </si>
  <si>
    <t>Izpilde % pret gada plānu            (4/2)</t>
  </si>
  <si>
    <t xml:space="preserve">Izpilde no gada sākuma </t>
  </si>
  <si>
    <t>septembris</t>
  </si>
  <si>
    <t>1.Ieņēmumi - kopā  (1.1.+1.2.+1.3.+1.4)</t>
  </si>
  <si>
    <t>1.1. Nodokļu ieņēmumi</t>
  </si>
  <si>
    <t>Tiešie nodokļi</t>
  </si>
  <si>
    <t xml:space="preserve">   Uzņēmumu ienākuma nodoklis</t>
  </si>
  <si>
    <t>Netiešie nodokļi</t>
  </si>
  <si>
    <t xml:space="preserve">   Pievienotās vērtības nodoklis</t>
  </si>
  <si>
    <t xml:space="preserve">   Akcīzes nodoklis</t>
  </si>
  <si>
    <t xml:space="preserve">   Muitas nodoklis</t>
  </si>
  <si>
    <t>Citiem budžetiem sadalāmie nodokļi *</t>
  </si>
  <si>
    <t>1.2. Nenodokļu ieņēmumi</t>
  </si>
  <si>
    <t xml:space="preserve">   Maksājumi par valsts kapitāla izmantošanu</t>
  </si>
  <si>
    <t xml:space="preserve">   Procentu maksājumi par kredītiem</t>
  </si>
  <si>
    <t xml:space="preserve">   Procentu maksājumi par kredītiem un izsniegtajiem galvojumiem</t>
  </si>
  <si>
    <t xml:space="preserve">   Valsts nodevas par juridiskajiem un citiem pakalpojumiem</t>
  </si>
  <si>
    <t xml:space="preserve">   Valsts nodeva par licenču izsniegšanu atsevišķu uzņēmējdarbības veidu veikšanai</t>
  </si>
  <si>
    <t xml:space="preserve">   Ieņēmumi no valsts īpašuma iznomāšanas</t>
  </si>
  <si>
    <t>Pārējās valsts nodevas:</t>
  </si>
  <si>
    <t>tai skaitā:</t>
  </si>
  <si>
    <t xml:space="preserve">t.sk. bāku nodeva </t>
  </si>
  <si>
    <t xml:space="preserve"> Valsts nodeva par jūras navigācijas pakalpojumiem (bāku nodeva )</t>
  </si>
  <si>
    <t>izložu un azartspēlu nodeva</t>
  </si>
  <si>
    <t>izložu un azartspēļu valsts nodeva</t>
  </si>
  <si>
    <t>valsts nodeva par azartspēlu iekārtu marķēšanu</t>
  </si>
  <si>
    <t>valsts nodeva par azartspēļu iekārtu marķēšanu</t>
  </si>
  <si>
    <t>citas  valsts nodevas</t>
  </si>
  <si>
    <t>citas pārējās nodevas</t>
  </si>
  <si>
    <t xml:space="preserve">   Sodi un sankcijas</t>
  </si>
  <si>
    <t xml:space="preserve">   Pārējie nenodokļu ieņēmumi **</t>
  </si>
  <si>
    <t xml:space="preserve">   Pārējie nenodokļu ieņēmumi, . **</t>
  </si>
  <si>
    <t xml:space="preserve">  pārskaitījums valsts pamatbudžetā sociālās apdrošināšanas iemaksu administrēšanai</t>
  </si>
  <si>
    <t xml:space="preserve"> pārskaitījums valsts pamatbudžetā sociālās apdrošināšanas iemaksu administrēšanai </t>
  </si>
  <si>
    <t>VAS "Latvijas meži" fiksētais maksājums</t>
  </si>
  <si>
    <t>Iemaksas no Dzelzceļa infrastruktūras fonda</t>
  </si>
  <si>
    <t>SVF Post - 2 konta depozīts</t>
  </si>
  <si>
    <t xml:space="preserve">   pārējie nenodokļu ieņēmumi</t>
  </si>
  <si>
    <t>1.3.Pašu ieņēmumi</t>
  </si>
  <si>
    <t xml:space="preserve">   Budžeta iestāžu ieņēmumi no maksas pakalpojumiem</t>
  </si>
  <si>
    <t>1.4. Ārvalstu finansu palīdzība</t>
  </si>
  <si>
    <t xml:space="preserve">1.4. Ārvalstu finansu palīdzība </t>
  </si>
  <si>
    <t>t.sk. avansa maksājumi</t>
  </si>
  <si>
    <t>* - ieskaitot nodokli no īpašuma - 759005.52 latu</t>
  </si>
  <si>
    <t>** - ieskaitot procentus par valsts depozītu - 2233327.65  latu</t>
  </si>
  <si>
    <t>* - ieskaitot nodokli no īpašuma - 497 tūkst. latu</t>
  </si>
  <si>
    <t>** - ieskaitot procentus par valsts depozītu - 3 500 tūkst. latu</t>
  </si>
  <si>
    <t xml:space="preserve"> </t>
  </si>
  <si>
    <t xml:space="preserve">Valsts kases pārvaldnieks_________________________________ A.Veiss </t>
  </si>
  <si>
    <t>Valsts kases pārvaldnieks________________________________________(A.Veiss)</t>
  </si>
  <si>
    <t>2000.gada 15. decembris</t>
  </si>
  <si>
    <t>3.tabula</t>
  </si>
  <si>
    <t>Valsts pamatbudżeta izdevumi pa ministrijām un pasākumiem</t>
  </si>
  <si>
    <t xml:space="preserve">     Valsts pamatbudżeta izdevumi pa ministrijām un pasākumiem</t>
  </si>
  <si>
    <t>(2000.gada janvāris-novembris)</t>
  </si>
  <si>
    <t>kopā ar ārvalstu  finansu palīdzību</t>
  </si>
  <si>
    <t>Izpilde % pret finansēšanas plānu pārskata periodam 
  (4/3)</t>
  </si>
  <si>
    <t>mēneša izpilde</t>
  </si>
  <si>
    <t>Uzturizd</t>
  </si>
  <si>
    <t>izdkap</t>
  </si>
  <si>
    <t>oktobris</t>
  </si>
  <si>
    <t xml:space="preserve">   Izdevumi - kopā </t>
  </si>
  <si>
    <t>Valsts Prezidenta kanceleja</t>
  </si>
  <si>
    <t>Valsts prezidenta kanceleja</t>
  </si>
  <si>
    <t>`</t>
  </si>
  <si>
    <t>Aizsardzības ministrija</t>
  </si>
  <si>
    <t>Tieslietu ministrija</t>
  </si>
  <si>
    <t>Vides aizsardzības un reģionālās attīstības ministrija</t>
  </si>
  <si>
    <t>Kultūras ministrija</t>
  </si>
  <si>
    <t>Valsts zemes dienests</t>
  </si>
  <si>
    <t>Valsts kontrole</t>
  </si>
  <si>
    <t>Augstākā tiesa</t>
  </si>
  <si>
    <t>Satversmes tiesa</t>
  </si>
  <si>
    <t>Prokuratūra</t>
  </si>
  <si>
    <t>Centrālā vēlēšanu komisija</t>
  </si>
  <si>
    <t>Centrālā zemes komisija</t>
  </si>
  <si>
    <t>Satversmes aizsardzības birojs</t>
  </si>
  <si>
    <t>Radio un televīzija</t>
  </si>
  <si>
    <t>Valsts cilvēktiesību birojs</t>
  </si>
  <si>
    <t>Īpašu uzdevumu ministra valsts pārvaldes  un  pašvaldību  reformu lietās  sekretariāts</t>
  </si>
  <si>
    <t>Mērķdotācijas pašvaldībām</t>
  </si>
  <si>
    <t>Dotācija pašvaldībām</t>
  </si>
  <si>
    <t>Valsts kases pārvaldnieks ________________________________________ (A.Veiss)</t>
  </si>
  <si>
    <t xml:space="preserve">        (paraksts)</t>
  </si>
  <si>
    <t xml:space="preserve">Valsts kases pārvaldnieks ._________________________________ A.Veiss </t>
  </si>
  <si>
    <t>2000. gada 15.augusts</t>
  </si>
  <si>
    <t>2000. gada 15.decembris</t>
  </si>
  <si>
    <t xml:space="preserve">           Valsts kases oficiālais mēneša pārskats</t>
  </si>
  <si>
    <t>4.tabula</t>
  </si>
  <si>
    <t xml:space="preserve">Valsts pamatbudžeta ieņēmumu un izdevumu atšifrējums </t>
  </si>
  <si>
    <t>pēc ekonomiskās klasifikācijas</t>
  </si>
  <si>
    <t>(2000.gada janvāris - novembris )</t>
  </si>
  <si>
    <t>Finansēšanas plāns pārskata periodam</t>
  </si>
  <si>
    <t>Izpilde % pret gada plānu      (4/2)</t>
  </si>
  <si>
    <t>Izpilde % pret finansēšanas plānu pārskata periodam       (4/3)</t>
  </si>
  <si>
    <t>Novembra  izpilde</t>
  </si>
  <si>
    <t>Izpilde % pret finansēša-nas plānu pārskata periodam       (4/3)</t>
  </si>
  <si>
    <t>1. Ieņēmumi - kopā</t>
  </si>
  <si>
    <t xml:space="preserve">Resursi izdevumu segšanai </t>
  </si>
  <si>
    <t xml:space="preserve">   Dotācija no vispārējiem ieņēmumiem</t>
  </si>
  <si>
    <t xml:space="preserve">   Dotācija īpašiem mērķiem</t>
  </si>
  <si>
    <t xml:space="preserve">   Maksas pakalpojumi un citi pašu ieņēmumi</t>
  </si>
  <si>
    <t xml:space="preserve">Ārvalstu finansu palīdzība </t>
  </si>
  <si>
    <t xml:space="preserve"> Ārvalstu finansu palīdzība </t>
  </si>
  <si>
    <t>2. Izdevumi - kopā (2.1.+2.2.)</t>
  </si>
  <si>
    <t>2.1. Uzturēšanas izdevumi</t>
  </si>
  <si>
    <t>Kārtējie izdevumi</t>
  </si>
  <si>
    <t xml:space="preserve">    atalgojumi</t>
  </si>
  <si>
    <t xml:space="preserve">   valsts sociālās apdrošināšanas obligātās iemaksas</t>
  </si>
  <si>
    <t xml:space="preserve">    pārējie kārtējie izdevumi</t>
  </si>
  <si>
    <t>t.sk. aizņēmumu atmaksa</t>
  </si>
  <si>
    <t>Maksājumi par aizņēmumiem un kredītiem</t>
  </si>
  <si>
    <t xml:space="preserve">   procentu nomaksa par iekšējiem aizņēmumiem</t>
  </si>
  <si>
    <t xml:space="preserve">    procentu nomaksa ārvalstu institūcijām</t>
  </si>
  <si>
    <t xml:space="preserve">   Finansu ministrijas maksājumi par valsts parāda apkalpošanu</t>
  </si>
  <si>
    <t xml:space="preserve">   Finansu ministrijas maksājumi par valsts     parāda apkalpošanu</t>
  </si>
  <si>
    <t>Subsīdijas un dotācijas</t>
  </si>
  <si>
    <t xml:space="preserve">    subsīdijas</t>
  </si>
  <si>
    <t xml:space="preserve">    mērķdotācijas pašvaldību budžetiem</t>
  </si>
  <si>
    <t xml:space="preserve">    dotācijas pašvaldību budžetiem</t>
  </si>
  <si>
    <t xml:space="preserve">    dotācijas iestādēm un organizācijām</t>
  </si>
  <si>
    <t xml:space="preserve">        t.sk.        speciālajam budžetam*</t>
  </si>
  <si>
    <t xml:space="preserve">                 t.sk.speciālajam budžetam*</t>
  </si>
  <si>
    <t xml:space="preserve"> pārējiem</t>
  </si>
  <si>
    <t xml:space="preserve">           pārējiem</t>
  </si>
  <si>
    <t xml:space="preserve">     dotācijas iedzīvotājiem</t>
  </si>
  <si>
    <t xml:space="preserve">              t.sk.          pensijas </t>
  </si>
  <si>
    <t xml:space="preserve">                 t.sk.        pensijas </t>
  </si>
  <si>
    <t xml:space="preserve"> pabalsti</t>
  </si>
  <si>
    <t xml:space="preserve">         pabalsti</t>
  </si>
  <si>
    <t xml:space="preserve">    stipendijas</t>
  </si>
  <si>
    <t xml:space="preserve">            stipendijas</t>
  </si>
  <si>
    <t xml:space="preserve"> pārējie</t>
  </si>
  <si>
    <t xml:space="preserve">      pārējie</t>
  </si>
  <si>
    <t xml:space="preserve">   iemaksas starptautiskajās organizācijās</t>
  </si>
  <si>
    <t>2.2.Izdevumi kapitālieguldījumiem</t>
  </si>
  <si>
    <t>Kapitālie izdevumi kopā</t>
  </si>
  <si>
    <t>Kapitālie izdevumi</t>
  </si>
  <si>
    <t>Investīcijas kopā</t>
  </si>
  <si>
    <t>Investīcijas</t>
  </si>
  <si>
    <t>t.sk. speciālajam budžetam</t>
  </si>
  <si>
    <t>t.sk. pašvaldību budžetam</t>
  </si>
  <si>
    <t>3. Valsts budžeta tīrie aizdevumi (3.1.-3.2.)</t>
  </si>
  <si>
    <t>3.1.Valsts budžeta aizdevumi</t>
  </si>
  <si>
    <t>t.sk.speciālajam budžetam</t>
  </si>
  <si>
    <t>3.2.Valsts budžeta aizdevumu atmaksas</t>
  </si>
  <si>
    <t>t.sk. no speciālā budžeta</t>
  </si>
  <si>
    <t>t.sk. no speciālā budžeta*</t>
  </si>
  <si>
    <t xml:space="preserve">Fiskālā bilance </t>
  </si>
  <si>
    <t>Finansēšana</t>
  </si>
  <si>
    <t>ieņēmumi no valsts īpašuma privatizācijas</t>
  </si>
  <si>
    <t xml:space="preserve">ieņēmumi no valsts īpašuma pārdošanas </t>
  </si>
  <si>
    <t xml:space="preserve">citi finansēšanas avoti </t>
  </si>
  <si>
    <t>t.sk. Satiksmes ministrijas aizdevumu atmaksa no pamatbudžeta - 586 tūkst. latu</t>
  </si>
  <si>
    <t>Valsts kases pārvaldnieks _______________________________________ (A.Veiss)</t>
  </si>
  <si>
    <t>Valsts kases pārvaldnieks _______________________________________ A.Veiss</t>
  </si>
  <si>
    <t>2000.gada 15.septembrī</t>
  </si>
  <si>
    <t>5.tabula</t>
  </si>
  <si>
    <t xml:space="preserve">             Valsts kases oficiālais mēneša pārskats</t>
  </si>
  <si>
    <t xml:space="preserve">Valsts speciālā budžeta ieņēmumi un izdevumi pa ministrijām </t>
  </si>
  <si>
    <t>(2000.gada  janvāris -novembris)</t>
  </si>
  <si>
    <t>latos</t>
  </si>
  <si>
    <t xml:space="preserve"> (tūkst.latu)</t>
  </si>
  <si>
    <t>Izpilde % pret gada plānu 
   (4/2)</t>
  </si>
  <si>
    <t>Finansēšanas plāns</t>
  </si>
  <si>
    <t xml:space="preserve">Ieņēmumi - kopā  </t>
  </si>
  <si>
    <t>Izdevumi - kopā</t>
  </si>
  <si>
    <t xml:space="preserve">        Uzturēšanas izdevumi </t>
  </si>
  <si>
    <t xml:space="preserve">        Uzturēšanas izdevumi  </t>
  </si>
  <si>
    <t xml:space="preserve">        t.sk. aizņēmuma atmaksa pamatbudžetā</t>
  </si>
  <si>
    <t xml:space="preserve">        Izdevumi kapitālieguldījumiem</t>
  </si>
  <si>
    <t>Valsts budžeta aizdevumi</t>
  </si>
  <si>
    <t>Valsts budžeta aizdevumu atmaksas</t>
  </si>
  <si>
    <t>Fiskālā bilance</t>
  </si>
  <si>
    <t xml:space="preserve">Aizņēmums no pamatbudžeta sakaņā ar likumu </t>
  </si>
  <si>
    <t>Aizņēmums no pamatbudžeta saskaņā ar FM rīkojumu (neto)</t>
  </si>
  <si>
    <t>Centrālā dzīvojamo māju privatizācijas komisija</t>
  </si>
  <si>
    <t>Ieņēmumi</t>
  </si>
  <si>
    <t xml:space="preserve">       Atskaitījumi no valsts īpašuma privatizācijas</t>
  </si>
  <si>
    <t>Izdevumi</t>
  </si>
  <si>
    <t xml:space="preserve">        Uzturēšanas izdevumi</t>
  </si>
  <si>
    <t>Transportlīdzekļu īpašnieku civiltiesiskās atbildības obligātās apdrošināšanas sistēma</t>
  </si>
  <si>
    <t xml:space="preserve">    Atskaitījumi no apdrošināšanas prēmijām</t>
  </si>
  <si>
    <t xml:space="preserve">    Pārējie maksājumi</t>
  </si>
  <si>
    <t>Noguldījumu garantiju fonda veidošana, pārvaldīšana un izlietošana</t>
  </si>
  <si>
    <t xml:space="preserve">   Atskaitījumi no bankām</t>
  </si>
  <si>
    <t xml:space="preserve">   Atskaitījumi no komercbankām</t>
  </si>
  <si>
    <t xml:space="preserve">   Uzturēšanas izdevumi</t>
  </si>
  <si>
    <t>Apdrošināto aizsardzības fonds</t>
  </si>
  <si>
    <t>Augstas klases sasniegumu sports</t>
  </si>
  <si>
    <t xml:space="preserve">    Valsts pamatbudžeta dotācija</t>
  </si>
  <si>
    <t xml:space="preserve">    Uzturēšanas izdevumi</t>
  </si>
  <si>
    <t xml:space="preserve">               t.sk. aizņēmumu atmaksa pamatbudžetā</t>
  </si>
  <si>
    <t xml:space="preserve">    Izdevumi kapitālieguldījumiem</t>
  </si>
  <si>
    <t xml:space="preserve"> Studējošo un studiju kreditēšana</t>
  </si>
  <si>
    <t>Aizņēmums no pamatbudžeta</t>
  </si>
  <si>
    <t xml:space="preserve"> Zivju fonds</t>
  </si>
  <si>
    <t xml:space="preserve">   Maksa par rūpnieciskās zvejas tiesību nomu un izmantošanu</t>
  </si>
  <si>
    <t xml:space="preserve">   Pārējie ieņēmumi</t>
  </si>
  <si>
    <t>Valsts autoceļu fonds</t>
  </si>
  <si>
    <t xml:space="preserve">    Transportlīdzekļu ikgadējā nodeva</t>
  </si>
  <si>
    <t xml:space="preserve">    50%  akcīzes nodoklis par naftas produktiem</t>
  </si>
  <si>
    <t xml:space="preserve">   Ārvalstu finansu palīdzība</t>
  </si>
  <si>
    <t xml:space="preserve">   Ārvalstu finansu palīdzība </t>
  </si>
  <si>
    <t xml:space="preserve">        Izdevumi kapitālieguldļjumiem</t>
  </si>
  <si>
    <t>Aizņēmums no pamatbudžeta saskaņā ar FM rīkojumu</t>
  </si>
  <si>
    <t>Ostu attīstības fonds</t>
  </si>
  <si>
    <t>Atskaitījumi no ostas maksām</t>
  </si>
  <si>
    <t xml:space="preserve">    Ostas un kuģošanas nodeva</t>
  </si>
  <si>
    <t>Lidostas "Rīga" infrastruktūras attīstībai</t>
  </si>
  <si>
    <t>Valsts speciālais veselības aprūpes budžets</t>
  </si>
  <si>
    <t xml:space="preserve">   Iedzīvotāju ienākuma nodoklis</t>
  </si>
  <si>
    <t xml:space="preserve">   Valsts pamatbudžeta dotācija</t>
  </si>
  <si>
    <t>Sociālā apdrošināšana</t>
  </si>
  <si>
    <t xml:space="preserve">           Sociālās apdrošināšanas iemaksas </t>
  </si>
  <si>
    <t xml:space="preserve">           Valsts pamatbudžeta dotācija</t>
  </si>
  <si>
    <t xml:space="preserve">          Citi īpašiem mērķiem iezīmēti ieņēmumi</t>
  </si>
  <si>
    <t xml:space="preserve">Izdevumi </t>
  </si>
  <si>
    <t>Izdevumi  *</t>
  </si>
  <si>
    <t xml:space="preserve">     Valsts pensiju speciālais budžets</t>
  </si>
  <si>
    <t xml:space="preserve">           Uzturēšanas izdevumi</t>
  </si>
  <si>
    <t xml:space="preserve">     Nodarbinātības speciālais budžets</t>
  </si>
  <si>
    <t xml:space="preserve">     Darba negadījumu speciālais budžets</t>
  </si>
  <si>
    <t xml:space="preserve">    Invaliditātes, maternitātes un slimības speciālais budžets </t>
  </si>
  <si>
    <t xml:space="preserve">    Valsts sociālās apdrošināšanas aģentūra</t>
  </si>
  <si>
    <t xml:space="preserve">           Izdevumi kapitālieguldījumiem</t>
  </si>
  <si>
    <t>Vides aizsardzības fonds</t>
  </si>
  <si>
    <t xml:space="preserve">    Dabas resursu nodoklis</t>
  </si>
  <si>
    <t xml:space="preserve">    Akcīzes nodoklis par kurināmajiem naftas produktiem</t>
  </si>
  <si>
    <t>Skrundas RLS zemes nomas maksas līdzekļi</t>
  </si>
  <si>
    <t>Kultūrkapitāla fonds</t>
  </si>
  <si>
    <t xml:space="preserve">   Ienākumi no akcīzes nodokļa par alkoholiskajiem dzērieniem</t>
  </si>
  <si>
    <t xml:space="preserve">   Ienākumi no akcīzes nodokļa par tabakas izstrādājumiem</t>
  </si>
  <si>
    <t>Īpašu uzdevumu ministra sadarbībai ar starptautiskajām finansu institūcijām sekretariāts</t>
  </si>
  <si>
    <t xml:space="preserve">   Ieņēmumi no finansu institūcijām sniegtajiem pakalpojumiem</t>
  </si>
  <si>
    <r>
      <t xml:space="preserve">* </t>
    </r>
    <r>
      <rPr>
        <i/>
        <sz val="10"/>
        <rFont val="Arial"/>
        <family val="2"/>
      </rPr>
      <t>konsolidēts par sociālās apdrošināšanas iekšējiem pārskaitījumiem     21 639 277 latu</t>
    </r>
  </si>
  <si>
    <t>* konsolidēts par sociālās apdrošināšanas iekšējiem pārskaitījumiem      27 133  tūkst.latu</t>
  </si>
  <si>
    <t>Valsts kases pārvaldnieks _______________________________________  A.Veiss</t>
  </si>
  <si>
    <t>Valsts kases pārvaldnieks _______________________________________  (A.Veiss)</t>
  </si>
  <si>
    <t>uzturēšanās izd. Bez transf un aizdev.</t>
  </si>
  <si>
    <t>Overdrafts</t>
  </si>
  <si>
    <t>Budžeta dotācija investīcijām</t>
  </si>
  <si>
    <t>PB kredīts</t>
  </si>
  <si>
    <t xml:space="preserve">                                  Valsts kases oficiālais mēneša pārskats</t>
  </si>
  <si>
    <t>6.tabula</t>
  </si>
  <si>
    <t xml:space="preserve">Valsts speciālā budžeta ieņēmumi un izdevumi </t>
  </si>
  <si>
    <t>(2000.gada janvāris -novembris)</t>
  </si>
  <si>
    <t>Izpilde % pret finansēšanas plānu pārskata periodam           (4/3)</t>
  </si>
  <si>
    <t>1.Ieņēmumi - kopā</t>
  </si>
  <si>
    <t>Īpašiem mērķiem iezīmēti ieņēmumi</t>
  </si>
  <si>
    <t>Maksas pakalpojumi un citi pašu ieņēmumi</t>
  </si>
  <si>
    <t>2.1.Uzturēšanas izdevumi</t>
  </si>
  <si>
    <t xml:space="preserve">     aizņēmumu atmaksa</t>
  </si>
  <si>
    <t xml:space="preserve">    procentu nomaksa par iekšējiem aizņēmumiem</t>
  </si>
  <si>
    <t xml:space="preserve">    procentu nomaksa par ārvalstu aizņēmumiem</t>
  </si>
  <si>
    <t xml:space="preserve">   mērķdotācijas pašvaldību budžetiem</t>
  </si>
  <si>
    <t xml:space="preserve">    t.sk. pensijas</t>
  </si>
  <si>
    <t xml:space="preserve">           pabalsti</t>
  </si>
  <si>
    <t xml:space="preserve">          stipendijas</t>
  </si>
  <si>
    <t xml:space="preserve">          pārējie</t>
  </si>
  <si>
    <t xml:space="preserve">    iemaksas starptautiskajās organizācijās</t>
  </si>
  <si>
    <t xml:space="preserve">    dotācija valsts pamatbudžetam sociālās      apdrošināšanas iemaksu administrēšanai</t>
  </si>
  <si>
    <t>3.Valsts budžeta tīrie aizdevumi (3.1.-3.2.)</t>
  </si>
  <si>
    <t>Fiskālā bilance (1.-2.-3.)</t>
  </si>
  <si>
    <t>Aizņēmums no pamatbudžeta                             ( neto)</t>
  </si>
  <si>
    <t>Valsts speciālā budžeta naudas līdzekļu atlikumu izmaiņas palielinājums (-) vai samazinājums (+)</t>
  </si>
  <si>
    <t>Valsts speciālā budžeta ieņēmumi un izdevumi</t>
  </si>
  <si>
    <t>lati</t>
  </si>
  <si>
    <t xml:space="preserve">    dotācijas iedzīvotājiem</t>
  </si>
  <si>
    <t>Aizņēmums no pamatbudžeta(neto)</t>
  </si>
  <si>
    <t xml:space="preserve">     Valsts kases oficiālais mēneša pārskats</t>
  </si>
  <si>
    <t>7.tabula</t>
  </si>
  <si>
    <t xml:space="preserve">                                              Valsts kases oficiālais mēneša pārskats</t>
  </si>
  <si>
    <t>Valsts speciālā budžeta (dāvinājumi un ziedojumi) ieņēmumi un izdevumi</t>
  </si>
  <si>
    <t xml:space="preserve">                                              (2000.gada janvāris -novembris)</t>
  </si>
  <si>
    <t>Izpilde % pret finansēšanas plānu  (3/2)</t>
  </si>
  <si>
    <t>Izpilde no gada sākuma *</t>
  </si>
  <si>
    <t>Novembra izpilde *</t>
  </si>
  <si>
    <t>1.Saņemtie dāvinājumi un ziedojumi - kopā</t>
  </si>
  <si>
    <t xml:space="preserve">   no iekšzemes juridiskajām un fiziskajām personām</t>
  </si>
  <si>
    <t xml:space="preserve">   no ārvalstu juridiskajām un fiziskajām       personām  *</t>
  </si>
  <si>
    <t xml:space="preserve">   no ārvalstu juridiskajām un fiziskajām personām  </t>
  </si>
  <si>
    <t>2.Izdevumi - kopā (2.1.+2.2.) **</t>
  </si>
  <si>
    <t xml:space="preserve">2.Izdevumi - kopā (2.1.+2.2.) </t>
  </si>
  <si>
    <t xml:space="preserve">    valsts sociālās apdrošināšanas obligātās iemaksas</t>
  </si>
  <si>
    <t xml:space="preserve">      preču un pakalpojumu izdevumi</t>
  </si>
  <si>
    <t xml:space="preserve">     t.sk. preču un pakalpojumu izdevumi  </t>
  </si>
  <si>
    <t xml:space="preserve">          pārējie izdevumi</t>
  </si>
  <si>
    <t xml:space="preserve">            pārējie izdevumi</t>
  </si>
  <si>
    <t xml:space="preserve">     procentu nomaksa par iekšējiem aizņēmumiem</t>
  </si>
  <si>
    <t xml:space="preserve">     procentu nomaksa par ārvalstu aizņēmumiem</t>
  </si>
  <si>
    <t xml:space="preserve">   32 mērķdotācijas pašvaldību budžetiem</t>
  </si>
  <si>
    <t xml:space="preserve">   33 dotācijas pašvaldību budžetiem</t>
  </si>
  <si>
    <t xml:space="preserve">   34 dotācijas iestādēm un organizācijām</t>
  </si>
  <si>
    <t xml:space="preserve">     dotācijas iestādēm un organizācijām</t>
  </si>
  <si>
    <t xml:space="preserve">   35 dotācijas iedzīvotājiem</t>
  </si>
  <si>
    <t>2.2.Izdevumi  kapitālieguldījumiem</t>
  </si>
  <si>
    <t xml:space="preserve">Kapitālie izdevumi  </t>
  </si>
  <si>
    <t>Fiskālā bilance (1.-2.)</t>
  </si>
  <si>
    <t>Naudas līdzekļu atlikumu izmaiņas palielinājums (-) vai samazinājums (+)</t>
  </si>
  <si>
    <t xml:space="preserve">* t.sk . budžetā neiekļautā  ārvalstu finansu palīdzība   </t>
  </si>
  <si>
    <t xml:space="preserve">* atbilstoši grozījumiem likumā "Par valsts budžetu 2000.gadam"- precizēta ārvalstu finansu palīdzība </t>
  </si>
  <si>
    <t xml:space="preserve">** t.sk.  budžetā neiekļautā ārvalstu finansu palīdzība </t>
  </si>
  <si>
    <t xml:space="preserve">                                               Valsts kases oficiālais mēneša pārskats</t>
  </si>
  <si>
    <t>8.tabula</t>
  </si>
  <si>
    <t xml:space="preserve">                         Valsts kases oficiālais mēneša pārskats</t>
  </si>
  <si>
    <t xml:space="preserve">                 Valsts pamatbudžeta izdevumi pēc valdības funkcijām</t>
  </si>
  <si>
    <t xml:space="preserve">                       ( 2000.gada janvāris - novembris)</t>
  </si>
  <si>
    <t>(latu)</t>
  </si>
  <si>
    <t>Valdības funkcijas kods</t>
  </si>
  <si>
    <t>Izpilde % pret gada plānu          (3/2)</t>
  </si>
  <si>
    <t>Vispārējie valdības dienesti</t>
  </si>
  <si>
    <t>Aizsardzība</t>
  </si>
  <si>
    <t>Sabiedriskā kārtība un drošība, tiesību aizsardzība</t>
  </si>
  <si>
    <t>Izglītība</t>
  </si>
  <si>
    <t>Veselības aprūpe</t>
  </si>
  <si>
    <t>Sociālā apdrošināšana un sociālā nodrošināšana</t>
  </si>
  <si>
    <t>Dzīvokļu un komunālā saimniecība, vides aizsardzība</t>
  </si>
  <si>
    <t xml:space="preserve">Brīvais laiks, sports,kultūra un reliģija </t>
  </si>
  <si>
    <t>Kurināmā un enerģētikas dienesti un pasākumi</t>
  </si>
  <si>
    <t xml:space="preserve">Lauksaimniecība (zemkopība), mežkopība un zvejniecība </t>
  </si>
  <si>
    <t>Iegūstošā rūpniecība, rūpniecība, celtniecība, derīgie izrakteņi</t>
  </si>
  <si>
    <t>Transports, sakari</t>
  </si>
  <si>
    <t>Pārējā ekonomiskā darbība un dienesti</t>
  </si>
  <si>
    <t>Pārējie izdevumi, kas nav atspoguļoti pamatgrupās *</t>
  </si>
  <si>
    <t>Pārējie izdevumi, kas nav atspoguļoti pamatgrupās  *</t>
  </si>
  <si>
    <t>* ieskaitot aizdevumus un atmaksas</t>
  </si>
  <si>
    <t>Valsts kases pārvaldnieks__________________________________</t>
  </si>
  <si>
    <t>A.Veiss</t>
  </si>
  <si>
    <t>Valsts kases pārvaldnieks _________________________________ A.Veiss</t>
  </si>
  <si>
    <t>Valsts kase /Pārskatu departaments</t>
  </si>
  <si>
    <t xml:space="preserve">                                                                 Valsts kases oficiālais mēneša pārskats</t>
  </si>
  <si>
    <t>9.tabula</t>
  </si>
  <si>
    <t xml:space="preserve">                                                      Valsts kases oficiālais mēneša pārskats</t>
  </si>
  <si>
    <t xml:space="preserve">                                                 Valsts speciālā budžeta izdevumi pēc valdības funkcijām</t>
  </si>
  <si>
    <t xml:space="preserve"> Valsts speciālā budžeta izdevumi pēc valdības funkcijām</t>
  </si>
  <si>
    <t xml:space="preserve">                                                       (2000.gada janvāris - novembris</t>
  </si>
  <si>
    <t>Izdevumi no ziedojumiem un dāvinājumiem</t>
  </si>
  <si>
    <t>Izglītība       *</t>
  </si>
  <si>
    <t>Izglītība   *</t>
  </si>
  <si>
    <t xml:space="preserve">Pārējie izdevumi, kas nav atspoguļoti pamatgrupās </t>
  </si>
  <si>
    <t>* -  ieskaitot  tīros  aizdevumus</t>
  </si>
  <si>
    <t>Valsts kases pārvaldnieks_________________________________</t>
  </si>
  <si>
    <t>Valsts kases pārvaldnieks __________________________________________________</t>
  </si>
  <si>
    <t>11. tabula</t>
  </si>
  <si>
    <t xml:space="preserve">Pašvaldību konsolidētā budžeta izpilde </t>
  </si>
  <si>
    <t xml:space="preserve">   ( 2000. gada  janvāris - novembris )</t>
  </si>
  <si>
    <t>Gada plāns</t>
  </si>
  <si>
    <t>A.1. Kopējie ieņēmumi (B.1.+ C.1)</t>
  </si>
  <si>
    <t xml:space="preserve">     Pašvaldību pamatbudžeta ieņēmumi (bruto)</t>
  </si>
  <si>
    <t xml:space="preserve">          Nodokļu ieņēmumi</t>
  </si>
  <si>
    <t xml:space="preserve">          Nenodokļu ieņēmumi</t>
  </si>
  <si>
    <t xml:space="preserve">          Maksas pakalpojumi un citi pašu ieņēmumi</t>
  </si>
  <si>
    <t xml:space="preserve">          Saņemtie maksājumi</t>
  </si>
  <si>
    <t xml:space="preserve">                                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</si>
  <si>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</si>
  <si>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</si>
  <si>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 xml:space="preserve">     Pašvaldību speciālā budžeta ieņēmumi (bruto)</t>
  </si>
  <si>
    <t xml:space="preserve">               Ieņēmumi no īpašiem mērķiem iezīmētu  līdzekļu  avotiem</t>
  </si>
  <si>
    <t xml:space="preserve">               Ieņēmumi no ziedojumiem un dāvinājumiem</t>
  </si>
  <si>
    <t>C.1. Pašvaldību speciālā budžeta ieņēmumi (neto)</t>
  </si>
  <si>
    <t>A.2. Kopējie pašvaldību budžeta izdevumi (A.2.1.+ A.2.2. + A.2.3.)</t>
  </si>
  <si>
    <t>A.2.1. Kopējie pašvaldību uzturēšanas izdevumi (B.2.1.+ C.2.1.)</t>
  </si>
  <si>
    <t>A.2.2.Kopējie pašvaldību kapitālie izdevumi (B.2.2.+ C.2.2.)</t>
  </si>
  <si>
    <t>A.2.3.Kopējie pašvaldību izdevumi investīcijām (B.2.3.+ C.2.3.)</t>
  </si>
  <si>
    <t>A.3.Pašvaldību budžeta finansālais deficīts (-), pārpalikums (+), (A.1.-A.2.)</t>
  </si>
  <si>
    <t>A.4. Kopējie pašvaldību budžeta tīrie aizdevumi (B.4.+ C.4.)</t>
  </si>
  <si>
    <t>Kopējie pašvaldību budžeta izdevumi, ieskaitot tīros aizdevumus (A.2.+ A.4.)</t>
  </si>
  <si>
    <t>A.5.Pašvaldību budžeta fiskālais deficīts (-), pārpalikums (+),        (A.3.-A.4.)</t>
  </si>
  <si>
    <t xml:space="preserve">  Pašvaldību pamatbudžeta  izdevumi (bruto)</t>
  </si>
  <si>
    <t xml:space="preserve">                                mīnus  savstarpējo norēķinu kārtībā veiktie maksājumi</t>
  </si>
  <si>
    <t>B.2. Pašvaldību pamatbudžeta  izdevumi (neto)</t>
  </si>
  <si>
    <t xml:space="preserve">     Pašvaldību pamatbudžeta uzturēšanas izdevumi (bruto)</t>
  </si>
  <si>
    <t xml:space="preserve"> B.2.1.Pašvaldību pamatbudžeta  uzturēšanas izdevumi (neto)</t>
  </si>
  <si>
    <t xml:space="preserve"> B.2.2.Pašvaldību pamatbudžeta  kapitālie izdevumi </t>
  </si>
  <si>
    <t xml:space="preserve"> B.2.3.Pašvaldību pamatbudžeta  investīcijas </t>
  </si>
  <si>
    <t>B.3.Pašvaldību pamatbudžeta finansiālais deficīts (-), pārpalikums (+), (B.1.-B.2.)</t>
  </si>
  <si>
    <t xml:space="preserve">B.4.Pašvaldību pamatbudžeta  tīrie aizdevumi (neto) </t>
  </si>
  <si>
    <t xml:space="preserve">     Pašvaldību pamatbudžeta aizdevumi (neto)</t>
  </si>
  <si>
    <t xml:space="preserve">     Pašvaldību pamatbudžeta aizdevumu atmaksas (neto) </t>
  </si>
  <si>
    <t>B.5.Pašvaldību pamatbudžeta fiskālais deficīts (-), pārpalikums (+), (B.3.-B.4.)</t>
  </si>
  <si>
    <t xml:space="preserve">C.2. Pašvaldību speciālā budžeta  izdevumi </t>
  </si>
  <si>
    <t xml:space="preserve">C.2.1.Pašvaldību speciālā budžeta uzturēšanas izdevumi </t>
  </si>
  <si>
    <t xml:space="preserve">C.2.2.Pašvaldību speciālā budžeta  kapitālie izdevumi </t>
  </si>
  <si>
    <t xml:space="preserve">C.2.3.Pašvaldību speciālā budžeta  investīcijas </t>
  </si>
  <si>
    <t>C.3.Pašvaldību speciālā budžeta finansiālais deficīts (-), pārpalikums (+), (C.1.- C.2.)</t>
  </si>
  <si>
    <t>C.4.Pašvaldību speciālā budžeta  tīrie aizdevumi (neto)</t>
  </si>
  <si>
    <t xml:space="preserve">     Pašvaldību speciālā budžeta aizdevumi (neto)</t>
  </si>
  <si>
    <t xml:space="preserve">     Pašvaldību speciālā budžeta aizdevumu atmaksas (neto)</t>
  </si>
  <si>
    <t>C.5.Pašvaldību speciālā budžeta fiskālais deficīts (-), pārpalikums (+), (C.3. - C.4.)</t>
  </si>
  <si>
    <t xml:space="preserve"> Valsts kases pārvaldnieks                                                           __________________________ </t>
  </si>
  <si>
    <t>A. Veiss</t>
  </si>
  <si>
    <t xml:space="preserve">Valsts kase / Pārskatu departaments </t>
  </si>
  <si>
    <t>15.12.00.</t>
  </si>
  <si>
    <t xml:space="preserve">                                       Valsts kases oficiālais mēneša pārskats</t>
  </si>
  <si>
    <t>12. tabula</t>
  </si>
  <si>
    <t xml:space="preserve">      9.tabula</t>
  </si>
  <si>
    <t>Pašvaldību pamatbudžeta ieņēmumi</t>
  </si>
  <si>
    <t xml:space="preserve">( 2000. gada  janvāris - novembris ) </t>
  </si>
  <si>
    <t>Izpilde % pret gada plānu (3/2)</t>
  </si>
  <si>
    <t>1</t>
  </si>
  <si>
    <t>5</t>
  </si>
  <si>
    <t>1. Ieņēmumi  kopā (1.1. + 1.2.)</t>
  </si>
  <si>
    <t>1.1. Nodokļu un nenodokļu ieņēmumi (1.1.1.+1.1.2.+1.1.3.)</t>
  </si>
  <si>
    <t xml:space="preserve">1.1.1. Nodokļu ieņēmumi </t>
  </si>
  <si>
    <t xml:space="preserve">  Iedzīvotāju ienākuma nodoklis* </t>
  </si>
  <si>
    <t xml:space="preserve">  Nekustamā īpašuma nodoklis</t>
  </si>
  <si>
    <t xml:space="preserve">  Īpašuma nodokļa maksājumi</t>
  </si>
  <si>
    <t xml:space="preserve">  Zemes nodokļa parādu maksājumi</t>
  </si>
  <si>
    <t xml:space="preserve">  Iekšējie nodokļi par pakalpojumiem un precēm</t>
  </si>
  <si>
    <t>1.1.2. Nenodokļu ieņēmumi</t>
  </si>
  <si>
    <t xml:space="preserve">  Ieņēmumi no uzņēmējdarbības un īpašuma</t>
  </si>
  <si>
    <t xml:space="preserve">  Valsts (pašvaldību) nodevas un maksājumi</t>
  </si>
  <si>
    <t xml:space="preserve">  Sodi un sankcijas</t>
  </si>
  <si>
    <t xml:space="preserve">  Pārējie nenodokļu ieņēmumi</t>
  </si>
  <si>
    <t xml:space="preserve">  Ieņēmumi no valsts (pašvaldības) nekustamā  īpašuma pārdošanas</t>
  </si>
  <si>
    <t xml:space="preserve">  Ieņēmumi no zemes īpašuma pārdošanas</t>
  </si>
  <si>
    <t>1.1.3. Maksājumi par budžeta iestāžu sniegtajiem maksas pakalpojumiem un citi pašu ieņēmumi</t>
  </si>
  <si>
    <t>1.2. Saņemtie maksājumi</t>
  </si>
  <si>
    <t>Norēķini ar pašvaldību budžetiem</t>
  </si>
  <si>
    <t>Norēķini ar citām  pašvaldībām  par izglītības iestāžu sniegtajiem pakalpojumiem</t>
  </si>
  <si>
    <t>Norēķini ar citām pašvaldībām par sociālās palīdzības iestāžu sniegtajiem pakalpojumiem</t>
  </si>
  <si>
    <t>Pārējie norēķini</t>
  </si>
  <si>
    <t>Maksājumi no valsts budžeta</t>
  </si>
  <si>
    <t>Dotācijas</t>
  </si>
  <si>
    <t>Dotācijas no IM valsts ģimnāzijām</t>
  </si>
  <si>
    <t>Mērķdotācijas</t>
  </si>
  <si>
    <t>Valsts budžeta dotācija iedzīvotāju ienākuma nodokļa ieņēmumu prognozes neizpildes kompensācijai</t>
  </si>
  <si>
    <t>Maksājumi no pašvaldību  finansu izlīdzināšanas fonda pašvaldību budžetiem</t>
  </si>
  <si>
    <t>Iepriekšējā gada nesaņemtā dotācija</t>
  </si>
  <si>
    <t>Pārējie maksājumi no pašvaldību finansu izlīdzināšanas fonda pašvaldību budžetiem</t>
  </si>
  <si>
    <t>Maksājumi no citiem budžetiem</t>
  </si>
  <si>
    <t>* nesadalītais atlikums  505  tūkst.latu</t>
  </si>
  <si>
    <t>Valsts kases pārvaldnieks</t>
  </si>
  <si>
    <t xml:space="preserve">                                           Valsts kases oficiālais mēneša pārskats</t>
  </si>
  <si>
    <t>13. tabula</t>
  </si>
  <si>
    <t xml:space="preserve">Pašvaldību pamatbudžeta izdevumi </t>
  </si>
  <si>
    <t>( 2000. gada  janvāris - novembris )</t>
  </si>
  <si>
    <t xml:space="preserve">                               (tūkst.latu)</t>
  </si>
  <si>
    <t>2</t>
  </si>
  <si>
    <t>3</t>
  </si>
  <si>
    <t>4</t>
  </si>
  <si>
    <t>1. Izdevumi kopā (1.1. + 1.2.) *</t>
  </si>
  <si>
    <t>1.1. Izdevumi pēc valdības funkcijām</t>
  </si>
  <si>
    <t>Izpildvaras un likumdošanas varas institūcijas</t>
  </si>
  <si>
    <t>Brīvais laiks, sports, kultūra un reliģija</t>
  </si>
  <si>
    <t>Lauksaimniecība (zemkopība), mežkopība un zvejniecība</t>
  </si>
  <si>
    <t>Transports,sakari</t>
  </si>
  <si>
    <t xml:space="preserve">Pašvaldību iekšējā parāda procentu nomaksa </t>
  </si>
  <si>
    <t xml:space="preserve">Pašvaldību ārējo parādu procentu nomaksa </t>
  </si>
  <si>
    <t>Izdevumi neparedzētiem  gadījumiem</t>
  </si>
  <si>
    <t>Pārējie izdevumi, kas nav klasificēti citās pamatfunkcijās</t>
  </si>
  <si>
    <t>1.2. Norēķini</t>
  </si>
  <si>
    <t>Norēķini par citu pašvaldību izglītības iestāžu sniegtiem pakalpojumiem</t>
  </si>
  <si>
    <t>Norēķini par citu pašvaldību sociālās palīdzības iestāžu sniegtiem pakalpojumiem</t>
  </si>
  <si>
    <t>Maksājumi pašvaldību finansu izlīdzināšanas fondam</t>
  </si>
  <si>
    <t>Pašvaldību  pārskata gada maksājumi</t>
  </si>
  <si>
    <t>Pašvaldību iepriekšējā gada parādu maksājumi</t>
  </si>
  <si>
    <t>*   -   ieskaitot  tīros aizdevumus  - 193  tūkst.latu</t>
  </si>
  <si>
    <t xml:space="preserve">                     Valsts kases oficiālais mēneša pārskats</t>
  </si>
  <si>
    <t>14. tabula</t>
  </si>
  <si>
    <t>Pašvaldību pamatbudžeta izdevumu atšifrējums pēc ekonomiskās klasifikācijas</t>
  </si>
  <si>
    <t xml:space="preserve">                                                             (tūkst.latu)</t>
  </si>
  <si>
    <t>2.Izdevumi  kopā (2.1. +2.2.)</t>
  </si>
  <si>
    <t xml:space="preserve">  atalgojumi </t>
  </si>
  <si>
    <t xml:space="preserve">  valsts sociālāis apdrošināšanas obligātās iemaksas </t>
  </si>
  <si>
    <t>1300</t>
  </si>
  <si>
    <t>1400</t>
  </si>
  <si>
    <t>1500</t>
  </si>
  <si>
    <t>1600</t>
  </si>
  <si>
    <t xml:space="preserve">  pārējie kārtējie izdevumi</t>
  </si>
  <si>
    <t xml:space="preserve">                    t.sk. preču un pakalpojumu izdevumi</t>
  </si>
  <si>
    <t xml:space="preserve">                                   pārējie izdevumi</t>
  </si>
  <si>
    <t xml:space="preserve">Maksājumi par aizņēmumiem un kredītiem </t>
  </si>
  <si>
    <t xml:space="preserve">  subsīdijas</t>
  </si>
  <si>
    <t xml:space="preserve">  mērķdotācijas pašvaldību budžetiem</t>
  </si>
  <si>
    <t xml:space="preserve">  dotācijas pašvaldību budžetiem</t>
  </si>
  <si>
    <t xml:space="preserve">  dotācijas iestādēm, organizācijām un uzņēmumiem</t>
  </si>
  <si>
    <t xml:space="preserve">  dotācijas iedzīvotājiem</t>
  </si>
  <si>
    <t>2.2. Izdevumi kapitālieguldījumiem</t>
  </si>
  <si>
    <t>6000</t>
  </si>
  <si>
    <t xml:space="preserve">3. Pašvaldību budžeta tīrie aizdevumi </t>
  </si>
  <si>
    <t xml:space="preserve">3.1. Pašvaldību budžeta aizdevumi </t>
  </si>
  <si>
    <t xml:space="preserve">3.2. Pašvaldību budžeta aizdevumu atmaksas </t>
  </si>
  <si>
    <t>15. tabula</t>
  </si>
  <si>
    <t>Pašvaldību speciālā budžeta ieņēmumi un izdevumi</t>
  </si>
  <si>
    <t xml:space="preserve">                            (tūkst.latu)</t>
  </si>
  <si>
    <t>1. Ieņēmumi kopā (1.1. + 1.2.)</t>
  </si>
  <si>
    <t>1.1.Ieņēmumi no īpašiem mērķiem iezīmētu līdzekļu avotiem</t>
  </si>
  <si>
    <t xml:space="preserve">  Privatizācijas fonds</t>
  </si>
  <si>
    <t xml:space="preserve">  Dabas resursu nodoklis</t>
  </si>
  <si>
    <t xml:space="preserve">  Autoceļu (ielu) fonds</t>
  </si>
  <si>
    <t xml:space="preserve">  Pārējie ieņēmumi</t>
  </si>
  <si>
    <t>1.2.Ieņēmumi no ziedojumiem un dāvinājumiem</t>
  </si>
  <si>
    <t>2. Izdevumi kopā  (2.1. + 2.2.) *</t>
  </si>
  <si>
    <t>2.1.Izdevumi no īpašiem mērķiem iezīmētu līdzekļu avotiem</t>
  </si>
  <si>
    <t>2.2.Izdevumi no saņemto ziedojumu un dāvinājumu līdzekļiem</t>
  </si>
  <si>
    <t>*   -   ieskaitot  tīros aizdevumus  - 955  tūkst.latu</t>
  </si>
  <si>
    <t xml:space="preserve">                            Valsts kases oficiālais mēneša pārskats </t>
  </si>
  <si>
    <t>16. tabula</t>
  </si>
  <si>
    <t>Pašvaldību speciālā budžeta izdevumu atšifrējums pēc ekonomiskās klasifikācijas</t>
  </si>
  <si>
    <t xml:space="preserve">                                    (tūkst.latu)</t>
  </si>
  <si>
    <t>0010</t>
  </si>
  <si>
    <t xml:space="preserve">                                  pārējie izdevumi</t>
  </si>
  <si>
    <t xml:space="preserve">      Valsts kases oficiālais mēneša pārskats</t>
  </si>
  <si>
    <t>17. tabula</t>
  </si>
  <si>
    <t xml:space="preserve">Pašvaldību pamatbudžeta izpildes rādītāji </t>
  </si>
  <si>
    <t xml:space="preserve">                                                     (tūkst. latu)</t>
  </si>
  <si>
    <t>Izdevumi **</t>
  </si>
  <si>
    <t xml:space="preserve">   Iekšējā finansēšana</t>
  </si>
  <si>
    <t>tai skaitā</t>
  </si>
  <si>
    <t>Pilsētas, rajona nosaukums</t>
  </si>
  <si>
    <t xml:space="preserve">Nodokļu un nenodokļu ieņēmumi * </t>
  </si>
  <si>
    <t>Saņemtie maksājumi</t>
  </si>
  <si>
    <t>Ieņēmumi kopā (2+3)</t>
  </si>
  <si>
    <t>Izdevumi pēc valdības funkcijām</t>
  </si>
  <si>
    <t>Norēķini</t>
  </si>
  <si>
    <t>Izdevumi kopā (5+6)</t>
  </si>
  <si>
    <t>Fiskālais deficīts (-), pārpalikums (+) (4-7)</t>
  </si>
</sst>
</file>

<file path=xl/styles.xml><?xml version="1.0" encoding="utf-8"?>
<styleSheet xmlns="http://schemas.openxmlformats.org/spreadsheetml/2006/main">
  <numFmts count="58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#\ ##0"/>
    <numFmt numFmtId="165" formatCode="#,###%"/>
    <numFmt numFmtId="166" formatCode="0.0"/>
    <numFmt numFmtId="167" formatCode="###0"/>
    <numFmt numFmtId="168" formatCode="###,###,###"/>
    <numFmt numFmtId="169" formatCode="###,###,##0"/>
    <numFmt numFmtId="170" formatCode="###%"/>
    <numFmt numFmtId="171" formatCode="#,###.0%"/>
    <numFmt numFmtId="172" formatCode="#,##0.0"/>
    <numFmt numFmtId="173" formatCode="0.0%"/>
    <numFmt numFmtId="174" formatCode="00.000"/>
    <numFmt numFmtId="175" formatCode="#,##0.0\ _L_s"/>
    <numFmt numFmtId="176" formatCode="#,##0\ &quot;LVR&quot;;\-#,##0\ &quot;LVR&quot;"/>
    <numFmt numFmtId="177" formatCode="#,##0\ &quot;LVR&quot;;[Red]\-#,##0\ &quot;LVR&quot;"/>
    <numFmt numFmtId="178" formatCode="#,##0.00\ &quot;LVR&quot;;\-#,##0.00\ &quot;LVR&quot;"/>
    <numFmt numFmtId="179" formatCode="#,##0.00\ &quot;LVR&quot;;[Red]\-#,##0.00\ &quot;LVR&quot;"/>
    <numFmt numFmtId="180" formatCode="_-* #,##0\ &quot;LVR&quot;_-;\-* #,##0\ &quot;LVR&quot;_-;_-* &quot;-&quot;\ &quot;LVR&quot;_-;_-@_-"/>
    <numFmt numFmtId="181" formatCode="_-* #,##0\ _L_V_R_-;\-* #,##0\ _L_V_R_-;_-* &quot;-&quot;\ _L_V_R_-;_-@_-"/>
    <numFmt numFmtId="182" formatCode="_-* #,##0.00\ &quot;LVR&quot;_-;\-* #,##0.00\ &quot;LVR&quot;_-;_-* &quot;-&quot;??\ &quot;LVR&quot;_-;_-@_-"/>
    <numFmt numFmtId="183" formatCode="_-* #,##0.00\ _L_V_R_-;\-* #,##0.00\ _L_V_R_-;_-* &quot;-&quot;??\ _L_V_R_-;_-@_-"/>
    <numFmt numFmtId="184" formatCode="&quot;Ls&quot;#,##0_);\(&quot;Ls&quot;#,##0\)"/>
    <numFmt numFmtId="185" formatCode="&quot;Ls&quot;#,##0_);[Red]\(&quot;Ls&quot;#,##0\)"/>
    <numFmt numFmtId="186" formatCode="&quot;Ls&quot;#,##0.00_);\(&quot;Ls&quot;#,##0.00\)"/>
    <numFmt numFmtId="187" formatCode="&quot;Ls&quot;#,##0.00_);[Red]\(&quot;Ls&quot;#,##0.00\)"/>
    <numFmt numFmtId="188" formatCode="_(&quot;Ls&quot;* #,##0_);_(&quot;Ls&quot;* \(#,##0\);_(&quot;Ls&quot;* &quot;-&quot;_);_(@_)"/>
    <numFmt numFmtId="189" formatCode="_(* #,##0_);_(* \(#,##0\);_(* &quot;-&quot;_);_(@_)"/>
    <numFmt numFmtId="190" formatCode="_(&quot;Ls&quot;* #,##0.00_);_(&quot;Ls&quot;* \(#,##0.00\);_(&quot;Ls&quot;* &quot;-&quot;??_);_(@_)"/>
    <numFmt numFmtId="191" formatCode="_(* #,##0.00_);_(* \(#,##0.00\);_(* &quot;-&quot;??_);_(@_)"/>
    <numFmt numFmtId="192" formatCode="#,###,##0"/>
    <numFmt numFmtId="193" formatCode="#,000"/>
    <numFmt numFmtId="194" formatCode="#,###,000"/>
    <numFmt numFmtId="195" formatCode="#,"/>
    <numFmt numFmtId="196" formatCode="0,"/>
    <numFmt numFmtId="197" formatCode="##0"/>
    <numFmt numFmtId="198" formatCode="#0,"/>
    <numFmt numFmtId="199" formatCode="#,#00"/>
    <numFmt numFmtId="200" formatCode="#."/>
    <numFmt numFmtId="201" formatCode="##0,"/>
    <numFmt numFmtId="202" formatCode="##0,###"/>
    <numFmt numFmtId="203" formatCode="#,###"/>
    <numFmt numFmtId="204" formatCode="\ #,"/>
    <numFmt numFmtId="205" formatCode="\ #"/>
    <numFmt numFmtId="206" formatCode="#,###,000.0"/>
    <numFmt numFmtId="207" formatCode="_(* #,##0.000_);_(* \(#,##0.000\);_(* &quot;-&quot;??_);_(@_)"/>
    <numFmt numFmtId="208" formatCode="_(* #,##0.0_);_(* \(#,##0.0\);_(* &quot;-&quot;??_);_(@_)"/>
    <numFmt numFmtId="209" formatCode="_(* #,##0_);_(* \(#,##0\);_(* &quot;-&quot;??_);_(@_)"/>
    <numFmt numFmtId="210" formatCode="#\ ###\ ##0"/>
    <numFmt numFmtId="211" formatCode="#\ ###\ \ ##0"/>
    <numFmt numFmtId="212" formatCode="###,##0,"/>
    <numFmt numFmtId="213" formatCode="#,###,"/>
  </numFmts>
  <fonts count="27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0"/>
      <name val="RimTimes"/>
      <family val="0"/>
    </font>
    <font>
      <b/>
      <sz val="10"/>
      <name val="RimTimes"/>
      <family val="0"/>
    </font>
    <font>
      <i/>
      <sz val="10"/>
      <name val="Times New Roman"/>
      <family val="0"/>
    </font>
    <font>
      <b/>
      <sz val="11"/>
      <name val="Arial"/>
      <family val="2"/>
    </font>
    <font>
      <i/>
      <sz val="11"/>
      <name val="Arial"/>
      <family val="2"/>
    </font>
    <font>
      <sz val="8.5"/>
      <name val="MS Sans Serif"/>
      <family val="0"/>
    </font>
    <font>
      <sz val="8.5"/>
      <name val="Arial"/>
      <family val="2"/>
    </font>
    <font>
      <b/>
      <sz val="8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739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right"/>
    </xf>
    <xf numFmtId="165" fontId="5" fillId="0" borderId="3" xfId="21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6" fontId="5" fillId="0" borderId="1" xfId="21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64" fontId="7" fillId="0" borderId="1" xfId="0" applyNumberFormat="1" applyFont="1" applyBorder="1" applyAlignment="1">
      <alignment horizontal="right"/>
    </xf>
    <xf numFmtId="165" fontId="7" fillId="0" borderId="3" xfId="21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166" fontId="6" fillId="0" borderId="1" xfId="21" applyNumberFormat="1" applyFont="1" applyBorder="1" applyAlignment="1">
      <alignment/>
    </xf>
    <xf numFmtId="164" fontId="6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164" fontId="7" fillId="0" borderId="1" xfId="0" applyNumberFormat="1" applyFont="1" applyBorder="1" applyAlignment="1">
      <alignment/>
    </xf>
    <xf numFmtId="166" fontId="7" fillId="0" borderId="1" xfId="21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/>
    </xf>
    <xf numFmtId="166" fontId="4" fillId="0" borderId="1" xfId="21" applyNumberFormat="1" applyFont="1" applyBorder="1" applyAlignment="1">
      <alignment/>
    </xf>
    <xf numFmtId="165" fontId="6" fillId="0" borderId="3" xfId="21" applyNumberFormat="1" applyFont="1" applyBorder="1" applyAlignment="1">
      <alignment/>
    </xf>
    <xf numFmtId="0" fontId="6" fillId="0" borderId="1" xfId="0" applyFont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6" fillId="0" borderId="0" xfId="0" applyNumberFormat="1" applyFont="1" applyAlignment="1">
      <alignment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164" fontId="5" fillId="0" borderId="2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5" fontId="5" fillId="0" borderId="3" xfId="21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10" fontId="1" fillId="0" borderId="0" xfId="0" applyNumberFormat="1" applyFont="1" applyBorder="1" applyAlignment="1">
      <alignment horizontal="centerContinuous"/>
    </xf>
    <xf numFmtId="164" fontId="8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0" fontId="1" fillId="0" borderId="0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0" fontId="4" fillId="0" borderId="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left" vertical="center"/>
    </xf>
    <xf numFmtId="164" fontId="4" fillId="0" borderId="1" xfId="0" applyNumberFormat="1" applyFont="1" applyBorder="1" applyAlignment="1">
      <alignment/>
    </xf>
    <xf numFmtId="164" fontId="9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0" fontId="4" fillId="0" borderId="0" xfId="0" applyFont="1" applyAlignment="1">
      <alignment/>
    </xf>
    <xf numFmtId="167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7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168" fontId="4" fillId="0" borderId="0" xfId="0" applyNumberFormat="1" applyFont="1" applyAlignment="1">
      <alignment/>
    </xf>
    <xf numFmtId="168" fontId="4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168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165" fontId="7" fillId="0" borderId="1" xfId="21" applyNumberFormat="1" applyFont="1" applyBorder="1" applyAlignment="1">
      <alignment/>
    </xf>
    <xf numFmtId="168" fontId="6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/>
    </xf>
    <xf numFmtId="165" fontId="4" fillId="0" borderId="1" xfId="21" applyNumberFormat="1" applyFont="1" applyBorder="1" applyAlignment="1">
      <alignment/>
    </xf>
    <xf numFmtId="168" fontId="1" fillId="0" borderId="1" xfId="0" applyNumberFormat="1" applyFont="1" applyBorder="1" applyAlignment="1">
      <alignment/>
    </xf>
    <xf numFmtId="166" fontId="1" fillId="0" borderId="1" xfId="21" applyNumberFormat="1" applyFont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168" fontId="9" fillId="0" borderId="1" xfId="0" applyNumberFormat="1" applyFont="1" applyBorder="1" applyAlignment="1">
      <alignment/>
    </xf>
    <xf numFmtId="169" fontId="9" fillId="0" borderId="1" xfId="0" applyNumberFormat="1" applyFont="1" applyBorder="1" applyAlignment="1">
      <alignment/>
    </xf>
    <xf numFmtId="166" fontId="9" fillId="0" borderId="1" xfId="21" applyNumberFormat="1" applyFont="1" applyBorder="1" applyAlignment="1">
      <alignment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168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9" fontId="5" fillId="0" borderId="1" xfId="21" applyFont="1" applyBorder="1" applyAlignment="1">
      <alignment/>
    </xf>
    <xf numFmtId="166" fontId="5" fillId="0" borderId="1" xfId="21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5" fillId="0" borderId="1" xfId="0" applyFont="1" applyBorder="1" applyAlignment="1">
      <alignment horizontal="left"/>
    </xf>
    <xf numFmtId="166" fontId="5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center"/>
    </xf>
    <xf numFmtId="9" fontId="1" fillId="0" borderId="1" xfId="21" applyFont="1" applyBorder="1" applyAlignment="1">
      <alignment/>
    </xf>
    <xf numFmtId="164" fontId="0" fillId="0" borderId="1" xfId="0" applyNumberFormat="1" applyFont="1" applyBorder="1" applyAlignment="1">
      <alignment/>
    </xf>
    <xf numFmtId="166" fontId="0" fillId="0" borderId="1" xfId="21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7" fillId="0" borderId="1" xfId="0" applyFont="1" applyFill="1" applyBorder="1" applyAlignment="1">
      <alignment wrapText="1"/>
    </xf>
    <xf numFmtId="3" fontId="0" fillId="0" borderId="1" xfId="0" applyNumberFormat="1" applyFont="1" applyBorder="1" applyAlignment="1">
      <alignment/>
    </xf>
    <xf numFmtId="3" fontId="5" fillId="0" borderId="1" xfId="0" applyNumberFormat="1" applyFont="1" applyFill="1" applyBorder="1" applyAlignment="1">
      <alignment/>
    </xf>
    <xf numFmtId="9" fontId="0" fillId="0" borderId="1" xfId="21" applyFont="1" applyBorder="1" applyAlignment="1">
      <alignment/>
    </xf>
    <xf numFmtId="3" fontId="6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" fontId="1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1" fontId="4" fillId="0" borderId="1" xfId="0" applyNumberFormat="1" applyFont="1" applyBorder="1" applyAlignment="1">
      <alignment/>
    </xf>
    <xf numFmtId="166" fontId="4" fillId="0" borderId="1" xfId="21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9" fillId="2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164" fontId="12" fillId="0" borderId="1" xfId="0" applyNumberFormat="1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8" fillId="0" borderId="1" xfId="0" applyFont="1" applyBorder="1" applyAlignment="1">
      <alignment horizontal="left" wrapText="1"/>
    </xf>
    <xf numFmtId="164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wrapText="1"/>
    </xf>
    <xf numFmtId="9" fontId="0" fillId="0" borderId="0" xfId="21" applyFont="1" applyBorder="1" applyAlignment="1">
      <alignment/>
    </xf>
    <xf numFmtId="164" fontId="12" fillId="0" borderId="0" xfId="0" applyNumberFormat="1" applyFont="1" applyBorder="1" applyAlignment="1">
      <alignment/>
    </xf>
    <xf numFmtId="166" fontId="5" fillId="0" borderId="0" xfId="21" applyNumberFormat="1" applyFont="1" applyBorder="1" applyAlignment="1">
      <alignment horizontal="center"/>
    </xf>
    <xf numFmtId="164" fontId="5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0" fontId="0" fillId="0" borderId="0" xfId="21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13" fillId="0" borderId="0" xfId="19" applyFont="1" applyFill="1" applyAlignment="1">
      <alignment/>
    </xf>
    <xf numFmtId="0" fontId="15" fillId="0" borderId="0" xfId="19" applyFont="1" applyAlignment="1">
      <alignment/>
    </xf>
    <xf numFmtId="0" fontId="16" fillId="0" borderId="0" xfId="19" applyFont="1" applyAlignment="1">
      <alignment/>
    </xf>
    <xf numFmtId="0" fontId="0" fillId="0" borderId="0" xfId="19" applyFont="1" applyAlignment="1">
      <alignment/>
    </xf>
    <xf numFmtId="10" fontId="0" fillId="0" borderId="0" xfId="0" applyNumberFormat="1" applyFont="1" applyAlignment="1">
      <alignment/>
    </xf>
    <xf numFmtId="0" fontId="14" fillId="0" borderId="0" xfId="19" applyFont="1" applyAlignment="1">
      <alignment/>
    </xf>
    <xf numFmtId="0" fontId="17" fillId="0" borderId="0" xfId="19" applyFont="1" applyAlignment="1">
      <alignment/>
    </xf>
    <xf numFmtId="0" fontId="4" fillId="0" borderId="0" xfId="0" applyNumberFormat="1" applyFont="1" applyAlignment="1">
      <alignment/>
    </xf>
    <xf numFmtId="9" fontId="9" fillId="0" borderId="1" xfId="21" applyFont="1" applyBorder="1" applyAlignment="1">
      <alignment/>
    </xf>
    <xf numFmtId="0" fontId="18" fillId="0" borderId="0" xfId="0" applyFont="1" applyAlignment="1">
      <alignment horizontal="centerContinuous"/>
    </xf>
    <xf numFmtId="164" fontId="0" fillId="0" borderId="1" xfId="0" applyNumberFormat="1" applyFont="1" applyBorder="1" applyAlignment="1">
      <alignment horizontal="right"/>
    </xf>
    <xf numFmtId="166" fontId="0" fillId="0" borderId="1" xfId="21" applyNumberFormat="1" applyFont="1" applyBorder="1" applyAlignment="1">
      <alignment/>
    </xf>
    <xf numFmtId="164" fontId="0" fillId="0" borderId="1" xfId="0" applyNumberFormat="1" applyFont="1" applyFill="1" applyBorder="1" applyAlignment="1">
      <alignment horizontal="right"/>
    </xf>
    <xf numFmtId="164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left" wrapText="1"/>
    </xf>
    <xf numFmtId="0" fontId="5" fillId="0" borderId="1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 wrapText="1"/>
    </xf>
    <xf numFmtId="164" fontId="11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Continuous"/>
    </xf>
    <xf numFmtId="166" fontId="0" fillId="0" borderId="0" xfId="0" applyNumberFormat="1" applyFont="1" applyBorder="1" applyAlignment="1">
      <alignment horizontal="centerContinuous"/>
    </xf>
    <xf numFmtId="166" fontId="11" fillId="0" borderId="0" xfId="0" applyNumberFormat="1" applyFont="1" applyAlignment="1">
      <alignment horizontal="centerContinuous"/>
    </xf>
    <xf numFmtId="164" fontId="11" fillId="0" borderId="0" xfId="0" applyNumberFormat="1" applyFont="1" applyAlignment="1">
      <alignment horizontal="centerContinuous"/>
    </xf>
    <xf numFmtId="166" fontId="0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/>
    </xf>
    <xf numFmtId="3" fontId="6" fillId="0" borderId="1" xfId="0" applyNumberFormat="1" applyFont="1" applyBorder="1" applyAlignment="1">
      <alignment/>
    </xf>
    <xf numFmtId="16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8" fontId="5" fillId="0" borderId="1" xfId="0" applyNumberFormat="1" applyFont="1" applyBorder="1" applyAlignment="1">
      <alignment horizontal="right" wrapText="1"/>
    </xf>
    <xf numFmtId="168" fontId="5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/>
    </xf>
    <xf numFmtId="168" fontId="0" fillId="0" borderId="1" xfId="0" applyNumberFormat="1" applyFont="1" applyBorder="1" applyAlignment="1">
      <alignment horizontal="right" wrapText="1"/>
    </xf>
    <xf numFmtId="168" fontId="0" fillId="0" borderId="1" xfId="0" applyNumberFormat="1" applyFont="1" applyBorder="1" applyAlignment="1">
      <alignment horizontal="center" wrapText="1"/>
    </xf>
    <xf numFmtId="168" fontId="0" fillId="0" borderId="1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164" fontId="0" fillId="0" borderId="3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 wrapText="1"/>
    </xf>
    <xf numFmtId="0" fontId="0" fillId="3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3" fontId="5" fillId="0" borderId="1" xfId="0" applyNumberFormat="1" applyFont="1" applyBorder="1" applyAlignment="1">
      <alignment horizontal="center"/>
    </xf>
    <xf numFmtId="168" fontId="5" fillId="0" borderId="1" xfId="0" applyNumberFormat="1" applyFont="1" applyBorder="1" applyAlignment="1">
      <alignment horizontal="right"/>
    </xf>
    <xf numFmtId="168" fontId="0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/>
    </xf>
    <xf numFmtId="168" fontId="11" fillId="0" borderId="1" xfId="0" applyNumberFormat="1" applyFont="1" applyBorder="1" applyAlignment="1">
      <alignment horizontal="center"/>
    </xf>
    <xf numFmtId="168" fontId="11" fillId="0" borderId="1" xfId="0" applyNumberFormat="1" applyFont="1" applyBorder="1" applyAlignment="1">
      <alignment horizontal="center" wrapText="1"/>
    </xf>
    <xf numFmtId="166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center"/>
    </xf>
    <xf numFmtId="170" fontId="0" fillId="0" borderId="1" xfId="21" applyNumberFormat="1" applyFont="1" applyBorder="1" applyAlignment="1">
      <alignment horizontal="center"/>
    </xf>
    <xf numFmtId="170" fontId="0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70" fontId="0" fillId="0" borderId="1" xfId="0" applyNumberFormat="1" applyFont="1" applyBorder="1" applyAlignment="1">
      <alignment/>
    </xf>
    <xf numFmtId="10" fontId="0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Alignment="1">
      <alignment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/>
    </xf>
    <xf numFmtId="165" fontId="5" fillId="0" borderId="1" xfId="21" applyNumberFormat="1" applyFont="1" applyBorder="1" applyAlignment="1">
      <alignment/>
    </xf>
    <xf numFmtId="168" fontId="5" fillId="0" borderId="1" xfId="0" applyNumberFormat="1" applyFont="1" applyBorder="1" applyAlignment="1">
      <alignment/>
    </xf>
    <xf numFmtId="0" fontId="19" fillId="0" borderId="0" xfId="0" applyFont="1" applyAlignment="1">
      <alignment/>
    </xf>
    <xf numFmtId="171" fontId="5" fillId="0" borderId="1" xfId="21" applyNumberFormat="1" applyFont="1" applyBorder="1" applyAlignment="1">
      <alignment/>
    </xf>
    <xf numFmtId="164" fontId="5" fillId="0" borderId="4" xfId="0" applyNumberFormat="1" applyFont="1" applyBorder="1" applyAlignment="1">
      <alignment/>
    </xf>
    <xf numFmtId="0" fontId="0" fillId="0" borderId="1" xfId="0" applyFont="1" applyBorder="1" applyAlignment="1">
      <alignment/>
    </xf>
    <xf numFmtId="171" fontId="0" fillId="0" borderId="1" xfId="21" applyNumberFormat="1" applyFont="1" applyBorder="1" applyAlignment="1">
      <alignment/>
    </xf>
    <xf numFmtId="168" fontId="0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164" fontId="0" fillId="0" borderId="4" xfId="0" applyNumberFormat="1" applyFont="1" applyBorder="1" applyAlignment="1">
      <alignment/>
    </xf>
    <xf numFmtId="168" fontId="0" fillId="0" borderId="1" xfId="0" applyNumberFormat="1" applyFont="1" applyBorder="1" applyAlignment="1">
      <alignment/>
    </xf>
    <xf numFmtId="164" fontId="0" fillId="0" borderId="4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 horizontal="right" vertical="center" wrapText="1"/>
    </xf>
    <xf numFmtId="3" fontId="0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11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1" xfId="0" applyNumberFormat="1" applyFont="1" applyFill="1" applyBorder="1" applyAlignment="1">
      <alignment/>
    </xf>
    <xf numFmtId="168" fontId="11" fillId="0" borderId="1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164" fontId="11" fillId="0" borderId="4" xfId="0" applyNumberFormat="1" applyFont="1" applyBorder="1" applyAlignment="1">
      <alignment/>
    </xf>
    <xf numFmtId="171" fontId="11" fillId="0" borderId="1" xfId="21" applyNumberFormat="1" applyFont="1" applyBorder="1" applyAlignment="1">
      <alignment/>
    </xf>
    <xf numFmtId="0" fontId="21" fillId="0" borderId="0" xfId="0" applyFont="1" applyAlignment="1">
      <alignment/>
    </xf>
    <xf numFmtId="168" fontId="11" fillId="0" borderId="1" xfId="0" applyNumberFormat="1" applyFont="1" applyBorder="1" applyAlignment="1">
      <alignment/>
    </xf>
    <xf numFmtId="0" fontId="11" fillId="0" borderId="1" xfId="0" applyFont="1" applyBorder="1" applyAlignment="1">
      <alignment wrapText="1"/>
    </xf>
    <xf numFmtId="2" fontId="0" fillId="0" borderId="1" xfId="21" applyNumberFormat="1" applyFont="1" applyBorder="1" applyAlignment="1">
      <alignment/>
    </xf>
    <xf numFmtId="0" fontId="0" fillId="0" borderId="4" xfId="0" applyFont="1" applyBorder="1" applyAlignment="1">
      <alignment/>
    </xf>
    <xf numFmtId="0" fontId="11" fillId="0" borderId="0" xfId="0" applyFont="1" applyBorder="1" applyAlignment="1">
      <alignment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wrapText="1"/>
    </xf>
    <xf numFmtId="168" fontId="22" fillId="0" borderId="1" xfId="0" applyNumberFormat="1" applyFont="1" applyBorder="1" applyAlignment="1">
      <alignment horizontal="right" wrapText="1"/>
    </xf>
    <xf numFmtId="166" fontId="22" fillId="0" borderId="1" xfId="21" applyNumberFormat="1" applyFont="1" applyBorder="1" applyAlignment="1">
      <alignment/>
    </xf>
    <xf numFmtId="166" fontId="3" fillId="0" borderId="1" xfId="21" applyNumberFormat="1" applyFont="1" applyBorder="1" applyAlignment="1">
      <alignment/>
    </xf>
    <xf numFmtId="3" fontId="22" fillId="0" borderId="1" xfId="0" applyNumberFormat="1" applyFont="1" applyBorder="1" applyAlignment="1">
      <alignment/>
    </xf>
    <xf numFmtId="172" fontId="22" fillId="0" borderId="1" xfId="0" applyNumberFormat="1" applyFont="1" applyBorder="1" applyAlignment="1">
      <alignment/>
    </xf>
    <xf numFmtId="0" fontId="22" fillId="0" borderId="1" xfId="0" applyFont="1" applyBorder="1" applyAlignment="1">
      <alignment horizontal="left"/>
    </xf>
    <xf numFmtId="3" fontId="22" fillId="0" borderId="1" xfId="0" applyNumberFormat="1" applyFont="1" applyBorder="1" applyAlignment="1">
      <alignment/>
    </xf>
    <xf numFmtId="168" fontId="0" fillId="0" borderId="1" xfId="0" applyNumberFormat="1" applyFont="1" applyBorder="1" applyAlignment="1">
      <alignment horizontal="right" vertical="center" wrapText="1"/>
    </xf>
    <xf numFmtId="166" fontId="3" fillId="0" borderId="1" xfId="21" applyNumberFormat="1" applyFont="1" applyBorder="1" applyAlignment="1">
      <alignment horizontal="center"/>
    </xf>
    <xf numFmtId="0" fontId="22" fillId="0" borderId="1" xfId="0" applyFont="1" applyBorder="1" applyAlignment="1">
      <alignment wrapText="1"/>
    </xf>
    <xf numFmtId="168" fontId="22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 horizontal="center"/>
    </xf>
    <xf numFmtId="168" fontId="11" fillId="0" borderId="1" xfId="0" applyNumberFormat="1" applyFont="1" applyBorder="1" applyAlignment="1">
      <alignment horizontal="right" wrapText="1"/>
    </xf>
    <xf numFmtId="0" fontId="22" fillId="0" borderId="1" xfId="0" applyFont="1" applyBorder="1" applyAlignment="1">
      <alignment horizontal="left" wrapText="1"/>
    </xf>
    <xf numFmtId="3" fontId="22" fillId="0" borderId="1" xfId="0" applyNumberFormat="1" applyFont="1" applyBorder="1" applyAlignment="1">
      <alignment horizontal="right"/>
    </xf>
    <xf numFmtId="172" fontId="22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 wrapText="1"/>
    </xf>
    <xf numFmtId="164" fontId="1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4" fontId="0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0" fontId="5" fillId="0" borderId="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0" fontId="3" fillId="0" borderId="0" xfId="0" applyFont="1" applyBorder="1" applyAlignment="1">
      <alignment wrapText="1"/>
    </xf>
    <xf numFmtId="3" fontId="3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/>
    </xf>
    <xf numFmtId="3" fontId="22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right" wrapText="1"/>
    </xf>
    <xf numFmtId="173" fontId="22" fillId="0" borderId="1" xfId="21" applyNumberFormat="1" applyFont="1" applyBorder="1" applyAlignment="1">
      <alignment/>
    </xf>
    <xf numFmtId="3" fontId="22" fillId="0" borderId="4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right" wrapText="1"/>
    </xf>
    <xf numFmtId="173" fontId="3" fillId="0" borderId="1" xfId="21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164" fontId="22" fillId="0" borderId="4" xfId="0" applyNumberFormat="1" applyFont="1" applyBorder="1" applyAlignment="1">
      <alignment/>
    </xf>
    <xf numFmtId="164" fontId="22" fillId="0" borderId="4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10" fontId="3" fillId="0" borderId="1" xfId="0" applyNumberFormat="1" applyFont="1" applyBorder="1" applyAlignment="1">
      <alignment horizontal="center" wrapText="1"/>
    </xf>
    <xf numFmtId="0" fontId="22" fillId="0" borderId="1" xfId="0" applyFont="1" applyBorder="1" applyAlignment="1">
      <alignment/>
    </xf>
    <xf numFmtId="0" fontId="23" fillId="0" borderId="1" xfId="0" applyFont="1" applyBorder="1" applyAlignment="1">
      <alignment horizontal="center" wrapText="1"/>
    </xf>
    <xf numFmtId="3" fontId="23" fillId="0" borderId="1" xfId="0" applyNumberFormat="1" applyFont="1" applyBorder="1" applyAlignment="1">
      <alignment horizontal="center"/>
    </xf>
    <xf numFmtId="3" fontId="23" fillId="0" borderId="1" xfId="0" applyNumberFormat="1" applyFont="1" applyBorder="1" applyAlignment="1">
      <alignment/>
    </xf>
    <xf numFmtId="10" fontId="23" fillId="0" borderId="1" xfId="0" applyNumberFormat="1" applyFont="1" applyBorder="1" applyAlignment="1">
      <alignment horizontal="center" wrapText="1"/>
    </xf>
    <xf numFmtId="164" fontId="23" fillId="0" borderId="1" xfId="0" applyNumberFormat="1" applyFont="1" applyBorder="1" applyAlignment="1">
      <alignment horizontal="center"/>
    </xf>
    <xf numFmtId="0" fontId="23" fillId="0" borderId="0" xfId="0" applyFont="1" applyAlignment="1">
      <alignment/>
    </xf>
    <xf numFmtId="164" fontId="22" fillId="0" borderId="4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 horizontal="center" wrapText="1"/>
    </xf>
    <xf numFmtId="164" fontId="2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64" fontId="23" fillId="0" borderId="0" xfId="0" applyNumberFormat="1" applyFont="1" applyAlignment="1">
      <alignment horizontal="center"/>
    </xf>
    <xf numFmtId="10" fontId="22" fillId="0" borderId="0" xfId="0" applyNumberFormat="1" applyFont="1" applyBorder="1" applyAlignment="1">
      <alignment horizontal="center" wrapText="1"/>
    </xf>
    <xf numFmtId="10" fontId="3" fillId="0" borderId="0" xfId="0" applyNumberFormat="1" applyFont="1" applyBorder="1" applyAlignment="1">
      <alignment horizontal="centerContinuous"/>
    </xf>
    <xf numFmtId="164" fontId="23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right"/>
    </xf>
    <xf numFmtId="0" fontId="22" fillId="0" borderId="0" xfId="0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0" fontId="2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4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right" wrapText="1"/>
    </xf>
    <xf numFmtId="3" fontId="5" fillId="0" borderId="4" xfId="0" applyNumberFormat="1" applyFont="1" applyBorder="1" applyAlignment="1">
      <alignment horizontal="right" wrapText="1"/>
    </xf>
    <xf numFmtId="173" fontId="6" fillId="0" borderId="1" xfId="21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right" wrapText="1"/>
    </xf>
    <xf numFmtId="165" fontId="0" fillId="0" borderId="1" xfId="21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 wrapText="1"/>
    </xf>
    <xf numFmtId="3" fontId="5" fillId="0" borderId="4" xfId="0" applyNumberFormat="1" applyFont="1" applyBorder="1" applyAlignment="1">
      <alignment/>
    </xf>
    <xf numFmtId="166" fontId="6" fillId="0" borderId="1" xfId="21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165" fontId="0" fillId="0" borderId="1" xfId="21" applyNumberFormat="1" applyFont="1" applyBorder="1" applyAlignment="1">
      <alignment/>
    </xf>
    <xf numFmtId="0" fontId="0" fillId="0" borderId="1" xfId="0" applyFont="1" applyBorder="1" applyAlignment="1">
      <alignment horizontal="right" wrapText="1"/>
    </xf>
    <xf numFmtId="3" fontId="0" fillId="0" borderId="4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right" wrapText="1"/>
    </xf>
    <xf numFmtId="0" fontId="11" fillId="0" borderId="0" xfId="0" applyFont="1" applyAlignment="1">
      <alignment/>
    </xf>
    <xf numFmtId="9" fontId="5" fillId="0" borderId="1" xfId="21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164" fontId="1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10" fontId="5" fillId="0" borderId="0" xfId="21" applyNumberFormat="1" applyFont="1" applyBorder="1" applyAlignment="1">
      <alignment/>
    </xf>
    <xf numFmtId="174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74" fontId="0" fillId="0" borderId="1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wrapText="1"/>
    </xf>
    <xf numFmtId="174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175" fontId="5" fillId="0" borderId="1" xfId="21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168" fontId="0" fillId="0" borderId="1" xfId="0" applyNumberFormat="1" applyFont="1" applyBorder="1" applyAlignment="1">
      <alignment horizontal="right"/>
    </xf>
    <xf numFmtId="173" fontId="0" fillId="0" borderId="1" xfId="21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4" fillId="0" borderId="5" xfId="20" applyFont="1" applyBorder="1" applyAlignment="1">
      <alignment horizontal="center" vertical="center" wrapText="1"/>
      <protection/>
    </xf>
    <xf numFmtId="0" fontId="4" fillId="0" borderId="6" xfId="20" applyFont="1" applyBorder="1" applyAlignment="1">
      <alignment horizontal="center" vertical="center" wrapText="1"/>
      <protection/>
    </xf>
    <xf numFmtId="0" fontId="4" fillId="0" borderId="7" xfId="20" applyFont="1" applyBorder="1" applyAlignment="1">
      <alignment horizontal="center" vertical="center" wrapText="1"/>
      <protection/>
    </xf>
    <xf numFmtId="0" fontId="0" fillId="0" borderId="0" xfId="20" applyFont="1" applyAlignment="1">
      <alignment horizontal="centerContinuous"/>
      <protection/>
    </xf>
    <xf numFmtId="0" fontId="0" fillId="0" borderId="0" xfId="20" applyFont="1" applyAlignment="1">
      <alignment horizontal="right"/>
      <protection/>
    </xf>
    <xf numFmtId="0" fontId="25" fillId="0" borderId="0" xfId="20" applyFont="1">
      <alignment/>
      <protection/>
    </xf>
    <xf numFmtId="0" fontId="0" fillId="0" borderId="0" xfId="20" applyFont="1">
      <alignment/>
      <protection/>
    </xf>
    <xf numFmtId="0" fontId="2" fillId="0" borderId="0" xfId="20" applyFont="1" applyAlignment="1">
      <alignment horizontal="centerContinuous"/>
      <protection/>
    </xf>
    <xf numFmtId="0" fontId="10" fillId="0" borderId="0" xfId="20" applyFont="1" applyAlignment="1">
      <alignment horizontal="centerContinuous"/>
      <protection/>
    </xf>
    <xf numFmtId="0" fontId="10" fillId="0" borderId="8" xfId="20" applyFont="1" applyBorder="1" applyAlignment="1">
      <alignment horizontal="centerContinuous"/>
      <protection/>
    </xf>
    <xf numFmtId="0" fontId="0" fillId="0" borderId="8" xfId="20" applyFont="1" applyBorder="1" applyAlignment="1">
      <alignment horizontal="centerContinuous"/>
      <protection/>
    </xf>
    <xf numFmtId="0" fontId="4" fillId="0" borderId="8" xfId="20" applyFont="1" applyBorder="1">
      <alignment/>
      <protection/>
    </xf>
    <xf numFmtId="0" fontId="4" fillId="0" borderId="9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10" xfId="20" applyFont="1" applyBorder="1" applyAlignment="1">
      <alignment horizontal="center" vertical="center" wrapText="1"/>
      <protection/>
    </xf>
    <xf numFmtId="0" fontId="25" fillId="0" borderId="0" xfId="20" applyFont="1" applyAlignment="1">
      <alignment horizontal="center"/>
      <protection/>
    </xf>
    <xf numFmtId="0" fontId="5" fillId="0" borderId="9" xfId="20" applyFont="1" applyBorder="1" applyAlignment="1">
      <alignment wrapText="1"/>
      <protection/>
    </xf>
    <xf numFmtId="164" fontId="1" fillId="0" borderId="1" xfId="20" applyNumberFormat="1" applyFont="1" applyBorder="1">
      <alignment/>
      <protection/>
    </xf>
    <xf numFmtId="166" fontId="1" fillId="0" borderId="1" xfId="20" applyNumberFormat="1" applyFont="1" applyBorder="1">
      <alignment/>
      <protection/>
    </xf>
    <xf numFmtId="164" fontId="1" fillId="0" borderId="10" xfId="20" applyNumberFormat="1" applyFont="1" applyBorder="1">
      <alignment/>
      <protection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3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3" fontId="0" fillId="0" borderId="0" xfId="0" applyNumberFormat="1" applyFont="1" applyAlignment="1">
      <alignment horizontal="left"/>
    </xf>
    <xf numFmtId="3" fontId="0" fillId="0" borderId="11" xfId="0" applyNumberFormat="1" applyFont="1" applyBorder="1" applyAlignment="1">
      <alignment horizontal="left" wrapText="1"/>
    </xf>
    <xf numFmtId="0" fontId="1" fillId="0" borderId="9" xfId="20" applyFont="1" applyBorder="1" applyAlignment="1">
      <alignment/>
      <protection/>
    </xf>
    <xf numFmtId="0" fontId="9" fillId="0" borderId="9" xfId="20" applyFont="1" applyBorder="1" applyAlignment="1">
      <alignment horizontal="center" wrapText="1"/>
      <protection/>
    </xf>
    <xf numFmtId="0" fontId="0" fillId="0" borderId="9" xfId="20" applyFont="1" applyBorder="1" applyAlignment="1">
      <alignment wrapText="1"/>
      <protection/>
    </xf>
    <xf numFmtId="0" fontId="1" fillId="0" borderId="9" xfId="20" applyFont="1" applyBorder="1" applyAlignment="1">
      <alignment wrapText="1"/>
      <protection/>
    </xf>
    <xf numFmtId="0" fontId="9" fillId="0" borderId="12" xfId="20" applyFont="1" applyBorder="1" applyAlignment="1">
      <alignment horizontal="center" wrapText="1"/>
      <protection/>
    </xf>
    <xf numFmtId="0" fontId="1" fillId="0" borderId="12" xfId="20" applyFont="1" applyBorder="1" applyAlignment="1">
      <alignment wrapText="1"/>
      <protection/>
    </xf>
    <xf numFmtId="164" fontId="1" fillId="0" borderId="9" xfId="20" applyNumberFormat="1" applyFont="1" applyBorder="1">
      <alignment/>
      <protection/>
    </xf>
    <xf numFmtId="0" fontId="5" fillId="0" borderId="13" xfId="20" applyFont="1" applyBorder="1" applyAlignment="1">
      <alignment wrapText="1"/>
      <protection/>
    </xf>
    <xf numFmtId="0" fontId="25" fillId="0" borderId="1" xfId="20" applyFont="1" applyBorder="1">
      <alignment/>
      <protection/>
    </xf>
    <xf numFmtId="0" fontId="5" fillId="0" borderId="0" xfId="20" applyFont="1" applyAlignment="1">
      <alignment wrapText="1"/>
      <protection/>
    </xf>
    <xf numFmtId="0" fontId="5" fillId="0" borderId="14" xfId="20" applyFont="1" applyBorder="1" applyAlignment="1">
      <alignment wrapText="1"/>
      <protection/>
    </xf>
    <xf numFmtId="0" fontId="25" fillId="0" borderId="15" xfId="20" applyFont="1" applyBorder="1">
      <alignment/>
      <protection/>
    </xf>
    <xf numFmtId="0" fontId="5" fillId="0" borderId="16" xfId="20" applyFont="1" applyBorder="1" applyAlignment="1">
      <alignment wrapText="1"/>
      <protection/>
    </xf>
    <xf numFmtId="164" fontId="1" fillId="0" borderId="17" xfId="20" applyNumberFormat="1" applyFont="1" applyBorder="1">
      <alignment/>
      <protection/>
    </xf>
    <xf numFmtId="166" fontId="1" fillId="0" borderId="17" xfId="20" applyNumberFormat="1" applyFont="1" applyBorder="1">
      <alignment/>
      <protection/>
    </xf>
    <xf numFmtId="164" fontId="1" fillId="0" borderId="18" xfId="20" applyNumberFormat="1" applyFont="1" applyBorder="1">
      <alignment/>
      <protection/>
    </xf>
    <xf numFmtId="0" fontId="0" fillId="0" borderId="0" xfId="20" applyFont="1" applyAlignment="1">
      <alignment wrapText="1"/>
      <protection/>
    </xf>
    <xf numFmtId="0" fontId="1" fillId="0" borderId="0" xfId="20" applyFont="1" applyAlignment="1">
      <alignment horizontal="left"/>
      <protection/>
    </xf>
    <xf numFmtId="0" fontId="0" fillId="0" borderId="0" xfId="20" applyNumberFormat="1" applyFont="1" applyBorder="1">
      <alignment/>
      <protection/>
    </xf>
    <xf numFmtId="49" fontId="1" fillId="0" borderId="0" xfId="20" applyNumberFormat="1" applyFont="1" applyBorder="1" applyAlignment="1">
      <alignment horizontal="center"/>
      <protection/>
    </xf>
    <xf numFmtId="0" fontId="4" fillId="0" borderId="0" xfId="20" applyFont="1" applyAlignment="1">
      <alignment wrapText="1"/>
      <protection/>
    </xf>
    <xf numFmtId="0" fontId="25" fillId="0" borderId="0" xfId="20" applyFont="1" applyAlignment="1">
      <alignment wrapText="1"/>
      <protection/>
    </xf>
    <xf numFmtId="49" fontId="0" fillId="0" borderId="0" xfId="20" applyNumberFormat="1" applyFont="1" applyAlignment="1">
      <alignment horizontal="centerContinuous" vertical="top" wrapText="1"/>
      <protection/>
    </xf>
    <xf numFmtId="0" fontId="0" fillId="0" borderId="0" xfId="20" applyFont="1" applyAlignment="1">
      <alignment horizontal="left"/>
      <protection/>
    </xf>
    <xf numFmtId="49" fontId="2" fillId="0" borderId="0" xfId="20" applyNumberFormat="1" applyFont="1" applyAlignment="1">
      <alignment horizontal="centerContinuous" vertical="top" wrapText="1"/>
      <protection/>
    </xf>
    <xf numFmtId="49" fontId="18" fillId="0" borderId="0" xfId="20" applyNumberFormat="1" applyFont="1" applyAlignment="1">
      <alignment horizontal="centerContinuous" vertical="top" wrapText="1"/>
      <protection/>
    </xf>
    <xf numFmtId="0" fontId="18" fillId="0" borderId="0" xfId="20" applyFont="1" applyAlignment="1">
      <alignment horizontal="centerContinuous"/>
      <protection/>
    </xf>
    <xf numFmtId="0" fontId="18" fillId="0" borderId="0" xfId="20" applyFont="1">
      <alignment/>
      <protection/>
    </xf>
    <xf numFmtId="49" fontId="25" fillId="0" borderId="0" xfId="20" applyNumberFormat="1" applyFont="1" applyAlignment="1">
      <alignment vertical="top" wrapText="1"/>
      <protection/>
    </xf>
    <xf numFmtId="0" fontId="25" fillId="0" borderId="0" xfId="20" applyFont="1" applyAlignment="1">
      <alignment horizontal="centerContinuous"/>
      <protection/>
    </xf>
    <xf numFmtId="0" fontId="4" fillId="0" borderId="0" xfId="20" applyFont="1">
      <alignment/>
      <protection/>
    </xf>
    <xf numFmtId="49" fontId="4" fillId="0" borderId="8" xfId="20" applyNumberFormat="1" applyFont="1" applyBorder="1" applyAlignment="1">
      <alignment vertical="top" wrapText="1"/>
      <protection/>
    </xf>
    <xf numFmtId="0" fontId="4" fillId="0" borderId="8" xfId="20" applyFont="1" applyBorder="1" applyAlignment="1">
      <alignment horizontal="centerContinuous"/>
      <protection/>
    </xf>
    <xf numFmtId="49" fontId="4" fillId="0" borderId="5" xfId="20" applyNumberFormat="1" applyFont="1" applyFill="1" applyBorder="1" applyAlignment="1">
      <alignment horizontal="centerContinuous" vertical="center"/>
      <protection/>
    </xf>
    <xf numFmtId="49" fontId="4" fillId="0" borderId="3" xfId="20" applyNumberFormat="1" applyFont="1" applyFill="1" applyBorder="1" applyAlignment="1">
      <alignment horizontal="center" vertical="center" wrapText="1"/>
      <protection/>
    </xf>
    <xf numFmtId="49" fontId="4" fillId="0" borderId="7" xfId="20" applyNumberFormat="1" applyFont="1" applyFill="1" applyBorder="1" applyAlignment="1">
      <alignment horizontal="center" vertical="center" wrapText="1"/>
      <protection/>
    </xf>
    <xf numFmtId="49" fontId="4" fillId="0" borderId="9" xfId="20" applyNumberFormat="1" applyFont="1" applyFill="1" applyBorder="1" applyAlignment="1">
      <alignment horizontal="center" vertical="top" wrapText="1"/>
      <protection/>
    </xf>
    <xf numFmtId="49" fontId="4" fillId="0" borderId="1" xfId="20" applyNumberFormat="1" applyFont="1" applyFill="1" applyBorder="1" applyAlignment="1">
      <alignment horizontal="center" vertical="top" wrapText="1"/>
      <protection/>
    </xf>
    <xf numFmtId="49" fontId="4" fillId="0" borderId="10" xfId="20" applyNumberFormat="1" applyFont="1" applyFill="1" applyBorder="1" applyAlignment="1">
      <alignment horizontal="center" vertical="top" wrapText="1"/>
      <protection/>
    </xf>
    <xf numFmtId="3" fontId="5" fillId="0" borderId="9" xfId="20" applyNumberFormat="1" applyFont="1" applyBorder="1" applyAlignment="1">
      <alignment horizontal="center"/>
      <protection/>
    </xf>
    <xf numFmtId="3" fontId="1" fillId="0" borderId="1" xfId="20" applyNumberFormat="1" applyFont="1" applyBorder="1">
      <alignment/>
      <protection/>
    </xf>
    <xf numFmtId="172" fontId="1" fillId="0" borderId="1" xfId="20" applyNumberFormat="1" applyFont="1" applyBorder="1">
      <alignment/>
      <protection/>
    </xf>
    <xf numFmtId="3" fontId="1" fillId="0" borderId="10" xfId="20" applyNumberFormat="1" applyFont="1" applyBorder="1">
      <alignment/>
      <protection/>
    </xf>
    <xf numFmtId="49" fontId="5" fillId="0" borderId="9" xfId="20" applyNumberFormat="1" applyFont="1" applyFill="1" applyBorder="1" applyAlignment="1">
      <alignment horizontal="center" vertical="top" wrapText="1"/>
      <protection/>
    </xf>
    <xf numFmtId="3" fontId="5" fillId="0" borderId="9" xfId="20" applyNumberFormat="1" applyFont="1" applyBorder="1" applyAlignment="1">
      <alignment horizontal="left"/>
      <protection/>
    </xf>
    <xf numFmtId="3" fontId="7" fillId="0" borderId="9" xfId="20" applyNumberFormat="1" applyFont="1" applyBorder="1" applyAlignment="1">
      <alignment horizontal="left"/>
      <protection/>
    </xf>
    <xf numFmtId="3" fontId="4" fillId="0" borderId="9" xfId="20" applyNumberFormat="1" applyFont="1" applyBorder="1">
      <alignment/>
      <protection/>
    </xf>
    <xf numFmtId="49" fontId="4" fillId="0" borderId="9" xfId="20" applyNumberFormat="1" applyFont="1" applyFill="1" applyBorder="1" applyAlignment="1">
      <alignment vertical="top" wrapText="1"/>
      <protection/>
    </xf>
    <xf numFmtId="49" fontId="5" fillId="0" borderId="9" xfId="20" applyNumberFormat="1" applyFont="1" applyFill="1" applyBorder="1" applyAlignment="1">
      <alignment vertical="top" wrapText="1"/>
      <protection/>
    </xf>
    <xf numFmtId="3" fontId="7" fillId="0" borderId="9" xfId="20" applyNumberFormat="1" applyFont="1" applyBorder="1" applyAlignment="1">
      <alignment horizontal="center"/>
      <protection/>
    </xf>
    <xf numFmtId="3" fontId="4" fillId="0" borderId="9" xfId="20" applyNumberFormat="1" applyFont="1" applyBorder="1" applyAlignment="1">
      <alignment wrapText="1"/>
      <protection/>
    </xf>
    <xf numFmtId="49" fontId="7" fillId="0" borderId="9" xfId="20" applyNumberFormat="1" applyFont="1" applyFill="1" applyBorder="1" applyAlignment="1">
      <alignment horizontal="center" vertical="top" wrapText="1"/>
      <protection/>
    </xf>
    <xf numFmtId="3" fontId="7" fillId="0" borderId="16" xfId="20" applyNumberFormat="1" applyFont="1" applyBorder="1" applyAlignment="1">
      <alignment horizontal="center"/>
      <protection/>
    </xf>
    <xf numFmtId="3" fontId="1" fillId="0" borderId="17" xfId="20" applyNumberFormat="1" applyFont="1" applyBorder="1">
      <alignment/>
      <protection/>
    </xf>
    <xf numFmtId="172" fontId="1" fillId="0" borderId="17" xfId="20" applyNumberFormat="1" applyFont="1" applyBorder="1">
      <alignment/>
      <protection/>
    </xf>
    <xf numFmtId="3" fontId="1" fillId="0" borderId="18" xfId="20" applyNumberFormat="1" applyFont="1" applyBorder="1">
      <alignment/>
      <protection/>
    </xf>
    <xf numFmtId="0" fontId="25" fillId="0" borderId="0" xfId="20" applyFont="1" applyBorder="1" applyAlignment="1">
      <alignment horizontal="left"/>
      <protection/>
    </xf>
    <xf numFmtId="3" fontId="1" fillId="0" borderId="0" xfId="20" applyNumberFormat="1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0" fontId="25" fillId="0" borderId="0" xfId="20" applyFont="1" applyAlignment="1">
      <alignment horizontal="left"/>
      <protection/>
    </xf>
    <xf numFmtId="0" fontId="25" fillId="0" borderId="0" xfId="20" applyFont="1" applyBorder="1" applyAlignment="1">
      <alignment horizontal="center"/>
      <protection/>
    </xf>
    <xf numFmtId="49" fontId="0" fillId="0" borderId="0" xfId="20" applyNumberFormat="1" applyFont="1" applyAlignment="1">
      <alignment vertical="top" wrapText="1"/>
      <protection/>
    </xf>
    <xf numFmtId="49" fontId="1" fillId="0" borderId="0" xfId="20" applyNumberFormat="1" applyFont="1" applyAlignment="1">
      <alignment vertical="top" wrapText="1"/>
      <protection/>
    </xf>
    <xf numFmtId="49" fontId="1" fillId="0" borderId="8" xfId="20" applyNumberFormat="1" applyFont="1" applyBorder="1" applyAlignment="1">
      <alignment horizontal="center"/>
      <protection/>
    </xf>
    <xf numFmtId="0" fontId="1" fillId="0" borderId="0" xfId="20" applyFont="1">
      <alignment/>
      <protection/>
    </xf>
    <xf numFmtId="49" fontId="1" fillId="0" borderId="0" xfId="20" applyNumberFormat="1" applyFont="1" applyAlignment="1">
      <alignment horizontal="left" vertical="top" wrapText="1"/>
      <protection/>
    </xf>
    <xf numFmtId="49" fontId="25" fillId="0" borderId="0" xfId="20" applyNumberFormat="1" applyFont="1" applyAlignment="1">
      <alignment horizontal="left" vertical="top" wrapText="1"/>
      <protection/>
    </xf>
    <xf numFmtId="0" fontId="4" fillId="0" borderId="0" xfId="20" applyFont="1" applyAlignment="1">
      <alignment horizontal="left"/>
      <protection/>
    </xf>
    <xf numFmtId="0" fontId="25" fillId="0" borderId="0" xfId="20" applyFont="1" applyAlignment="1">
      <alignment/>
      <protection/>
    </xf>
    <xf numFmtId="49" fontId="4" fillId="0" borderId="0" xfId="20" applyNumberFormat="1" applyFont="1" applyAlignment="1">
      <alignment vertical="top" wrapText="1"/>
      <protection/>
    </xf>
    <xf numFmtId="49" fontId="4" fillId="0" borderId="0" xfId="20" applyNumberFormat="1" applyFont="1" applyAlignment="1">
      <alignment horizontal="centerContinuous" vertical="top" wrapText="1"/>
      <protection/>
    </xf>
    <xf numFmtId="0" fontId="4" fillId="0" borderId="0" xfId="20" applyFont="1" applyAlignment="1">
      <alignment horizontal="centerContinuous"/>
      <protection/>
    </xf>
    <xf numFmtId="49" fontId="25" fillId="0" borderId="0" xfId="20" applyNumberFormat="1" applyFont="1" applyAlignment="1">
      <alignment horizontal="centerContinuous" vertical="top" wrapText="1"/>
      <protection/>
    </xf>
    <xf numFmtId="49" fontId="4" fillId="0" borderId="0" xfId="20" applyNumberFormat="1" applyFont="1" applyAlignment="1">
      <alignment horizontal="center" vertical="top" wrapText="1"/>
      <protection/>
    </xf>
    <xf numFmtId="0" fontId="4" fillId="0" borderId="0" xfId="20" applyFont="1" applyAlignment="1">
      <alignment/>
      <protection/>
    </xf>
    <xf numFmtId="49" fontId="4" fillId="0" borderId="5" xfId="20" applyNumberFormat="1" applyFont="1" applyFill="1" applyBorder="1" applyAlignment="1">
      <alignment horizontal="center" vertical="center" wrapText="1"/>
      <protection/>
    </xf>
    <xf numFmtId="49" fontId="4" fillId="0" borderId="6" xfId="20" applyNumberFormat="1" applyFont="1" applyFill="1" applyBorder="1" applyAlignment="1">
      <alignment horizontal="center" vertical="center" wrapText="1"/>
      <protection/>
    </xf>
    <xf numFmtId="49" fontId="5" fillId="0" borderId="9" xfId="20" applyNumberFormat="1" applyFont="1" applyFill="1" applyBorder="1" applyAlignment="1">
      <alignment horizontal="left" vertical="top" wrapText="1"/>
      <protection/>
    </xf>
    <xf numFmtId="0" fontId="1" fillId="0" borderId="10" xfId="20" applyFont="1" applyBorder="1">
      <alignment/>
      <protection/>
    </xf>
    <xf numFmtId="49" fontId="7" fillId="0" borderId="9" xfId="20" applyNumberFormat="1" applyFont="1" applyFill="1" applyBorder="1" applyAlignment="1">
      <alignment horizontal="center" vertical="top" wrapText="1"/>
      <protection/>
    </xf>
    <xf numFmtId="49" fontId="4" fillId="0" borderId="9" xfId="20" applyNumberFormat="1" applyFont="1" applyFill="1" applyBorder="1" applyAlignment="1">
      <alignment horizontal="left" vertical="top" wrapText="1"/>
      <protection/>
    </xf>
    <xf numFmtId="3" fontId="1" fillId="0" borderId="15" xfId="20" applyNumberFormat="1" applyFont="1" applyBorder="1">
      <alignment/>
      <protection/>
    </xf>
    <xf numFmtId="49" fontId="4" fillId="0" borderId="19" xfId="20" applyNumberFormat="1" applyFont="1" applyFill="1" applyBorder="1" applyAlignment="1">
      <alignment vertical="top" wrapText="1"/>
      <protection/>
    </xf>
    <xf numFmtId="49" fontId="4" fillId="0" borderId="16" xfId="20" applyNumberFormat="1" applyFont="1" applyFill="1" applyBorder="1" applyAlignment="1">
      <alignment horizontal="left" vertical="top" wrapText="1"/>
      <protection/>
    </xf>
    <xf numFmtId="0" fontId="1" fillId="0" borderId="20" xfId="20" applyFont="1" applyBorder="1" applyAlignment="1">
      <alignment horizontal="left"/>
      <protection/>
    </xf>
    <xf numFmtId="4" fontId="1" fillId="0" borderId="17" xfId="20" applyNumberFormat="1" applyFont="1" applyBorder="1">
      <alignment/>
      <protection/>
    </xf>
    <xf numFmtId="4" fontId="1" fillId="0" borderId="18" xfId="20" applyNumberFormat="1" applyFont="1" applyBorder="1">
      <alignment/>
      <protection/>
    </xf>
    <xf numFmtId="49" fontId="4" fillId="0" borderId="0" xfId="20" applyNumberFormat="1" applyFont="1" applyFill="1" applyBorder="1" applyAlignment="1">
      <alignment horizontal="left" vertical="top" wrapText="1"/>
      <protection/>
    </xf>
    <xf numFmtId="3" fontId="1" fillId="0" borderId="0" xfId="20" applyNumberFormat="1" applyFont="1" applyBorder="1">
      <alignment/>
      <protection/>
    </xf>
    <xf numFmtId="49" fontId="1" fillId="0" borderId="0" xfId="20" applyNumberFormat="1" applyFont="1" applyAlignment="1">
      <alignment horizontal="center" vertical="top" wrapText="1"/>
      <protection/>
    </xf>
    <xf numFmtId="49" fontId="1" fillId="0" borderId="0" xfId="20" applyNumberFormat="1" applyFont="1" applyFill="1" applyBorder="1" applyAlignment="1">
      <alignment vertical="top" wrapText="1"/>
      <protection/>
    </xf>
    <xf numFmtId="49" fontId="1" fillId="0" borderId="0" xfId="20" applyNumberFormat="1" applyFont="1" applyFill="1" applyBorder="1" applyAlignment="1">
      <alignment horizontal="center" vertical="top" wrapText="1"/>
      <protection/>
    </xf>
    <xf numFmtId="0" fontId="1" fillId="0" borderId="0" xfId="20" applyFont="1" applyAlignment="1">
      <alignment/>
      <protection/>
    </xf>
    <xf numFmtId="49" fontId="25" fillId="0" borderId="0" xfId="20" applyNumberFormat="1" applyFont="1" applyAlignment="1">
      <alignment horizontal="center" vertical="top" wrapText="1"/>
      <protection/>
    </xf>
    <xf numFmtId="49" fontId="0" fillId="0" borderId="0" xfId="20" applyNumberFormat="1" applyFont="1" applyAlignment="1">
      <alignment horizontal="right" vertical="top" wrapText="1"/>
      <protection/>
    </xf>
    <xf numFmtId="49" fontId="22" fillId="0" borderId="0" xfId="20" applyNumberFormat="1" applyFont="1" applyAlignment="1">
      <alignment horizontal="centerContinuous" vertical="top" wrapText="1"/>
      <protection/>
    </xf>
    <xf numFmtId="49" fontId="7" fillId="0" borderId="9" xfId="20" applyNumberFormat="1" applyFont="1" applyFill="1" applyBorder="1" applyAlignment="1">
      <alignment horizontal="left" vertical="top" wrapText="1"/>
      <protection/>
    </xf>
    <xf numFmtId="49" fontId="9" fillId="0" borderId="9" xfId="20" applyNumberFormat="1" applyFont="1" applyFill="1" applyBorder="1" applyAlignment="1">
      <alignment horizontal="left" vertical="top" wrapText="1"/>
      <protection/>
    </xf>
    <xf numFmtId="49" fontId="5" fillId="0" borderId="12" xfId="20" applyNumberFormat="1" applyFont="1" applyFill="1" applyBorder="1" applyAlignment="1">
      <alignment horizontal="left" vertical="top" wrapText="1"/>
      <protection/>
    </xf>
    <xf numFmtId="3" fontId="25" fillId="0" borderId="0" xfId="20" applyNumberFormat="1" applyFont="1" applyAlignment="1">
      <alignment horizontal="left"/>
      <protection/>
    </xf>
    <xf numFmtId="3" fontId="1" fillId="0" borderId="4" xfId="20" applyNumberFormat="1" applyFont="1" applyBorder="1">
      <alignment/>
      <protection/>
    </xf>
    <xf numFmtId="49" fontId="4" fillId="0" borderId="19" xfId="20" applyNumberFormat="1" applyFont="1" applyFill="1" applyBorder="1" applyAlignment="1">
      <alignment horizontal="left" vertical="top" wrapText="1"/>
      <protection/>
    </xf>
    <xf numFmtId="49" fontId="5" fillId="0" borderId="21" xfId="20" applyNumberFormat="1" applyFont="1" applyFill="1" applyBorder="1" applyAlignment="1">
      <alignment horizontal="left" vertical="top" wrapText="1"/>
      <protection/>
    </xf>
    <xf numFmtId="3" fontId="1" fillId="0" borderId="22" xfId="20" applyNumberFormat="1" applyFont="1" applyBorder="1">
      <alignment/>
      <protection/>
    </xf>
    <xf numFmtId="172" fontId="1" fillId="0" borderId="20" xfId="20" applyNumberFormat="1" applyFont="1" applyBorder="1">
      <alignment/>
      <protection/>
    </xf>
    <xf numFmtId="49" fontId="4" fillId="0" borderId="0" xfId="20" applyNumberFormat="1" applyFont="1" applyAlignment="1">
      <alignment horizontal="left" vertical="top" wrapText="1"/>
      <protection/>
    </xf>
    <xf numFmtId="0" fontId="4" fillId="0" borderId="9" xfId="20" applyFont="1" applyBorder="1" applyAlignment="1">
      <alignment horizontal="center"/>
      <protection/>
    </xf>
    <xf numFmtId="3" fontId="4" fillId="0" borderId="1" xfId="20" applyNumberFormat="1" applyFont="1" applyBorder="1" applyAlignment="1">
      <alignment horizontal="center"/>
      <protection/>
    </xf>
    <xf numFmtId="0" fontId="4" fillId="0" borderId="1" xfId="20" applyNumberFormat="1" applyFont="1" applyBorder="1" applyAlignment="1">
      <alignment horizontal="center"/>
      <protection/>
    </xf>
    <xf numFmtId="0" fontId="4" fillId="0" borderId="10" xfId="20" applyNumberFormat="1" applyFont="1" applyBorder="1" applyAlignment="1">
      <alignment horizontal="center"/>
      <protection/>
    </xf>
    <xf numFmtId="0" fontId="5" fillId="0" borderId="9" xfId="20" applyFont="1" applyBorder="1" applyAlignment="1">
      <alignment horizontal="left" vertical="top" wrapText="1"/>
      <protection/>
    </xf>
    <xf numFmtId="0" fontId="4" fillId="0" borderId="9" xfId="20" applyFont="1" applyBorder="1" applyAlignment="1">
      <alignment vertical="top" wrapText="1"/>
      <protection/>
    </xf>
    <xf numFmtId="0" fontId="5" fillId="0" borderId="9" xfId="20" applyFont="1" applyBorder="1" applyAlignment="1">
      <alignment vertical="top" wrapText="1"/>
      <protection/>
    </xf>
    <xf numFmtId="0" fontId="5" fillId="0" borderId="16" xfId="20" applyFont="1" applyBorder="1" applyAlignment="1">
      <alignment vertical="top" wrapText="1"/>
      <protection/>
    </xf>
    <xf numFmtId="0" fontId="5" fillId="0" borderId="0" xfId="20" applyFont="1" applyBorder="1" applyAlignment="1">
      <alignment vertical="top" wrapText="1"/>
      <protection/>
    </xf>
    <xf numFmtId="2" fontId="1" fillId="0" borderId="0" xfId="20" applyNumberFormat="1" applyFont="1" applyBorder="1">
      <alignment/>
      <protection/>
    </xf>
    <xf numFmtId="49" fontId="1" fillId="0" borderId="0" xfId="20" applyNumberFormat="1" applyFont="1" applyBorder="1">
      <alignment/>
      <protection/>
    </xf>
    <xf numFmtId="49" fontId="4" fillId="0" borderId="13" xfId="20" applyNumberFormat="1" applyFont="1" applyFill="1" applyBorder="1" applyAlignment="1">
      <alignment horizontal="left" vertical="top" wrapText="1"/>
      <protection/>
    </xf>
    <xf numFmtId="3" fontId="1" fillId="0" borderId="9" xfId="20" applyNumberFormat="1" applyFont="1" applyBorder="1">
      <alignment/>
      <protection/>
    </xf>
    <xf numFmtId="49" fontId="5" fillId="0" borderId="16" xfId="20" applyNumberFormat="1" applyFont="1" applyFill="1" applyBorder="1" applyAlignment="1">
      <alignment horizontal="left" vertical="top" wrapText="1"/>
      <protection/>
    </xf>
    <xf numFmtId="3" fontId="1" fillId="0" borderId="20" xfId="20" applyNumberFormat="1" applyFont="1" applyBorder="1">
      <alignment/>
      <protection/>
    </xf>
    <xf numFmtId="166" fontId="1" fillId="0" borderId="22" xfId="20" applyNumberFormat="1" applyFont="1" applyBorder="1">
      <alignment/>
      <protection/>
    </xf>
    <xf numFmtId="4" fontId="1" fillId="0" borderId="0" xfId="20" applyNumberFormat="1" applyFont="1" applyBorder="1">
      <alignment/>
      <protection/>
    </xf>
    <xf numFmtId="0" fontId="25" fillId="0" borderId="8" xfId="20" applyFont="1" applyBorder="1">
      <alignment/>
      <protection/>
    </xf>
    <xf numFmtId="0" fontId="1" fillId="0" borderId="0" xfId="20" applyFont="1" applyBorder="1" applyAlignment="1">
      <alignment/>
      <protection/>
    </xf>
    <xf numFmtId="49" fontId="1" fillId="0" borderId="0" xfId="20" applyNumberFormat="1" applyFont="1">
      <alignment/>
      <protection/>
    </xf>
    <xf numFmtId="0" fontId="1" fillId="0" borderId="8" xfId="20" applyFont="1" applyBorder="1" applyAlignment="1">
      <alignment/>
      <protection/>
    </xf>
    <xf numFmtId="0" fontId="0" fillId="0" borderId="0" xfId="20" applyFont="1" applyAlignment="1">
      <alignment/>
      <protection/>
    </xf>
    <xf numFmtId="49" fontId="0" fillId="0" borderId="0" xfId="20" applyNumberFormat="1" applyFont="1" applyAlignment="1">
      <alignment horizontal="center" vertical="top" wrapText="1"/>
      <protection/>
    </xf>
    <xf numFmtId="0" fontId="1" fillId="0" borderId="0" xfId="20" applyFont="1" applyAlignment="1">
      <alignment horizontal="centerContinuous"/>
      <protection/>
    </xf>
    <xf numFmtId="0" fontId="2" fillId="0" borderId="0" xfId="20" applyFont="1" applyAlignment="1">
      <alignment horizontal="centerContinuous" wrapText="1"/>
      <protection/>
    </xf>
    <xf numFmtId="0" fontId="26" fillId="0" borderId="0" xfId="20" applyFont="1" applyAlignment="1">
      <alignment horizontal="centerContinuous"/>
      <protection/>
    </xf>
    <xf numFmtId="0" fontId="2" fillId="0" borderId="0" xfId="20" applyFont="1">
      <alignment/>
      <protection/>
    </xf>
    <xf numFmtId="0" fontId="7" fillId="0" borderId="0" xfId="20" applyFont="1" applyAlignment="1">
      <alignment horizontal="centerContinuous" wrapText="1"/>
      <protection/>
    </xf>
    <xf numFmtId="0" fontId="0" fillId="0" borderId="23" xfId="20" applyFont="1" applyBorder="1" applyAlignment="1">
      <alignment wrapText="1"/>
      <protection/>
    </xf>
    <xf numFmtId="0" fontId="4" fillId="0" borderId="24" xfId="20" applyFont="1" applyBorder="1" applyAlignment="1">
      <alignment horizontal="centerContinuous"/>
      <protection/>
    </xf>
    <xf numFmtId="0" fontId="4" fillId="0" borderId="25" xfId="20" applyFont="1" applyBorder="1" applyAlignment="1">
      <alignment horizontal="centerContinuous"/>
      <protection/>
    </xf>
    <xf numFmtId="0" fontId="0" fillId="0" borderId="26" xfId="20" applyFont="1" applyBorder="1" applyAlignment="1">
      <alignment/>
      <protection/>
    </xf>
    <xf numFmtId="0" fontId="4" fillId="0" borderId="25" xfId="20" applyFont="1" applyBorder="1" applyAlignment="1">
      <alignment horizontal="centerContinuous" vertical="center"/>
      <protection/>
    </xf>
    <xf numFmtId="0" fontId="4" fillId="0" borderId="24" xfId="20" applyFont="1" applyBorder="1" applyAlignment="1">
      <alignment horizontal="centerContinuous" vertical="center" wrapText="1"/>
      <protection/>
    </xf>
    <xf numFmtId="0" fontId="0" fillId="0" borderId="24" xfId="20" applyFont="1" applyBorder="1" applyAlignment="1">
      <alignment horizontal="centerContinuous"/>
      <protection/>
    </xf>
    <xf numFmtId="0" fontId="0" fillId="0" borderId="27" xfId="20" applyFont="1" applyBorder="1" applyAlignment="1">
      <alignment horizontal="center"/>
      <protection/>
    </xf>
    <xf numFmtId="0" fontId="4" fillId="0" borderId="14" xfId="20" applyFont="1" applyBorder="1" applyAlignment="1">
      <alignment wrapText="1"/>
      <protection/>
    </xf>
    <xf numFmtId="0" fontId="4" fillId="0" borderId="28" xfId="20" applyFont="1" applyBorder="1" applyAlignment="1">
      <alignment/>
      <protection/>
    </xf>
    <xf numFmtId="0" fontId="4" fillId="0" borderId="3" xfId="20" applyFont="1" applyBorder="1" applyAlignment="1">
      <alignment horizontal="centerContinuous"/>
      <protection/>
    </xf>
    <xf numFmtId="0" fontId="4" fillId="0" borderId="29" xfId="20" applyFont="1" applyBorder="1" applyAlignment="1">
      <alignment horizontal="center"/>
      <protection/>
    </xf>
    <xf numFmtId="49" fontId="4" fillId="0" borderId="14" xfId="20" applyNumberFormat="1" applyFont="1" applyBorder="1" applyAlignment="1">
      <alignment horizontal="center" vertical="top" wrapText="1"/>
      <protection/>
    </xf>
    <xf numFmtId="49" fontId="4" fillId="0" borderId="30" xfId="20" applyNumberFormat="1" applyFont="1" applyBorder="1" applyAlignment="1">
      <alignment horizontal="center" vertical="center" wrapText="1"/>
      <protection/>
    </xf>
    <xf numFmtId="49" fontId="4" fillId="0" borderId="0" xfId="20" applyNumberFormat="1" applyFont="1" applyAlignment="1">
      <alignment horizontal="center" vertical="center" wrapText="1"/>
      <protection/>
    </xf>
    <xf numFmtId="49" fontId="4" fillId="0" borderId="28" xfId="20" applyNumberFormat="1" applyFont="1" applyBorder="1" applyAlignment="1">
      <alignment horizontal="center" vertical="center" wrapText="1"/>
      <protection/>
    </xf>
    <xf numFmtId="0" fontId="4" fillId="0" borderId="28" xfId="20" applyFont="1" applyBorder="1" applyAlignment="1">
      <alignment horizontal="center" vertical="center" wrapText="1"/>
      <protection/>
    </xf>
    <xf numFmtId="49" fontId="4" fillId="0" borderId="29" xfId="20" applyNumberFormat="1" applyFont="1" applyBorder="1" applyAlignment="1">
      <alignment horizontal="center" vertical="center" wrapText="1"/>
      <protection/>
    </xf>
    <xf numFmtId="49" fontId="4" fillId="0" borderId="0" xfId="20" applyNumberFormat="1" applyFont="1">
      <alignment/>
      <protection/>
    </xf>
    <xf numFmtId="0" fontId="4" fillId="0" borderId="9" xfId="20" applyFont="1" applyBorder="1" applyAlignment="1">
      <alignment horizontal="center" wrapText="1"/>
      <protection/>
    </xf>
    <xf numFmtId="0" fontId="4" fillId="0" borderId="1" xfId="20" applyFont="1" applyBorder="1" applyAlignment="1">
      <alignment horizontal="center"/>
      <protection/>
    </xf>
    <xf numFmtId="0" fontId="4" fillId="0" borderId="10" xfId="20" applyFont="1" applyBorder="1" applyAlignment="1">
      <alignment horizontal="center"/>
      <protection/>
    </xf>
    <xf numFmtId="3" fontId="5" fillId="0" borderId="31" xfId="20" applyNumberFormat="1" applyFont="1" applyBorder="1">
      <alignment/>
      <protection/>
    </xf>
    <xf numFmtId="201" fontId="25" fillId="0" borderId="1" xfId="20" applyNumberFormat="1" applyFont="1" applyBorder="1">
      <alignment/>
      <protection/>
    </xf>
    <xf numFmtId="201" fontId="25" fillId="0" borderId="10" xfId="20" applyNumberFormat="1" applyFont="1" applyBorder="1">
      <alignment/>
      <protection/>
    </xf>
    <xf numFmtId="212" fontId="1" fillId="0" borderId="1" xfId="20" applyNumberFormat="1" applyFont="1" applyBorder="1">
      <alignment/>
      <protection/>
    </xf>
    <xf numFmtId="212" fontId="1" fillId="0" borderId="10" xfId="20" applyNumberFormat="1" applyFont="1" applyBorder="1">
      <alignment/>
      <protection/>
    </xf>
    <xf numFmtId="3" fontId="4" fillId="0" borderId="31" xfId="20" applyNumberFormat="1" applyFont="1" applyBorder="1">
      <alignment/>
      <protection/>
    </xf>
    <xf numFmtId="0" fontId="5" fillId="0" borderId="0" xfId="20" applyFont="1">
      <alignment/>
      <protection/>
    </xf>
    <xf numFmtId="0" fontId="5" fillId="0" borderId="32" xfId="20" applyFont="1" applyBorder="1" applyAlignment="1">
      <alignment horizontal="right" wrapText="1"/>
      <protection/>
    </xf>
    <xf numFmtId="212" fontId="1" fillId="0" borderId="17" xfId="20" applyNumberFormat="1" applyFont="1" applyBorder="1">
      <alignment/>
      <protection/>
    </xf>
    <xf numFmtId="212" fontId="1" fillId="0" borderId="18" xfId="20" applyNumberFormat="1" applyFont="1" applyBorder="1">
      <alignment/>
      <protection/>
    </xf>
    <xf numFmtId="0" fontId="4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49" fontId="1" fillId="0" borderId="0" xfId="20" applyNumberFormat="1" applyFont="1" applyBorder="1" applyAlignment="1">
      <alignment/>
      <protection/>
    </xf>
    <xf numFmtId="49" fontId="1" fillId="0" borderId="0" xfId="20" applyNumberFormat="1" applyFont="1" applyBorder="1" applyAlignment="1">
      <alignment horizontal="center" vertical="top" wrapText="1"/>
      <protection/>
    </xf>
    <xf numFmtId="0" fontId="1" fillId="0" borderId="0" xfId="20" applyFont="1" applyBorder="1" applyAlignment="1">
      <alignment horizontal="center"/>
      <protection/>
    </xf>
    <xf numFmtId="0" fontId="25" fillId="0" borderId="0" xfId="20" applyFont="1" applyBorder="1" applyAlignment="1">
      <alignment wrapText="1"/>
      <protection/>
    </xf>
    <xf numFmtId="0" fontId="25" fillId="0" borderId="0" xfId="20" applyFont="1" applyBorder="1">
      <alignment/>
      <protection/>
    </xf>
    <xf numFmtId="0" fontId="1" fillId="0" borderId="0" xfId="20" applyFont="1" applyBorder="1" applyAlignment="1">
      <alignment horizontal="left"/>
      <protection/>
    </xf>
    <xf numFmtId="0" fontId="2" fillId="0" borderId="0" xfId="20" applyFont="1" applyAlignment="1">
      <alignment/>
      <protection/>
    </xf>
    <xf numFmtId="0" fontId="5" fillId="0" borderId="0" xfId="20" applyFont="1" applyAlignment="1">
      <alignment horizontal="centerContinuous" wrapText="1"/>
      <protection/>
    </xf>
    <xf numFmtId="0" fontId="0" fillId="0" borderId="33" xfId="20" applyFont="1" applyBorder="1" applyAlignment="1">
      <alignment horizontal="center" vertical="top" wrapText="1"/>
      <protection/>
    </xf>
    <xf numFmtId="0" fontId="0" fillId="0" borderId="26" xfId="20" applyFont="1" applyBorder="1" applyAlignment="1">
      <alignment horizontal="center" vertical="top"/>
      <protection/>
    </xf>
    <xf numFmtId="0" fontId="0" fillId="0" borderId="26" xfId="20" applyFont="1" applyBorder="1" applyAlignment="1">
      <alignment horizontal="centerContinuous"/>
      <protection/>
    </xf>
    <xf numFmtId="0" fontId="0" fillId="0" borderId="25" xfId="20" applyFont="1" applyBorder="1" applyAlignment="1">
      <alignment horizontal="centerContinuous" vertical="center"/>
      <protection/>
    </xf>
    <xf numFmtId="0" fontId="0" fillId="0" borderId="24" xfId="20" applyFont="1" applyBorder="1" applyAlignment="1">
      <alignment horizontal="centerContinuous" vertical="center" wrapText="1"/>
      <protection/>
    </xf>
    <xf numFmtId="0" fontId="0" fillId="0" borderId="27" xfId="20" applyFont="1" applyBorder="1" applyAlignment="1">
      <alignment horizontal="center" vertical="top" wrapText="1"/>
      <protection/>
    </xf>
    <xf numFmtId="0" fontId="4" fillId="0" borderId="34" xfId="20" applyFont="1" applyBorder="1" applyAlignment="1">
      <alignment horizontal="center" vertical="top" wrapText="1"/>
      <protection/>
    </xf>
    <xf numFmtId="0" fontId="4" fillId="0" borderId="28" xfId="20" applyFont="1" applyBorder="1" applyAlignment="1">
      <alignment horizontal="center" vertical="top"/>
      <protection/>
    </xf>
    <xf numFmtId="0" fontId="4" fillId="0" borderId="4" xfId="20" applyFont="1" applyBorder="1" applyAlignment="1">
      <alignment horizontal="centerContinuous"/>
      <protection/>
    </xf>
    <xf numFmtId="0" fontId="4" fillId="0" borderId="15" xfId="20" applyFont="1" applyBorder="1" applyAlignment="1">
      <alignment horizontal="centerContinuous"/>
      <protection/>
    </xf>
    <xf numFmtId="0" fontId="4" fillId="0" borderId="29" xfId="20" applyFont="1" applyBorder="1" applyAlignment="1">
      <alignment/>
      <protection/>
    </xf>
    <xf numFmtId="0" fontId="4" fillId="0" borderId="28" xfId="20" applyFont="1" applyBorder="1" applyAlignment="1">
      <alignment horizontal="center" vertical="top" wrapText="1"/>
      <protection/>
    </xf>
    <xf numFmtId="0" fontId="4" fillId="0" borderId="29" xfId="20" applyFont="1" applyBorder="1" applyAlignment="1">
      <alignment horizontal="center" vertical="top" wrapText="1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10" xfId="20" applyFont="1" applyBorder="1" applyAlignment="1">
      <alignment horizontal="center" vertical="center"/>
      <protection/>
    </xf>
    <xf numFmtId="0" fontId="4" fillId="0" borderId="9" xfId="20" applyFont="1" applyBorder="1" applyAlignment="1">
      <alignment wrapText="1"/>
      <protection/>
    </xf>
    <xf numFmtId="0" fontId="25" fillId="0" borderId="34" xfId="20" applyFont="1" applyBorder="1">
      <alignment/>
      <protection/>
    </xf>
    <xf numFmtId="0" fontId="5" fillId="0" borderId="9" xfId="20" applyFont="1" applyBorder="1" applyAlignment="1">
      <alignment horizontal="right" wrapText="1"/>
      <protection/>
    </xf>
    <xf numFmtId="3" fontId="26" fillId="0" borderId="0" xfId="20" applyNumberFormat="1" applyFont="1">
      <alignment/>
      <protection/>
    </xf>
    <xf numFmtId="0" fontId="26" fillId="0" borderId="0" xfId="20" applyFont="1">
      <alignment/>
      <protection/>
    </xf>
    <xf numFmtId="0" fontId="5" fillId="0" borderId="16" xfId="20" applyFont="1" applyBorder="1" applyAlignment="1">
      <alignment horizontal="right" wrapText="1"/>
      <protection/>
    </xf>
    <xf numFmtId="0" fontId="5" fillId="0" borderId="0" xfId="20" applyFont="1" applyBorder="1" applyAlignment="1">
      <alignment horizontal="right" wrapText="1"/>
      <protection/>
    </xf>
    <xf numFmtId="212" fontId="1" fillId="0" borderId="0" xfId="20" applyNumberFormat="1" applyFont="1" applyBorder="1">
      <alignment/>
      <protection/>
    </xf>
    <xf numFmtId="0" fontId="1" fillId="0" borderId="0" xfId="20" applyFont="1" applyAlignment="1">
      <alignment wrapText="1"/>
      <protection/>
    </xf>
    <xf numFmtId="49" fontId="4" fillId="0" borderId="0" xfId="20" applyNumberFormat="1" applyFont="1" applyBorder="1" applyAlignment="1">
      <alignment vertical="top" wrapText="1"/>
      <protection/>
    </xf>
    <xf numFmtId="49" fontId="4" fillId="0" borderId="0" xfId="20" applyNumberFormat="1" applyFont="1" applyBorder="1" applyAlignment="1">
      <alignment horizontal="center" vertical="top" wrapText="1"/>
      <protection/>
    </xf>
    <xf numFmtId="0" fontId="4" fillId="0" borderId="0" xfId="20" applyFont="1" applyBorder="1" applyAlignment="1">
      <alignment horizontal="center"/>
      <protection/>
    </xf>
    <xf numFmtId="0" fontId="4" fillId="0" borderId="0" xfId="20" applyFont="1" applyBorder="1">
      <alignment/>
      <protection/>
    </xf>
    <xf numFmtId="49" fontId="0" fillId="0" borderId="0" xfId="20" applyNumberFormat="1" applyFont="1" applyBorder="1" applyAlignment="1">
      <alignment horizontal="center" vertical="top" wrapText="1"/>
      <protection/>
    </xf>
    <xf numFmtId="0" fontId="0" fillId="0" borderId="0" xfId="20" applyFont="1" applyBorder="1">
      <alignment/>
      <protection/>
    </xf>
    <xf numFmtId="3" fontId="25" fillId="0" borderId="0" xfId="20" applyNumberFormat="1" applyFont="1" applyBorder="1">
      <alignment/>
      <protection/>
    </xf>
    <xf numFmtId="0" fontId="2" fillId="0" borderId="0" xfId="20" applyFont="1" applyAlignment="1">
      <alignment horizontal="center"/>
      <protection/>
    </xf>
    <xf numFmtId="0" fontId="1" fillId="0" borderId="8" xfId="20" applyFont="1" applyBorder="1">
      <alignment/>
      <protection/>
    </xf>
    <xf numFmtId="0" fontId="4" fillId="0" borderId="8" xfId="20" applyFont="1" applyBorder="1" applyAlignment="1">
      <alignment horizontal="right"/>
      <protection/>
    </xf>
    <xf numFmtId="0" fontId="0" fillId="0" borderId="5" xfId="20" applyFont="1" applyBorder="1" applyAlignment="1">
      <alignment horizontal="center" wrapText="1"/>
      <protection/>
    </xf>
    <xf numFmtId="3" fontId="1" fillId="0" borderId="7" xfId="20" applyNumberFormat="1" applyFont="1" applyBorder="1" applyAlignment="1">
      <alignment horizontal="center"/>
      <protection/>
    </xf>
    <xf numFmtId="0" fontId="0" fillId="0" borderId="9" xfId="20" applyFont="1" applyBorder="1" applyAlignment="1">
      <alignment horizontal="center" wrapText="1"/>
      <protection/>
    </xf>
    <xf numFmtId="3" fontId="1" fillId="0" borderId="10" xfId="20" applyNumberFormat="1" applyFont="1" applyBorder="1" applyAlignment="1">
      <alignment horizontal="center"/>
      <protection/>
    </xf>
    <xf numFmtId="0" fontId="1" fillId="0" borderId="1" xfId="20" applyFont="1" applyBorder="1">
      <alignment/>
      <protection/>
    </xf>
    <xf numFmtId="3" fontId="6" fillId="0" borderId="10" xfId="20" applyNumberFormat="1" applyFont="1" applyBorder="1" applyAlignment="1">
      <alignment horizontal="right"/>
      <protection/>
    </xf>
    <xf numFmtId="3" fontId="1" fillId="0" borderId="10" xfId="20" applyNumberFormat="1" applyFont="1" applyBorder="1" applyAlignment="1">
      <alignment horizontal="right"/>
      <protection/>
    </xf>
    <xf numFmtId="0" fontId="0" fillId="0" borderId="12" xfId="20" applyFont="1" applyBorder="1" applyAlignment="1">
      <alignment wrapText="1"/>
      <protection/>
    </xf>
    <xf numFmtId="3" fontId="1" fillId="0" borderId="35" xfId="20" applyNumberFormat="1" applyFont="1" applyBorder="1" applyAlignment="1">
      <alignment horizontal="right"/>
      <protection/>
    </xf>
    <xf numFmtId="0" fontId="0" fillId="0" borderId="13" xfId="20" applyFont="1" applyBorder="1" applyAlignment="1">
      <alignment wrapText="1"/>
      <protection/>
    </xf>
    <xf numFmtId="3" fontId="1" fillId="0" borderId="36" xfId="20" applyNumberFormat="1" applyFont="1" applyBorder="1" applyAlignment="1">
      <alignment horizontal="right"/>
      <protection/>
    </xf>
    <xf numFmtId="0" fontId="5" fillId="0" borderId="9" xfId="20" applyFont="1" applyBorder="1" applyAlignment="1">
      <alignment horizontal="left"/>
      <protection/>
    </xf>
    <xf numFmtId="0" fontId="5" fillId="0" borderId="16" xfId="20" applyFont="1" applyBorder="1" applyAlignment="1">
      <alignment horizontal="left"/>
      <protection/>
    </xf>
    <xf numFmtId="3" fontId="6" fillId="0" borderId="18" xfId="20" applyNumberFormat="1" applyFont="1" applyBorder="1" applyAlignment="1">
      <alignment horizontal="right"/>
      <protection/>
    </xf>
    <xf numFmtId="0" fontId="3" fillId="0" borderId="0" xfId="20" applyFont="1">
      <alignment/>
      <protection/>
    </xf>
    <xf numFmtId="3" fontId="1" fillId="0" borderId="0" xfId="20" applyNumberFormat="1" applyFont="1">
      <alignment/>
      <protection/>
    </xf>
    <xf numFmtId="0" fontId="0" fillId="0" borderId="0" xfId="20" applyFont="1" applyAlignment="1">
      <alignment horizontal="center"/>
      <protection/>
    </xf>
    <xf numFmtId="0" fontId="4" fillId="0" borderId="3" xfId="20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Continuous" vertical="center" wrapText="1"/>
      <protection/>
    </xf>
    <xf numFmtId="0" fontId="25" fillId="0" borderId="3" xfId="20" applyFont="1" applyBorder="1" applyAlignment="1">
      <alignment horizontal="centerContinuous"/>
      <protection/>
    </xf>
    <xf numFmtId="164" fontId="4" fillId="0" borderId="9" xfId="20" applyNumberFormat="1" applyFont="1" applyBorder="1" applyAlignment="1">
      <alignment horizontal="center"/>
      <protection/>
    </xf>
    <xf numFmtId="164" fontId="4" fillId="0" borderId="1" xfId="20" applyNumberFormat="1" applyFont="1" applyBorder="1" applyAlignment="1">
      <alignment horizontal="center"/>
      <protection/>
    </xf>
    <xf numFmtId="164" fontId="4" fillId="0" borderId="10" xfId="20" applyNumberFormat="1" applyFont="1" applyBorder="1" applyAlignment="1">
      <alignment horizontal="center"/>
      <protection/>
    </xf>
    <xf numFmtId="3" fontId="1" fillId="0" borderId="1" xfId="20" applyNumberFormat="1" applyFont="1" applyBorder="1" applyAlignment="1">
      <alignment horizontal="right"/>
      <protection/>
    </xf>
    <xf numFmtId="0" fontId="4" fillId="0" borderId="16" xfId="20" applyFont="1" applyBorder="1" applyAlignment="1">
      <alignment wrapText="1"/>
      <protection/>
    </xf>
    <xf numFmtId="3" fontId="1" fillId="0" borderId="17" xfId="20" applyNumberFormat="1" applyFont="1" applyBorder="1" applyAlignment="1">
      <alignment horizontal="right"/>
      <protection/>
    </xf>
    <xf numFmtId="3" fontId="1" fillId="0" borderId="18" xfId="20" applyNumberFormat="1" applyFont="1" applyBorder="1" applyAlignment="1">
      <alignment horizontal="right"/>
      <protection/>
    </xf>
    <xf numFmtId="0" fontId="5" fillId="0" borderId="21" xfId="20" applyFont="1" applyBorder="1" applyAlignment="1">
      <alignment horizontal="right" wrapText="1"/>
      <protection/>
    </xf>
    <xf numFmtId="3" fontId="1" fillId="0" borderId="20" xfId="20" applyNumberFormat="1" applyFont="1" applyBorder="1" applyAlignment="1">
      <alignment horizontal="right"/>
      <protection/>
    </xf>
    <xf numFmtId="3" fontId="1" fillId="0" borderId="37" xfId="20" applyNumberFormat="1" applyFont="1" applyBorder="1" applyAlignment="1">
      <alignment horizontal="right"/>
      <protection/>
    </xf>
    <xf numFmtId="4" fontId="6" fillId="0" borderId="0" xfId="20" applyNumberFormat="1" applyFont="1" applyBorder="1">
      <alignment/>
      <protection/>
    </xf>
    <xf numFmtId="3" fontId="1" fillId="0" borderId="0" xfId="20" applyNumberFormat="1" applyFont="1" applyBorder="1" applyAlignment="1">
      <alignment horizontal="right"/>
      <protection/>
    </xf>
    <xf numFmtId="3" fontId="6" fillId="0" borderId="0" xfId="20" applyNumberFormat="1" applyFont="1" applyBorder="1" applyAlignment="1">
      <alignment horizontal="right"/>
      <protection/>
    </xf>
    <xf numFmtId="4" fontId="5" fillId="0" borderId="0" xfId="20" applyNumberFormat="1" applyFont="1" applyBorder="1">
      <alignment/>
      <protection/>
    </xf>
    <xf numFmtId="210" fontId="5" fillId="0" borderId="0" xfId="20" applyNumberFormat="1" applyFont="1" applyBorder="1">
      <alignment/>
      <protection/>
    </xf>
    <xf numFmtId="211" fontId="5" fillId="0" borderId="0" xfId="20" applyNumberFormat="1" applyFont="1" applyBorder="1">
      <alignment/>
      <protection/>
    </xf>
    <xf numFmtId="164" fontId="5" fillId="0" borderId="0" xfId="20" applyNumberFormat="1" applyFont="1" applyBorder="1">
      <alignment/>
      <protection/>
    </xf>
    <xf numFmtId="211" fontId="1" fillId="0" borderId="0" xfId="20" applyNumberFormat="1" applyFont="1" applyBorder="1">
      <alignment/>
      <protection/>
    </xf>
    <xf numFmtId="164" fontId="1" fillId="0" borderId="0" xfId="20" applyNumberFormat="1" applyFont="1" applyBorder="1">
      <alignment/>
      <protection/>
    </xf>
    <xf numFmtId="4" fontId="6" fillId="0" borderId="0" xfId="20" applyNumberFormat="1" applyFont="1">
      <alignment/>
      <protection/>
    </xf>
    <xf numFmtId="164" fontId="1" fillId="0" borderId="0" xfId="20" applyNumberFormat="1" applyFont="1">
      <alignment/>
      <protection/>
    </xf>
    <xf numFmtId="0" fontId="25" fillId="0" borderId="0" xfId="20" applyFont="1" applyAlignment="1">
      <alignment horizontal="right"/>
      <protection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Pasv_11_2000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externalLink" Target="externalLinks/externalLink5.xml" /><Relationship Id="rId32" Type="http://schemas.openxmlformats.org/officeDocument/2006/relationships/externalLink" Target="externalLinks/externalLink6.xml" /><Relationship Id="rId33" Type="http://schemas.openxmlformats.org/officeDocument/2006/relationships/externalLink" Target="externalLinks/externalLink7.xml" /><Relationship Id="rId34" Type="http://schemas.openxmlformats.org/officeDocument/2006/relationships/externalLink" Target="externalLinks/externalLink8.xml" /><Relationship Id="rId35" Type="http://schemas.openxmlformats.org/officeDocument/2006/relationships/externalLink" Target="externalLinks/externalLink9.xml" /><Relationship Id="rId36" Type="http://schemas.openxmlformats.org/officeDocument/2006/relationships/externalLink" Target="externalLinks/externalLink10.xml" /><Relationship Id="rId37" Type="http://schemas.openxmlformats.org/officeDocument/2006/relationships/externalLink" Target="externalLinks/externalLink11.xml" /><Relationship Id="rId38" Type="http://schemas.openxmlformats.org/officeDocument/2006/relationships/externalLink" Target="externalLinks/externalLink12.xml" /><Relationship Id="rId39" Type="http://schemas.openxmlformats.org/officeDocument/2006/relationships/externalLink" Target="externalLinks/externalLink13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-arv.fin.pal.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6SB%20-ekon-klasif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7SB-zied-davi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super-arv-pa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ne-budz-&#257;rv.p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opbudze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-konso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PB-i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3PB-izd-mi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4PB-ekon-klasif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Darba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5SBizdev_ienem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izdevumi-atmaksa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Oktobris"/>
      <sheetName val="Novembris"/>
      <sheetName val="Decembris"/>
    </sheetNames>
    <sheetDataSet>
      <sheetData sheetId="9">
        <row r="8">
          <cell r="D8">
            <v>6221713</v>
          </cell>
          <cell r="K8">
            <v>6222</v>
          </cell>
        </row>
        <row r="9">
          <cell r="D9">
            <v>4417185</v>
          </cell>
          <cell r="K9">
            <v>4417</v>
          </cell>
        </row>
        <row r="10">
          <cell r="D10">
            <v>3783768</v>
          </cell>
          <cell r="K10">
            <v>3783</v>
          </cell>
        </row>
        <row r="11">
          <cell r="D11">
            <v>633417</v>
          </cell>
          <cell r="K11">
            <v>634</v>
          </cell>
        </row>
        <row r="12">
          <cell r="D12">
            <v>1804528</v>
          </cell>
          <cell r="K12">
            <v>1805</v>
          </cell>
        </row>
        <row r="13">
          <cell r="D13">
            <v>834311</v>
          </cell>
          <cell r="K13">
            <v>835</v>
          </cell>
        </row>
        <row r="14">
          <cell r="D14">
            <v>970217</v>
          </cell>
          <cell r="K14">
            <v>970</v>
          </cell>
        </row>
        <row r="15">
          <cell r="D15">
            <v>205105</v>
          </cell>
          <cell r="K15">
            <v>205</v>
          </cell>
        </row>
        <row r="16">
          <cell r="D16">
            <v>195615</v>
          </cell>
          <cell r="K16">
            <v>196</v>
          </cell>
        </row>
        <row r="17">
          <cell r="D17">
            <v>195615</v>
          </cell>
          <cell r="K17">
            <v>196</v>
          </cell>
        </row>
        <row r="18">
          <cell r="D18">
            <v>9490</v>
          </cell>
          <cell r="K18">
            <v>9</v>
          </cell>
        </row>
        <row r="19">
          <cell r="D19">
            <v>9490</v>
          </cell>
          <cell r="K19">
            <v>9</v>
          </cell>
        </row>
        <row r="20">
          <cell r="D20">
            <v>885298</v>
          </cell>
          <cell r="K20">
            <v>885</v>
          </cell>
        </row>
        <row r="21">
          <cell r="D21">
            <v>837616</v>
          </cell>
          <cell r="K21">
            <v>837</v>
          </cell>
        </row>
        <row r="22">
          <cell r="D22">
            <v>666193</v>
          </cell>
          <cell r="K22">
            <v>666</v>
          </cell>
        </row>
        <row r="23">
          <cell r="D23">
            <v>171423</v>
          </cell>
          <cell r="K23">
            <v>171</v>
          </cell>
        </row>
        <row r="24">
          <cell r="D24">
            <v>47682</v>
          </cell>
          <cell r="K24">
            <v>48</v>
          </cell>
        </row>
        <row r="25">
          <cell r="D25">
            <v>47682</v>
          </cell>
          <cell r="K25">
            <v>48</v>
          </cell>
        </row>
        <row r="26">
          <cell r="D26">
            <v>593997</v>
          </cell>
          <cell r="K26">
            <v>594</v>
          </cell>
        </row>
        <row r="27">
          <cell r="D27">
            <v>531691</v>
          </cell>
          <cell r="K27">
            <v>532</v>
          </cell>
        </row>
        <row r="28">
          <cell r="D28">
            <v>492160</v>
          </cell>
          <cell r="K28">
            <v>492</v>
          </cell>
        </row>
        <row r="29">
          <cell r="D29">
            <v>39531</v>
          </cell>
          <cell r="K29">
            <v>40</v>
          </cell>
        </row>
        <row r="30">
          <cell r="D30">
            <v>62306</v>
          </cell>
          <cell r="K30">
            <v>62</v>
          </cell>
        </row>
        <row r="31">
          <cell r="D31">
            <v>2306</v>
          </cell>
          <cell r="K31">
            <v>2</v>
          </cell>
        </row>
        <row r="32">
          <cell r="D32">
            <v>60000</v>
          </cell>
          <cell r="K32">
            <v>60</v>
          </cell>
        </row>
        <row r="33">
          <cell r="D33">
            <v>305178</v>
          </cell>
          <cell r="K33">
            <v>305</v>
          </cell>
        </row>
        <row r="34">
          <cell r="D34">
            <v>262322</v>
          </cell>
          <cell r="K34">
            <v>262</v>
          </cell>
        </row>
        <row r="35">
          <cell r="D35">
            <v>262322</v>
          </cell>
          <cell r="K35">
            <v>262</v>
          </cell>
        </row>
        <row r="36">
          <cell r="K36">
            <v>0</v>
          </cell>
        </row>
        <row r="37">
          <cell r="D37">
            <v>42856</v>
          </cell>
          <cell r="K37">
            <v>43</v>
          </cell>
        </row>
        <row r="38">
          <cell r="D38">
            <v>42856</v>
          </cell>
          <cell r="K38">
            <v>43</v>
          </cell>
        </row>
        <row r="39">
          <cell r="K39">
            <v>0</v>
          </cell>
        </row>
        <row r="40">
          <cell r="D40">
            <v>868941</v>
          </cell>
          <cell r="K40">
            <v>869</v>
          </cell>
        </row>
        <row r="41">
          <cell r="D41">
            <v>436344</v>
          </cell>
          <cell r="K41">
            <v>436</v>
          </cell>
        </row>
        <row r="42">
          <cell r="D42">
            <v>436344</v>
          </cell>
          <cell r="K42">
            <v>436</v>
          </cell>
        </row>
        <row r="43">
          <cell r="D43">
            <v>432597</v>
          </cell>
          <cell r="K43">
            <v>433</v>
          </cell>
        </row>
        <row r="44">
          <cell r="D44">
            <v>432597</v>
          </cell>
          <cell r="K44">
            <v>433</v>
          </cell>
        </row>
        <row r="45">
          <cell r="D45">
            <v>522279</v>
          </cell>
          <cell r="K45">
            <v>522</v>
          </cell>
        </row>
        <row r="46">
          <cell r="D46">
            <v>395089</v>
          </cell>
          <cell r="K46">
            <v>395</v>
          </cell>
        </row>
        <row r="47">
          <cell r="D47">
            <v>395089</v>
          </cell>
          <cell r="K47">
            <v>395</v>
          </cell>
        </row>
        <row r="48">
          <cell r="K48">
            <v>0</v>
          </cell>
        </row>
        <row r="49">
          <cell r="D49">
            <v>127190</v>
          </cell>
          <cell r="K49">
            <v>127</v>
          </cell>
        </row>
        <row r="50">
          <cell r="D50">
            <v>29994</v>
          </cell>
          <cell r="K50">
            <v>30</v>
          </cell>
        </row>
        <row r="51">
          <cell r="D51">
            <v>97196</v>
          </cell>
          <cell r="K51">
            <v>97</v>
          </cell>
        </row>
        <row r="52">
          <cell r="D52">
            <v>935352</v>
          </cell>
          <cell r="K52">
            <v>936</v>
          </cell>
        </row>
        <row r="53">
          <cell r="D53">
            <v>421593</v>
          </cell>
          <cell r="K53">
            <v>422</v>
          </cell>
        </row>
        <row r="54">
          <cell r="D54">
            <v>421593</v>
          </cell>
          <cell r="K54">
            <v>422</v>
          </cell>
        </row>
        <row r="55">
          <cell r="D55">
            <v>513759</v>
          </cell>
          <cell r="K55">
            <v>514</v>
          </cell>
        </row>
        <row r="56">
          <cell r="D56">
            <v>513759</v>
          </cell>
          <cell r="K56">
            <v>514</v>
          </cell>
        </row>
        <row r="57">
          <cell r="D57">
            <v>164878</v>
          </cell>
          <cell r="K57">
            <v>165</v>
          </cell>
        </row>
        <row r="58">
          <cell r="D58">
            <v>0</v>
          </cell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D61">
            <v>164878</v>
          </cell>
          <cell r="K61">
            <v>165</v>
          </cell>
        </row>
        <row r="62">
          <cell r="D62">
            <v>130599</v>
          </cell>
          <cell r="K62">
            <v>131</v>
          </cell>
        </row>
        <row r="63">
          <cell r="D63">
            <v>34279</v>
          </cell>
          <cell r="K63">
            <v>34</v>
          </cell>
        </row>
        <row r="64">
          <cell r="D64">
            <v>351806</v>
          </cell>
          <cell r="K64">
            <v>352</v>
          </cell>
        </row>
        <row r="65">
          <cell r="D65">
            <v>60995</v>
          </cell>
          <cell r="K65">
            <v>61</v>
          </cell>
        </row>
        <row r="66">
          <cell r="D66">
            <v>60995</v>
          </cell>
          <cell r="K66">
            <v>61</v>
          </cell>
        </row>
        <row r="67">
          <cell r="K67">
            <v>0</v>
          </cell>
        </row>
        <row r="68">
          <cell r="D68">
            <v>290811</v>
          </cell>
          <cell r="K68">
            <v>291</v>
          </cell>
        </row>
        <row r="69">
          <cell r="D69">
            <v>25828</v>
          </cell>
          <cell r="K69">
            <v>26</v>
          </cell>
        </row>
        <row r="70">
          <cell r="D70">
            <v>264983</v>
          </cell>
          <cell r="K70">
            <v>265</v>
          </cell>
        </row>
        <row r="71">
          <cell r="D71">
            <v>390490</v>
          </cell>
          <cell r="K71">
            <v>391</v>
          </cell>
        </row>
        <row r="72">
          <cell r="D72">
            <v>376825</v>
          </cell>
          <cell r="K72">
            <v>377</v>
          </cell>
        </row>
        <row r="73">
          <cell r="D73">
            <v>375955</v>
          </cell>
          <cell r="K73">
            <v>376</v>
          </cell>
        </row>
        <row r="74">
          <cell r="D74">
            <v>870</v>
          </cell>
          <cell r="K74">
            <v>1</v>
          </cell>
        </row>
        <row r="75">
          <cell r="D75">
            <v>13665</v>
          </cell>
          <cell r="K75">
            <v>14</v>
          </cell>
        </row>
        <row r="76">
          <cell r="D76">
            <v>13665</v>
          </cell>
          <cell r="K76">
            <v>14</v>
          </cell>
        </row>
        <row r="77">
          <cell r="K77">
            <v>0</v>
          </cell>
        </row>
        <row r="78">
          <cell r="D78">
            <v>434171</v>
          </cell>
          <cell r="K78">
            <v>434</v>
          </cell>
        </row>
        <row r="79">
          <cell r="D79">
            <v>334877</v>
          </cell>
          <cell r="K79">
            <v>335</v>
          </cell>
        </row>
        <row r="80">
          <cell r="D80">
            <v>334877</v>
          </cell>
          <cell r="K80">
            <v>335</v>
          </cell>
        </row>
        <row r="81">
          <cell r="D81">
            <v>99294</v>
          </cell>
          <cell r="K81">
            <v>99</v>
          </cell>
        </row>
        <row r="82">
          <cell r="D82">
            <v>99294</v>
          </cell>
          <cell r="K82">
            <v>99</v>
          </cell>
        </row>
        <row r="83">
          <cell r="D83">
            <v>564218</v>
          </cell>
          <cell r="K83">
            <v>564</v>
          </cell>
        </row>
        <row r="84">
          <cell r="D84">
            <v>564218</v>
          </cell>
          <cell r="K84">
            <v>564</v>
          </cell>
        </row>
        <row r="85">
          <cell r="D85">
            <v>564218</v>
          </cell>
          <cell r="K85">
            <v>564</v>
          </cell>
        </row>
        <row r="86">
          <cell r="D86">
            <v>1667644</v>
          </cell>
          <cell r="K86">
            <v>1668</v>
          </cell>
        </row>
        <row r="87">
          <cell r="D87">
            <v>1013981</v>
          </cell>
          <cell r="K87">
            <v>1014</v>
          </cell>
        </row>
        <row r="88">
          <cell r="D88">
            <v>1013981</v>
          </cell>
          <cell r="K88">
            <v>1014</v>
          </cell>
        </row>
        <row r="89">
          <cell r="D89">
            <v>653663</v>
          </cell>
          <cell r="K89">
            <v>654</v>
          </cell>
        </row>
        <row r="90">
          <cell r="D90">
            <v>653663</v>
          </cell>
          <cell r="K90">
            <v>654</v>
          </cell>
        </row>
        <row r="91">
          <cell r="D91">
            <v>1667644</v>
          </cell>
          <cell r="K91">
            <v>1668</v>
          </cell>
        </row>
        <row r="92">
          <cell r="D92">
            <v>1013981</v>
          </cell>
          <cell r="K92">
            <v>1014</v>
          </cell>
        </row>
        <row r="93">
          <cell r="D93">
            <v>1013981</v>
          </cell>
          <cell r="K93">
            <v>1014</v>
          </cell>
        </row>
        <row r="94">
          <cell r="D94">
            <v>653663</v>
          </cell>
          <cell r="K94">
            <v>654</v>
          </cell>
        </row>
        <row r="95">
          <cell r="D95">
            <v>653663</v>
          </cell>
          <cell r="K95">
            <v>654</v>
          </cell>
        </row>
        <row r="96">
          <cell r="D96">
            <v>8095188</v>
          </cell>
        </row>
        <row r="97">
          <cell r="D97">
            <v>4685493</v>
          </cell>
        </row>
        <row r="98">
          <cell r="D98">
            <v>3409695</v>
          </cell>
        </row>
      </sheetData>
      <sheetData sheetId="10">
        <row r="97">
          <cell r="D97">
            <v>1133877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Oktobris"/>
      <sheetName val="Novembris"/>
      <sheetName val="Decembris"/>
    </sheetNames>
    <sheetDataSet>
      <sheetData sheetId="9">
        <row r="11">
          <cell r="K11">
            <v>560053</v>
          </cell>
        </row>
        <row r="12">
          <cell r="D12">
            <v>2643213</v>
          </cell>
          <cell r="K12">
            <v>2643</v>
          </cell>
        </row>
        <row r="13">
          <cell r="D13">
            <v>1013981</v>
          </cell>
          <cell r="K13">
            <v>1014</v>
          </cell>
        </row>
        <row r="14">
          <cell r="K14">
            <v>594792</v>
          </cell>
        </row>
        <row r="15">
          <cell r="K15">
            <v>572960</v>
          </cell>
        </row>
        <row r="16">
          <cell r="K16">
            <v>20896</v>
          </cell>
        </row>
        <row r="17">
          <cell r="D17">
            <v>974255</v>
          </cell>
          <cell r="K17">
            <v>974</v>
          </cell>
        </row>
        <row r="18">
          <cell r="D18">
            <v>271709</v>
          </cell>
          <cell r="K18">
            <v>272</v>
          </cell>
        </row>
        <row r="19">
          <cell r="D19">
            <v>17060099</v>
          </cell>
          <cell r="K19">
            <v>17060</v>
          </cell>
        </row>
        <row r="20">
          <cell r="D20">
            <v>2590635</v>
          </cell>
          <cell r="K20">
            <v>2591</v>
          </cell>
        </row>
        <row r="21">
          <cell r="K21">
            <v>5332</v>
          </cell>
        </row>
        <row r="22">
          <cell r="D22">
            <v>3543794</v>
          </cell>
          <cell r="K22">
            <v>3544</v>
          </cell>
        </row>
        <row r="23">
          <cell r="D23">
            <v>1787829</v>
          </cell>
          <cell r="K23">
            <v>1788</v>
          </cell>
        </row>
        <row r="24">
          <cell r="K24">
            <v>546732</v>
          </cell>
        </row>
        <row r="25">
          <cell r="D25">
            <v>1723843</v>
          </cell>
          <cell r="K25">
            <v>1724</v>
          </cell>
        </row>
        <row r="26">
          <cell r="D26">
            <v>14744894</v>
          </cell>
          <cell r="K26">
            <v>14745</v>
          </cell>
        </row>
        <row r="27">
          <cell r="D27">
            <v>1199842</v>
          </cell>
          <cell r="K27">
            <v>1200</v>
          </cell>
        </row>
        <row r="28">
          <cell r="D28">
            <v>119809391</v>
          </cell>
          <cell r="K28">
            <v>119809</v>
          </cell>
        </row>
        <row r="29">
          <cell r="K29">
            <v>408197</v>
          </cell>
        </row>
        <row r="30">
          <cell r="D30">
            <v>373143106</v>
          </cell>
          <cell r="K30">
            <v>373143</v>
          </cell>
        </row>
        <row r="31">
          <cell r="D31">
            <v>34184007</v>
          </cell>
          <cell r="K31">
            <v>34184</v>
          </cell>
        </row>
        <row r="32">
          <cell r="D32">
            <v>527798</v>
          </cell>
          <cell r="K32">
            <v>528</v>
          </cell>
        </row>
        <row r="33">
          <cell r="D33">
            <v>341996</v>
          </cell>
          <cell r="K33">
            <v>342</v>
          </cell>
        </row>
        <row r="34">
          <cell r="D34">
            <v>55827</v>
          </cell>
        </row>
        <row r="35">
          <cell r="D35">
            <v>1000900</v>
          </cell>
          <cell r="K35">
            <v>1001</v>
          </cell>
        </row>
        <row r="36">
          <cell r="K36">
            <v>21832</v>
          </cell>
        </row>
        <row r="37">
          <cell r="D37">
            <v>8236824</v>
          </cell>
          <cell r="K37">
            <v>8237</v>
          </cell>
        </row>
        <row r="38">
          <cell r="D38">
            <v>13594908</v>
          </cell>
          <cell r="K38">
            <v>13595</v>
          </cell>
        </row>
        <row r="39">
          <cell r="K39">
            <v>3866</v>
          </cell>
        </row>
        <row r="40">
          <cell r="D40">
            <v>3912469</v>
          </cell>
          <cell r="K40">
            <v>3912</v>
          </cell>
        </row>
        <row r="41">
          <cell r="D41">
            <v>45663</v>
          </cell>
          <cell r="K41">
            <v>46</v>
          </cell>
        </row>
        <row r="42">
          <cell r="K42">
            <v>-34948</v>
          </cell>
        </row>
        <row r="43">
          <cell r="K43">
            <v>34948</v>
          </cell>
        </row>
        <row r="44">
          <cell r="D44">
            <v>45221265</v>
          </cell>
          <cell r="K44">
            <v>45221</v>
          </cell>
        </row>
        <row r="45">
          <cell r="D45">
            <v>-10273253</v>
          </cell>
          <cell r="K45">
            <v>-10273</v>
          </cell>
        </row>
      </sheetData>
      <sheetData sheetId="10">
        <row r="39">
          <cell r="D39">
            <v>4684751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Oktobris"/>
      <sheetName val="Novembris"/>
    </sheetNames>
    <sheetDataSet>
      <sheetData sheetId="9">
        <row r="10">
          <cell r="C10">
            <v>3508265</v>
          </cell>
          <cell r="H10">
            <v>3508</v>
          </cell>
        </row>
        <row r="11">
          <cell r="C11">
            <v>12410567</v>
          </cell>
        </row>
        <row r="15">
          <cell r="C15">
            <v>344600</v>
          </cell>
          <cell r="H15">
            <v>345</v>
          </cell>
        </row>
        <row r="16">
          <cell r="C16">
            <v>84139</v>
          </cell>
          <cell r="H16">
            <v>84</v>
          </cell>
        </row>
        <row r="18">
          <cell r="C18">
            <v>7427251.16</v>
          </cell>
        </row>
        <row r="19">
          <cell r="C19">
            <v>336433</v>
          </cell>
          <cell r="H19">
            <v>337</v>
          </cell>
        </row>
        <row r="20">
          <cell r="H20">
            <v>0</v>
          </cell>
        </row>
        <row r="22">
          <cell r="H22">
            <v>0</v>
          </cell>
        </row>
        <row r="23">
          <cell r="H23">
            <v>0</v>
          </cell>
        </row>
        <row r="25">
          <cell r="C25">
            <v>19895</v>
          </cell>
          <cell r="H25">
            <v>20</v>
          </cell>
        </row>
        <row r="26">
          <cell r="H26">
            <v>0</v>
          </cell>
        </row>
        <row r="27">
          <cell r="H27">
            <v>0</v>
          </cell>
        </row>
        <row r="28">
          <cell r="C28">
            <v>421424</v>
          </cell>
          <cell r="H28">
            <v>421</v>
          </cell>
        </row>
        <row r="29">
          <cell r="C29">
            <v>148895</v>
          </cell>
          <cell r="H29">
            <v>149</v>
          </cell>
        </row>
        <row r="31">
          <cell r="C31">
            <v>4572655</v>
          </cell>
        </row>
        <row r="32">
          <cell r="C32">
            <v>21413</v>
          </cell>
          <cell r="H32">
            <v>21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Nov."/>
      <sheetName val="Sheet3"/>
    </sheetNames>
    <sheetDataSet>
      <sheetData sheetId="0">
        <row r="13">
          <cell r="P13">
            <v>5859728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9">
          <cell r="F19">
            <v>185955</v>
          </cell>
        </row>
        <row r="20">
          <cell r="H20">
            <v>0</v>
          </cell>
        </row>
        <row r="21">
          <cell r="J21">
            <v>185955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Oktobris"/>
      <sheetName val="Novembris"/>
      <sheetName val="Decembris"/>
    </sheetNames>
    <sheetDataSet>
      <sheetData sheetId="9">
        <row r="5">
          <cell r="D5">
            <v>1445649</v>
          </cell>
        </row>
        <row r="6">
          <cell r="D6">
            <v>88515</v>
          </cell>
        </row>
        <row r="7">
          <cell r="D7">
            <v>10269</v>
          </cell>
        </row>
        <row r="8">
          <cell r="D8">
            <v>1346865</v>
          </cell>
        </row>
        <row r="9">
          <cell r="D9">
            <v>1515811</v>
          </cell>
        </row>
        <row r="10">
          <cell r="D10">
            <v>88515</v>
          </cell>
        </row>
        <row r="11">
          <cell r="D11">
            <v>10269</v>
          </cell>
        </row>
        <row r="12">
          <cell r="D12">
            <v>1417027</v>
          </cell>
        </row>
        <row r="13">
          <cell r="D13">
            <v>-70162</v>
          </cell>
        </row>
        <row r="14">
          <cell r="D14">
            <v>566</v>
          </cell>
        </row>
        <row r="15">
          <cell r="D15">
            <v>33994</v>
          </cell>
        </row>
        <row r="16">
          <cell r="D16">
            <v>20424</v>
          </cell>
        </row>
        <row r="17">
          <cell r="D17">
            <v>13570</v>
          </cell>
        </row>
        <row r="18">
          <cell r="D18">
            <v>23393</v>
          </cell>
        </row>
        <row r="19">
          <cell r="D19">
            <v>10389</v>
          </cell>
        </row>
        <row r="20">
          <cell r="D20">
            <v>13004</v>
          </cell>
        </row>
        <row r="21">
          <cell r="D21">
            <v>-70728</v>
          </cell>
        </row>
        <row r="22">
          <cell r="D22">
            <v>70728</v>
          </cell>
        </row>
        <row r="23">
          <cell r="D23">
            <v>91094</v>
          </cell>
        </row>
        <row r="24">
          <cell r="D24">
            <v>253</v>
          </cell>
        </row>
        <row r="25">
          <cell r="D25">
            <v>253</v>
          </cell>
        </row>
        <row r="26">
          <cell r="D26">
            <v>10035</v>
          </cell>
        </row>
        <row r="27">
          <cell r="D27">
            <v>-10035</v>
          </cell>
        </row>
        <row r="29">
          <cell r="D29">
            <v>66355</v>
          </cell>
        </row>
        <row r="30">
          <cell r="D30">
            <v>-22832</v>
          </cell>
        </row>
        <row r="31">
          <cell r="D31">
            <v>23038</v>
          </cell>
        </row>
        <row r="32">
          <cell r="D32">
            <v>66149</v>
          </cell>
        </row>
        <row r="33">
          <cell r="D33">
            <v>-6485</v>
          </cell>
        </row>
        <row r="34">
          <cell r="D34">
            <v>-2257</v>
          </cell>
        </row>
        <row r="35">
          <cell r="D35">
            <v>7149</v>
          </cell>
        </row>
        <row r="36">
          <cell r="D36">
            <v>-11377</v>
          </cell>
        </row>
        <row r="37">
          <cell r="D37">
            <v>30971</v>
          </cell>
        </row>
        <row r="38">
          <cell r="D38">
            <v>-20366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Oktobris"/>
      <sheetName val="Novembris"/>
      <sheetName val="Decembris"/>
    </sheetNames>
    <sheetDataSet>
      <sheetData sheetId="9">
        <row r="9">
          <cell r="H9">
            <v>1069102</v>
          </cell>
        </row>
        <row r="10">
          <cell r="H10">
            <v>559687</v>
          </cell>
        </row>
        <row r="11">
          <cell r="H11">
            <v>455113</v>
          </cell>
        </row>
        <row r="12">
          <cell r="H12">
            <v>60745</v>
          </cell>
        </row>
        <row r="13">
          <cell r="H13">
            <v>60745</v>
          </cell>
        </row>
        <row r="14">
          <cell r="H14">
            <v>391153</v>
          </cell>
        </row>
        <row r="15">
          <cell r="H15">
            <v>282641</v>
          </cell>
        </row>
        <row r="16">
          <cell r="H16">
            <v>96722</v>
          </cell>
        </row>
        <row r="17">
          <cell r="H17">
            <v>11790</v>
          </cell>
        </row>
        <row r="18">
          <cell r="H18">
            <v>3215</v>
          </cell>
        </row>
        <row r="19">
          <cell r="H19">
            <v>53797</v>
          </cell>
        </row>
        <row r="20">
          <cell r="H20">
            <v>46360</v>
          </cell>
        </row>
        <row r="21">
          <cell r="H21">
            <v>4417</v>
          </cell>
        </row>
        <row r="22">
          <cell r="H22">
            <v>1001</v>
          </cell>
        </row>
        <row r="23">
          <cell r="H23">
            <v>558686</v>
          </cell>
        </row>
        <row r="24">
          <cell r="H24">
            <v>563710</v>
          </cell>
        </row>
        <row r="25">
          <cell r="H25">
            <v>563710</v>
          </cell>
        </row>
        <row r="26">
          <cell r="H26">
            <v>383367</v>
          </cell>
        </row>
        <row r="27">
          <cell r="H27">
            <v>38026</v>
          </cell>
        </row>
        <row r="28">
          <cell r="H28">
            <v>60407</v>
          </cell>
        </row>
        <row r="29">
          <cell r="H29">
            <v>1014</v>
          </cell>
        </row>
        <row r="30">
          <cell r="H30">
            <v>80896</v>
          </cell>
        </row>
        <row r="31">
          <cell r="H31">
            <v>53294</v>
          </cell>
        </row>
        <row r="32">
          <cell r="H32">
            <v>510416</v>
          </cell>
        </row>
        <row r="33">
          <cell r="H33">
            <v>1136475</v>
          </cell>
        </row>
        <row r="34">
          <cell r="H34">
            <v>1071651</v>
          </cell>
        </row>
        <row r="35">
          <cell r="H35">
            <v>22682</v>
          </cell>
        </row>
        <row r="36">
          <cell r="H36">
            <v>42142</v>
          </cell>
        </row>
        <row r="37">
          <cell r="H37">
            <v>-67373</v>
          </cell>
        </row>
        <row r="38">
          <cell r="H38">
            <v>12023</v>
          </cell>
        </row>
        <row r="39">
          <cell r="H39">
            <v>1148498</v>
          </cell>
        </row>
        <row r="40">
          <cell r="H40">
            <v>-79396</v>
          </cell>
        </row>
        <row r="41">
          <cell r="H41">
            <v>595978</v>
          </cell>
        </row>
        <row r="42">
          <cell r="H42">
            <v>53294</v>
          </cell>
        </row>
        <row r="43">
          <cell r="H43">
            <v>542684</v>
          </cell>
        </row>
        <row r="44">
          <cell r="H44">
            <v>551580</v>
          </cell>
        </row>
        <row r="45">
          <cell r="H45">
            <v>51888</v>
          </cell>
        </row>
        <row r="46">
          <cell r="H46">
            <v>499692</v>
          </cell>
        </row>
        <row r="47">
          <cell r="H47">
            <v>14445</v>
          </cell>
        </row>
        <row r="48">
          <cell r="H48">
            <v>14445</v>
          </cell>
        </row>
        <row r="49">
          <cell r="H49">
            <v>29953</v>
          </cell>
        </row>
        <row r="50">
          <cell r="H50">
            <v>1406</v>
          </cell>
        </row>
        <row r="51">
          <cell r="H51">
            <v>28547</v>
          </cell>
        </row>
        <row r="52">
          <cell r="H52">
            <v>-36291</v>
          </cell>
        </row>
        <row r="53">
          <cell r="H53">
            <v>8157</v>
          </cell>
        </row>
        <row r="54">
          <cell r="H54">
            <v>53379</v>
          </cell>
        </row>
        <row r="55">
          <cell r="H55">
            <v>45222</v>
          </cell>
        </row>
        <row r="56">
          <cell r="H56">
            <v>8157</v>
          </cell>
        </row>
        <row r="57">
          <cell r="H57">
            <v>-89670</v>
          </cell>
        </row>
        <row r="58">
          <cell r="H58">
            <v>594792</v>
          </cell>
        </row>
        <row r="59">
          <cell r="H59">
            <v>1001</v>
          </cell>
        </row>
        <row r="60">
          <cell r="H60">
            <v>593791</v>
          </cell>
        </row>
        <row r="61">
          <cell r="H61">
            <v>572960</v>
          </cell>
        </row>
        <row r="62">
          <cell r="H62">
            <v>1001</v>
          </cell>
        </row>
        <row r="63">
          <cell r="H63">
            <v>571959</v>
          </cell>
        </row>
        <row r="64">
          <cell r="H64">
            <v>8237</v>
          </cell>
        </row>
        <row r="65">
          <cell r="H65">
            <v>8237</v>
          </cell>
        </row>
        <row r="66">
          <cell r="H66">
            <v>13595</v>
          </cell>
        </row>
        <row r="67">
          <cell r="H67">
            <v>13595</v>
          </cell>
        </row>
        <row r="68">
          <cell r="H68">
            <v>-31082</v>
          </cell>
        </row>
        <row r="69">
          <cell r="H69">
            <v>3866</v>
          </cell>
        </row>
        <row r="70">
          <cell r="H70">
            <v>3866</v>
          </cell>
        </row>
        <row r="71">
          <cell r="H71">
            <v>3866</v>
          </cell>
        </row>
        <row r="72">
          <cell r="H72">
            <v>-34948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rbam"/>
      <sheetName val="Janvāris"/>
      <sheetName val="Februaris"/>
      <sheetName val="feb.labotais"/>
      <sheetName val="MARTS"/>
      <sheetName val="Aprīlis "/>
      <sheetName val="Maijs"/>
      <sheetName val="Jūnijs"/>
      <sheetName val="Jūlijs"/>
      <sheetName val="Augusts"/>
      <sheetName val="Septembris"/>
      <sheetName val="Oktobris"/>
      <sheetName val="Novembris"/>
      <sheetName val="paraugs"/>
      <sheetName val="iensad"/>
      <sheetName val="aiznatmaksa1"/>
      <sheetName val="nav"/>
      <sheetName val="Sheet1"/>
      <sheetName val="Sheet3"/>
    </sheetNames>
    <sheetDataSet>
      <sheetData sheetId="11">
        <row r="9">
          <cell r="J9">
            <v>559687</v>
          </cell>
        </row>
        <row r="12">
          <cell r="D12">
            <v>60744577.32</v>
          </cell>
          <cell r="J12">
            <v>60745</v>
          </cell>
        </row>
        <row r="14">
          <cell r="D14">
            <v>282640876.62</v>
          </cell>
          <cell r="J14">
            <v>282641</v>
          </cell>
        </row>
        <row r="15">
          <cell r="D15">
            <v>96722009.61</v>
          </cell>
          <cell r="J15">
            <v>96722</v>
          </cell>
        </row>
        <row r="16">
          <cell r="D16">
            <v>11789625.36</v>
          </cell>
          <cell r="J16">
            <v>11790</v>
          </cell>
        </row>
        <row r="17">
          <cell r="D17">
            <v>3215438.3</v>
          </cell>
          <cell r="J17">
            <v>3215</v>
          </cell>
        </row>
        <row r="19">
          <cell r="D19">
            <v>1689058.2</v>
          </cell>
          <cell r="J19">
            <v>1689</v>
          </cell>
        </row>
        <row r="20">
          <cell r="D20">
            <v>11020056.2</v>
          </cell>
          <cell r="J20">
            <v>11020</v>
          </cell>
        </row>
        <row r="21">
          <cell r="D21">
            <v>13596310.26</v>
          </cell>
          <cell r="J21">
            <v>13596</v>
          </cell>
        </row>
        <row r="22">
          <cell r="D22">
            <v>671243.89</v>
          </cell>
          <cell r="J22">
            <v>671</v>
          </cell>
        </row>
        <row r="24">
          <cell r="D24">
            <v>279597.53</v>
          </cell>
          <cell r="J24">
            <v>280</v>
          </cell>
        </row>
        <row r="25">
          <cell r="D25">
            <v>7611160.49</v>
          </cell>
          <cell r="J25">
            <v>7611</v>
          </cell>
        </row>
        <row r="26">
          <cell r="D26">
            <v>15128787.94</v>
          </cell>
        </row>
        <row r="27">
          <cell r="D27">
            <v>1000900</v>
          </cell>
          <cell r="J27">
            <v>1001</v>
          </cell>
        </row>
        <row r="31">
          <cell r="J31">
            <v>46360</v>
          </cell>
        </row>
        <row r="32">
          <cell r="D32">
            <v>46360159.7</v>
          </cell>
          <cell r="J32">
            <v>46360</v>
          </cell>
        </row>
        <row r="33">
          <cell r="D33">
            <v>4417185</v>
          </cell>
          <cell r="J33">
            <v>4417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Augusts "/>
      <sheetName val="Jūlijs"/>
      <sheetName val="Septembris"/>
      <sheetName val="oktobris"/>
      <sheetName val="dati"/>
      <sheetName val="Novembris"/>
      <sheetName val="Sheet2"/>
      <sheetName val="Sheet1"/>
      <sheetName val="oktobri2"/>
      <sheetName val="oktnoap"/>
      <sheetName val="okt2"/>
      <sheetName val="darbam"/>
    </sheetNames>
    <sheetDataSet>
      <sheetData sheetId="1">
        <row r="8">
          <cell r="K8" t="str">
            <v>Izpilde no gada sākuma</v>
          </cell>
        </row>
        <row r="9">
          <cell r="K9">
            <v>4</v>
          </cell>
        </row>
      </sheetData>
      <sheetData sheetId="8">
        <row r="81">
          <cell r="D81">
            <v>596386</v>
          </cell>
        </row>
        <row r="87">
          <cell r="D87">
            <v>988325</v>
          </cell>
        </row>
      </sheetData>
      <sheetData sheetId="9">
        <row r="17">
          <cell r="D17">
            <v>739364.97</v>
          </cell>
        </row>
        <row r="18">
          <cell r="D18">
            <v>55694.31</v>
          </cell>
        </row>
        <row r="20">
          <cell r="D20">
            <v>4164619.52</v>
          </cell>
        </row>
        <row r="21">
          <cell r="D21">
            <v>851214.76</v>
          </cell>
        </row>
        <row r="23">
          <cell r="D23">
            <v>2608734.74</v>
          </cell>
        </row>
        <row r="24">
          <cell r="D24">
            <v>110685.32</v>
          </cell>
        </row>
        <row r="25">
          <cell r="D25">
            <v>32603877.28</v>
          </cell>
        </row>
        <row r="26">
          <cell r="D26">
            <v>30474539.61</v>
          </cell>
        </row>
        <row r="27">
          <cell r="D27">
            <v>2129337.67</v>
          </cell>
        </row>
        <row r="28">
          <cell r="D28">
            <v>8605894.16</v>
          </cell>
        </row>
        <row r="29">
          <cell r="D29">
            <v>8350391.66</v>
          </cell>
        </row>
        <row r="30">
          <cell r="D30">
            <v>255502.5</v>
          </cell>
        </row>
        <row r="31">
          <cell r="D31">
            <v>5183044.84</v>
          </cell>
        </row>
        <row r="32">
          <cell r="D32">
            <v>4836293.12</v>
          </cell>
        </row>
        <row r="33">
          <cell r="D33">
            <v>346751.72</v>
          </cell>
        </row>
        <row r="34">
          <cell r="D34">
            <v>78255712.52</v>
          </cell>
        </row>
        <row r="35">
          <cell r="D35">
            <v>71861105.94</v>
          </cell>
        </row>
        <row r="36">
          <cell r="D36">
            <v>6394606.58</v>
          </cell>
        </row>
        <row r="37">
          <cell r="D37">
            <v>65101371.25</v>
          </cell>
        </row>
        <row r="38">
          <cell r="D38">
            <v>59220009.42</v>
          </cell>
        </row>
        <row r="39">
          <cell r="D39">
            <v>5881361.83</v>
          </cell>
        </row>
        <row r="40">
          <cell r="D40">
            <v>54165293.48</v>
          </cell>
        </row>
        <row r="41">
          <cell r="D41">
            <v>50041938.72</v>
          </cell>
        </row>
        <row r="42">
          <cell r="D42">
            <v>4123354.76</v>
          </cell>
        </row>
        <row r="43">
          <cell r="D43">
            <v>43666498.940000005</v>
          </cell>
        </row>
        <row r="44">
          <cell r="D44">
            <v>40906624.31</v>
          </cell>
        </row>
        <row r="45">
          <cell r="D45">
            <v>2759874.63</v>
          </cell>
        </row>
        <row r="46">
          <cell r="D46">
            <v>10820136.379999999</v>
          </cell>
        </row>
        <row r="47">
          <cell r="D47">
            <v>5524839.02</v>
          </cell>
        </row>
        <row r="48">
          <cell r="D48">
            <v>5295297.36</v>
          </cell>
        </row>
        <row r="49">
          <cell r="D49">
            <v>130651454.95</v>
          </cell>
        </row>
        <row r="50">
          <cell r="D50">
            <v>127296409.29</v>
          </cell>
        </row>
        <row r="51">
          <cell r="D51">
            <v>3355045.66</v>
          </cell>
        </row>
        <row r="52">
          <cell r="D52">
            <v>22447818.02</v>
          </cell>
        </row>
        <row r="53">
          <cell r="D53">
            <v>20067159.05</v>
          </cell>
        </row>
        <row r="54">
          <cell r="D54">
            <v>2380658.97</v>
          </cell>
        </row>
        <row r="55">
          <cell r="D55">
            <v>6188243.83</v>
          </cell>
        </row>
        <row r="56">
          <cell r="D56">
            <v>5509675.99</v>
          </cell>
        </row>
        <row r="57">
          <cell r="D57">
            <v>678567.84</v>
          </cell>
        </row>
        <row r="58">
          <cell r="D58">
            <v>14016944.25</v>
          </cell>
        </row>
        <row r="59">
          <cell r="D59">
            <v>12604319.4</v>
          </cell>
        </row>
        <row r="60">
          <cell r="D60">
            <v>1412624.85</v>
          </cell>
        </row>
        <row r="61">
          <cell r="D61">
            <v>11415682.209999999</v>
          </cell>
        </row>
        <row r="62">
          <cell r="D62">
            <v>10602794.79</v>
          </cell>
        </row>
        <row r="63">
          <cell r="D63">
            <v>812887.42</v>
          </cell>
        </row>
        <row r="64">
          <cell r="D64">
            <v>924536.07</v>
          </cell>
        </row>
        <row r="65">
          <cell r="D65">
            <v>911280.08</v>
          </cell>
        </row>
        <row r="66">
          <cell r="D66">
            <v>13255.99</v>
          </cell>
        </row>
        <row r="67">
          <cell r="D67">
            <v>607562.01</v>
          </cell>
        </row>
        <row r="68">
          <cell r="D68">
            <v>607562.01</v>
          </cell>
        </row>
        <row r="69">
          <cell r="D69">
            <v>270404.45999999996</v>
          </cell>
        </row>
        <row r="70">
          <cell r="D70">
            <v>245904.46</v>
          </cell>
        </row>
        <row r="71">
          <cell r="D71">
            <v>24500</v>
          </cell>
        </row>
        <row r="72">
          <cell r="D72">
            <v>5144067.46</v>
          </cell>
        </row>
        <row r="73">
          <cell r="D73">
            <v>5085479.77</v>
          </cell>
        </row>
        <row r="74">
          <cell r="D74">
            <v>58587.69</v>
          </cell>
        </row>
        <row r="75">
          <cell r="D75">
            <v>56842.58</v>
          </cell>
        </row>
        <row r="76">
          <cell r="D76">
            <v>55077.29</v>
          </cell>
        </row>
        <row r="77">
          <cell r="D77">
            <v>1765.29</v>
          </cell>
        </row>
        <row r="78">
          <cell r="D78">
            <v>38049.99</v>
          </cell>
        </row>
        <row r="79">
          <cell r="D79">
            <v>38049.99</v>
          </cell>
        </row>
        <row r="83">
          <cell r="D83">
            <v>5472834.64</v>
          </cell>
        </row>
        <row r="84">
          <cell r="D84">
            <v>206890.44</v>
          </cell>
        </row>
        <row r="86">
          <cell r="D86">
            <v>81180</v>
          </cell>
        </row>
        <row r="88">
          <cell r="D88">
            <v>1070683.27</v>
          </cell>
        </row>
        <row r="89">
          <cell r="D89">
            <v>4000</v>
          </cell>
        </row>
        <row r="91">
          <cell r="D91">
            <v>1225886.42</v>
          </cell>
        </row>
        <row r="92">
          <cell r="D92">
            <v>14969.91</v>
          </cell>
        </row>
        <row r="94">
          <cell r="D94">
            <v>75365173</v>
          </cell>
        </row>
        <row r="95">
          <cell r="D95">
            <v>7230473.15</v>
          </cell>
        </row>
        <row r="97">
          <cell r="D97">
            <v>5918812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rbam"/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oktobri"/>
      <sheetName val="Novembris"/>
      <sheetName val="paraugs"/>
      <sheetName val="sadaletab"/>
      <sheetName val="sadale"/>
      <sheetName val="aiznatm"/>
      <sheetName val="Sheet1"/>
      <sheetName val="dot spec"/>
    </sheetNames>
    <sheetDataSet>
      <sheetData sheetId="10">
        <row r="13">
          <cell r="D13">
            <v>562561159</v>
          </cell>
          <cell r="K13">
            <v>562561</v>
          </cell>
        </row>
        <row r="14">
          <cell r="D14">
            <v>196107.67</v>
          </cell>
          <cell r="K14">
            <v>196</v>
          </cell>
        </row>
        <row r="15">
          <cell r="D15">
            <v>46360160</v>
          </cell>
          <cell r="K15">
            <v>46360</v>
          </cell>
        </row>
        <row r="16">
          <cell r="D16">
            <v>4417185</v>
          </cell>
          <cell r="K16">
            <v>4417</v>
          </cell>
        </row>
        <row r="17">
          <cell r="C17">
            <v>642294259</v>
          </cell>
        </row>
        <row r="19">
          <cell r="C19">
            <v>289440203</v>
          </cell>
        </row>
        <row r="20">
          <cell r="D20">
            <v>129616042</v>
          </cell>
          <cell r="K20">
            <v>129616</v>
          </cell>
        </row>
        <row r="21">
          <cell r="D21">
            <v>34268869</v>
          </cell>
          <cell r="K21">
            <v>34269</v>
          </cell>
        </row>
        <row r="23">
          <cell r="K23">
            <v>34766</v>
          </cell>
        </row>
        <row r="24">
          <cell r="D24">
            <v>16530970</v>
          </cell>
          <cell r="K24">
            <v>16531</v>
          </cell>
        </row>
        <row r="25">
          <cell r="D25">
            <v>17867883</v>
          </cell>
          <cell r="K25">
            <v>17868</v>
          </cell>
        </row>
        <row r="26">
          <cell r="D26">
            <v>367362</v>
          </cell>
          <cell r="K26">
            <v>367</v>
          </cell>
        </row>
        <row r="27">
          <cell r="D27">
            <v>242334248</v>
          </cell>
        </row>
        <row r="28">
          <cell r="D28">
            <v>17738486</v>
          </cell>
          <cell r="K28">
            <v>17738</v>
          </cell>
        </row>
        <row r="29">
          <cell r="D29">
            <v>75365173</v>
          </cell>
          <cell r="K29">
            <v>75365</v>
          </cell>
        </row>
        <row r="30">
          <cell r="D30">
            <v>5918812</v>
          </cell>
          <cell r="K30">
            <v>5919</v>
          </cell>
        </row>
        <row r="31">
          <cell r="D31">
            <v>79414643</v>
          </cell>
          <cell r="K31">
            <v>79415</v>
          </cell>
        </row>
        <row r="32">
          <cell r="D32">
            <v>51888102</v>
          </cell>
          <cell r="K32">
            <v>51888</v>
          </cell>
        </row>
        <row r="33">
          <cell r="D33">
            <v>27526541</v>
          </cell>
          <cell r="K33">
            <v>27527</v>
          </cell>
        </row>
        <row r="34">
          <cell r="D34">
            <v>60139665</v>
          </cell>
          <cell r="K34">
            <v>60140</v>
          </cell>
        </row>
        <row r="35">
          <cell r="D35">
            <v>1012974</v>
          </cell>
          <cell r="K35">
            <v>1013</v>
          </cell>
        </row>
        <row r="36">
          <cell r="D36">
            <v>44742581</v>
          </cell>
          <cell r="K36">
            <v>44743</v>
          </cell>
        </row>
        <row r="37">
          <cell r="D37">
            <v>5556804</v>
          </cell>
          <cell r="K37">
            <v>5557</v>
          </cell>
        </row>
        <row r="38">
          <cell r="D38">
            <v>8827306</v>
          </cell>
          <cell r="K38">
            <v>8827</v>
          </cell>
        </row>
        <row r="39">
          <cell r="D39">
            <v>3757469</v>
          </cell>
          <cell r="K39">
            <v>3757</v>
          </cell>
        </row>
        <row r="40">
          <cell r="D40">
            <v>44397908</v>
          </cell>
          <cell r="K40">
            <v>44398</v>
          </cell>
        </row>
        <row r="41">
          <cell r="D41">
            <v>14444962</v>
          </cell>
          <cell r="K41">
            <v>14445</v>
          </cell>
        </row>
        <row r="42">
          <cell r="D42">
            <v>29952946</v>
          </cell>
          <cell r="K42">
            <v>29953</v>
          </cell>
        </row>
        <row r="43">
          <cell r="D43">
            <v>1405200</v>
          </cell>
          <cell r="K43">
            <v>1406</v>
          </cell>
        </row>
        <row r="44">
          <cell r="D44">
            <v>7230473</v>
          </cell>
          <cell r="K44">
            <v>7231</v>
          </cell>
        </row>
        <row r="45">
          <cell r="D45">
            <v>53379462</v>
          </cell>
          <cell r="K45">
            <v>53379</v>
          </cell>
        </row>
        <row r="46">
          <cell r="D46">
            <v>76338477</v>
          </cell>
          <cell r="K46">
            <v>76338</v>
          </cell>
        </row>
        <row r="47">
          <cell r="D47">
            <v>50468519</v>
          </cell>
          <cell r="K47">
            <v>50469</v>
          </cell>
        </row>
        <row r="48">
          <cell r="D48">
            <v>22959015</v>
          </cell>
          <cell r="K48">
            <v>22959</v>
          </cell>
        </row>
        <row r="49">
          <cell r="D49">
            <v>5247254</v>
          </cell>
          <cell r="K49">
            <v>5247</v>
          </cell>
        </row>
        <row r="50">
          <cell r="D50">
            <v>-89669456</v>
          </cell>
          <cell r="K50">
            <v>-89670</v>
          </cell>
        </row>
        <row r="51">
          <cell r="D51">
            <v>89669456</v>
          </cell>
          <cell r="K51">
            <v>89670</v>
          </cell>
        </row>
        <row r="52">
          <cell r="D52">
            <v>2008552</v>
          </cell>
          <cell r="K52">
            <v>2009</v>
          </cell>
        </row>
        <row r="53">
          <cell r="D53">
            <v>335469</v>
          </cell>
          <cell r="K53">
            <v>335</v>
          </cell>
        </row>
        <row r="54">
          <cell r="D54">
            <v>87325435</v>
          </cell>
          <cell r="K54">
            <v>87326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Oktobris"/>
      <sheetName val="Novembris"/>
    </sheetNames>
    <sheetDataSet>
      <sheetData sheetId="10">
        <row r="6">
          <cell r="F6">
            <v>443709</v>
          </cell>
          <cell r="H6">
            <v>1986324</v>
          </cell>
          <cell r="L6">
            <v>2050595</v>
          </cell>
          <cell r="O6">
            <v>1452842</v>
          </cell>
          <cell r="P6">
            <v>1177652</v>
          </cell>
          <cell r="Y6">
            <v>1151229</v>
          </cell>
        </row>
        <row r="7">
          <cell r="C7">
            <v>464451740</v>
          </cell>
          <cell r="D7">
            <v>121142006</v>
          </cell>
          <cell r="E7">
            <v>7044861</v>
          </cell>
          <cell r="F7">
            <v>513293</v>
          </cell>
          <cell r="G7">
            <v>422801</v>
          </cell>
          <cell r="H7">
            <v>1995358</v>
          </cell>
          <cell r="J7">
            <v>52732124</v>
          </cell>
          <cell r="L7">
            <v>1949029</v>
          </cell>
          <cell r="M7">
            <v>478844</v>
          </cell>
          <cell r="O7">
            <v>1964210</v>
          </cell>
          <cell r="P7">
            <v>611518</v>
          </cell>
          <cell r="Q7">
            <v>174597</v>
          </cell>
          <cell r="R7">
            <v>2049780</v>
          </cell>
          <cell r="X7">
            <v>583841</v>
          </cell>
          <cell r="Y7">
            <v>37542</v>
          </cell>
        </row>
        <row r="8">
          <cell r="D8">
            <v>117184477</v>
          </cell>
          <cell r="E8">
            <v>3760601</v>
          </cell>
          <cell r="F8">
            <v>74791</v>
          </cell>
          <cell r="G8">
            <v>334630</v>
          </cell>
          <cell r="J8">
            <v>40603461</v>
          </cell>
          <cell r="L8">
            <v>1920112</v>
          </cell>
          <cell r="M8">
            <v>395376</v>
          </cell>
          <cell r="O8">
            <v>1544210</v>
          </cell>
          <cell r="P8">
            <v>607318</v>
          </cell>
          <cell r="Q8">
            <v>164943</v>
          </cell>
          <cell r="R8">
            <v>2049780</v>
          </cell>
          <cell r="X8">
            <v>583841</v>
          </cell>
          <cell r="Y8">
            <v>37542</v>
          </cell>
        </row>
        <row r="10">
          <cell r="Z10">
            <v>1070057</v>
          </cell>
        </row>
        <row r="11">
          <cell r="Z11">
            <v>299425</v>
          </cell>
        </row>
        <row r="12">
          <cell r="Z12">
            <v>18592853</v>
          </cell>
        </row>
        <row r="15">
          <cell r="O15">
            <v>300000</v>
          </cell>
          <cell r="Z15">
            <v>2969143</v>
          </cell>
        </row>
        <row r="17">
          <cell r="Z17">
            <v>3648116</v>
          </cell>
        </row>
        <row r="18">
          <cell r="Z18">
            <v>1877850</v>
          </cell>
        </row>
        <row r="20">
          <cell r="Z20">
            <v>1944031</v>
          </cell>
        </row>
        <row r="21">
          <cell r="Z21">
            <v>16406300</v>
          </cell>
        </row>
        <row r="23">
          <cell r="Z23">
            <v>136637672</v>
          </cell>
        </row>
        <row r="24">
          <cell r="C24">
            <v>1101100</v>
          </cell>
        </row>
        <row r="29">
          <cell r="Z29">
            <v>55827</v>
          </cell>
        </row>
        <row r="30">
          <cell r="D30">
            <v>3957529</v>
          </cell>
          <cell r="E30">
            <v>3284260</v>
          </cell>
          <cell r="F30">
            <v>438502</v>
          </cell>
          <cell r="G30">
            <v>88171</v>
          </cell>
          <cell r="H30">
            <v>1995358</v>
          </cell>
          <cell r="J30">
            <v>12128663</v>
          </cell>
          <cell r="L30">
            <v>28917</v>
          </cell>
          <cell r="M30">
            <v>83468</v>
          </cell>
          <cell r="O30">
            <v>420000</v>
          </cell>
          <cell r="P30">
            <v>4200</v>
          </cell>
          <cell r="Q30">
            <v>9654</v>
          </cell>
        </row>
        <row r="31">
          <cell r="Z31">
            <v>8987457</v>
          </cell>
        </row>
        <row r="32">
          <cell r="Z32">
            <v>14917859</v>
          </cell>
        </row>
        <row r="34">
          <cell r="P34">
            <v>4736481</v>
          </cell>
          <cell r="Z34">
            <v>4736481</v>
          </cell>
        </row>
        <row r="35">
          <cell r="P35">
            <v>-51730</v>
          </cell>
          <cell r="Z35">
            <v>-51730</v>
          </cell>
        </row>
        <row r="43">
          <cell r="P43">
            <v>4736956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Oktobris"/>
      <sheetName val="Nov.1"/>
      <sheetName val="Novembris"/>
      <sheetName val="Decembris"/>
    </sheetNames>
    <sheetDataSet>
      <sheetData sheetId="9">
        <row r="22">
          <cell r="D22">
            <v>1892170</v>
          </cell>
          <cell r="J22">
            <v>1892</v>
          </cell>
        </row>
        <row r="24">
          <cell r="D24">
            <v>1791679</v>
          </cell>
          <cell r="J24">
            <v>1791</v>
          </cell>
        </row>
        <row r="25">
          <cell r="D25">
            <v>25726</v>
          </cell>
          <cell r="J25">
            <v>26</v>
          </cell>
        </row>
        <row r="29">
          <cell r="D29">
            <v>2206638</v>
          </cell>
          <cell r="J29">
            <v>2207</v>
          </cell>
        </row>
        <row r="30">
          <cell r="D30">
            <v>533557</v>
          </cell>
          <cell r="J30">
            <v>533</v>
          </cell>
        </row>
        <row r="32">
          <cell r="D32">
            <v>537724</v>
          </cell>
          <cell r="J32">
            <v>538</v>
          </cell>
        </row>
        <row r="35">
          <cell r="D35">
            <v>1147829</v>
          </cell>
          <cell r="J35">
            <v>1148</v>
          </cell>
        </row>
        <row r="37">
          <cell r="D37">
            <v>32052</v>
          </cell>
          <cell r="J37">
            <v>32</v>
          </cell>
        </row>
        <row r="41">
          <cell r="D41">
            <v>1452842</v>
          </cell>
          <cell r="J41">
            <v>1453</v>
          </cell>
        </row>
        <row r="43">
          <cell r="D43">
            <v>1177970</v>
          </cell>
          <cell r="J43">
            <v>1178</v>
          </cell>
        </row>
        <row r="44">
          <cell r="D44">
            <v>300000</v>
          </cell>
          <cell r="J44">
            <v>300</v>
          </cell>
        </row>
        <row r="45">
          <cell r="D45">
            <v>258000</v>
          </cell>
          <cell r="J45">
            <v>258</v>
          </cell>
        </row>
        <row r="48">
          <cell r="D48">
            <v>1173584</v>
          </cell>
          <cell r="J48">
            <v>1174</v>
          </cell>
        </row>
        <row r="50">
          <cell r="D50">
            <v>603020</v>
          </cell>
          <cell r="J50">
            <v>603</v>
          </cell>
        </row>
        <row r="51">
          <cell r="D51">
            <v>3172</v>
          </cell>
          <cell r="J51">
            <v>3</v>
          </cell>
        </row>
        <row r="52">
          <cell r="D52">
            <v>3912469</v>
          </cell>
          <cell r="J52">
            <v>3912</v>
          </cell>
        </row>
        <row r="53">
          <cell r="D53">
            <v>45663</v>
          </cell>
          <cell r="J53">
            <v>46</v>
          </cell>
        </row>
        <row r="54">
          <cell r="D54">
            <v>-3299414</v>
          </cell>
          <cell r="J54">
            <v>-3299</v>
          </cell>
        </row>
        <row r="55">
          <cell r="D55">
            <v>3911033</v>
          </cell>
          <cell r="J55">
            <v>3911</v>
          </cell>
        </row>
        <row r="59">
          <cell r="D59">
            <v>354787</v>
          </cell>
          <cell r="J59">
            <v>355</v>
          </cell>
        </row>
        <row r="60">
          <cell r="D60">
            <v>199443</v>
          </cell>
          <cell r="J60">
            <v>199</v>
          </cell>
        </row>
        <row r="62">
          <cell r="D62">
            <v>376276</v>
          </cell>
          <cell r="J62">
            <v>376</v>
          </cell>
        </row>
        <row r="63">
          <cell r="D63">
            <v>79522</v>
          </cell>
          <cell r="J63">
            <v>80</v>
          </cell>
        </row>
        <row r="67">
          <cell r="D67">
            <v>7264188</v>
          </cell>
          <cell r="J67">
            <v>7264</v>
          </cell>
        </row>
        <row r="68">
          <cell r="D68">
            <v>36127432</v>
          </cell>
          <cell r="J68">
            <v>36127</v>
          </cell>
        </row>
        <row r="69">
          <cell r="D69">
            <v>20632</v>
          </cell>
          <cell r="J69">
            <v>21</v>
          </cell>
        </row>
        <row r="70">
          <cell r="D70">
            <v>1013981</v>
          </cell>
          <cell r="J70">
            <v>1014</v>
          </cell>
        </row>
        <row r="72">
          <cell r="D72">
            <v>37335096</v>
          </cell>
          <cell r="J72">
            <v>37335</v>
          </cell>
        </row>
        <row r="73">
          <cell r="D73">
            <v>11618537</v>
          </cell>
          <cell r="J73">
            <v>11619</v>
          </cell>
        </row>
        <row r="74">
          <cell r="D74">
            <v>-4527400</v>
          </cell>
          <cell r="J74">
            <v>-4528</v>
          </cell>
        </row>
        <row r="78">
          <cell r="D78">
            <v>617050</v>
          </cell>
          <cell r="J78">
            <v>617</v>
          </cell>
        </row>
        <row r="79">
          <cell r="D79">
            <v>12517</v>
          </cell>
          <cell r="J79">
            <v>13</v>
          </cell>
        </row>
        <row r="81">
          <cell r="D81">
            <v>297986</v>
          </cell>
          <cell r="J81">
            <v>298</v>
          </cell>
        </row>
        <row r="82">
          <cell r="D82">
            <v>78264</v>
          </cell>
          <cell r="J82">
            <v>78</v>
          </cell>
        </row>
        <row r="84">
          <cell r="D84">
            <v>1849196</v>
          </cell>
          <cell r="J84">
            <v>1849</v>
          </cell>
        </row>
        <row r="86">
          <cell r="D86">
            <v>1977962</v>
          </cell>
          <cell r="J86">
            <v>1978</v>
          </cell>
        </row>
        <row r="91">
          <cell r="D91">
            <v>60407004</v>
          </cell>
          <cell r="J91">
            <v>60407</v>
          </cell>
        </row>
        <row r="92">
          <cell r="D92">
            <v>45581880</v>
          </cell>
          <cell r="J92">
            <v>45582</v>
          </cell>
        </row>
        <row r="93">
          <cell r="D93">
            <v>2449707</v>
          </cell>
          <cell r="J93">
            <v>2450</v>
          </cell>
        </row>
        <row r="95">
          <cell r="D95">
            <v>104611483</v>
          </cell>
          <cell r="J95">
            <v>104612</v>
          </cell>
        </row>
        <row r="96">
          <cell r="D96">
            <v>3739243</v>
          </cell>
          <cell r="J96">
            <v>3739</v>
          </cell>
        </row>
        <row r="97">
          <cell r="D97">
            <v>87865</v>
          </cell>
          <cell r="J97">
            <v>88</v>
          </cell>
        </row>
        <row r="98">
          <cell r="D98">
            <v>2786998</v>
          </cell>
          <cell r="J98">
            <v>2787</v>
          </cell>
        </row>
        <row r="101">
          <cell r="D101">
            <v>383366538</v>
          </cell>
          <cell r="J101">
            <v>383367</v>
          </cell>
        </row>
        <row r="102">
          <cell r="D102">
            <v>4984996</v>
          </cell>
          <cell r="J102">
            <v>4985</v>
          </cell>
        </row>
        <row r="103">
          <cell r="D103">
            <v>1664048</v>
          </cell>
          <cell r="J103">
            <v>1664</v>
          </cell>
        </row>
        <row r="105">
          <cell r="D105">
            <v>421359901</v>
          </cell>
          <cell r="J105">
            <v>421360</v>
          </cell>
        </row>
        <row r="106">
          <cell r="D106">
            <v>1271691</v>
          </cell>
          <cell r="J106">
            <v>1272</v>
          </cell>
        </row>
        <row r="107">
          <cell r="D107">
            <v>-32616010</v>
          </cell>
          <cell r="J107">
            <v>-32616</v>
          </cell>
        </row>
        <row r="108">
          <cell r="D108">
            <v>35608597</v>
          </cell>
          <cell r="J108">
            <v>35608</v>
          </cell>
        </row>
        <row r="111">
          <cell r="D111">
            <v>287972220</v>
          </cell>
          <cell r="J111">
            <v>287972</v>
          </cell>
        </row>
        <row r="112">
          <cell r="D112">
            <v>2785833</v>
          </cell>
          <cell r="J112">
            <v>2786</v>
          </cell>
        </row>
        <row r="113">
          <cell r="D113">
            <v>13047448</v>
          </cell>
          <cell r="J113">
            <v>13047</v>
          </cell>
        </row>
        <row r="115">
          <cell r="D115">
            <v>335201942</v>
          </cell>
          <cell r="J115">
            <v>335202</v>
          </cell>
        </row>
        <row r="116">
          <cell r="D116">
            <v>-31396441</v>
          </cell>
          <cell r="J116">
            <v>-31397</v>
          </cell>
        </row>
        <row r="117">
          <cell r="D117">
            <v>31410372</v>
          </cell>
          <cell r="J117">
            <v>31410</v>
          </cell>
        </row>
        <row r="120">
          <cell r="D120">
            <v>26061927</v>
          </cell>
          <cell r="J120">
            <v>26062</v>
          </cell>
        </row>
        <row r="121">
          <cell r="D121">
            <v>373332</v>
          </cell>
          <cell r="J121">
            <v>373</v>
          </cell>
        </row>
        <row r="122">
          <cell r="D122">
            <v>3493870</v>
          </cell>
          <cell r="J122">
            <v>3494</v>
          </cell>
        </row>
        <row r="124">
          <cell r="D124">
            <v>27440623</v>
          </cell>
          <cell r="J124">
            <v>27441</v>
          </cell>
        </row>
        <row r="125">
          <cell r="D125">
            <v>2488506</v>
          </cell>
          <cell r="J125">
            <v>2488</v>
          </cell>
        </row>
        <row r="128">
          <cell r="D128">
            <v>843180</v>
          </cell>
          <cell r="J128">
            <v>843</v>
          </cell>
        </row>
        <row r="130">
          <cell r="D130">
            <v>16789</v>
          </cell>
          <cell r="J130">
            <v>17</v>
          </cell>
        </row>
        <row r="132">
          <cell r="D132">
            <v>641620</v>
          </cell>
          <cell r="J132">
            <v>642</v>
          </cell>
        </row>
        <row r="134">
          <cell r="D134">
            <v>218349</v>
          </cell>
          <cell r="J134">
            <v>218</v>
          </cell>
        </row>
        <row r="135">
          <cell r="J135">
            <v>0</v>
          </cell>
        </row>
        <row r="138">
          <cell r="D138">
            <v>68489211</v>
          </cell>
          <cell r="J138">
            <v>68489</v>
          </cell>
        </row>
        <row r="140">
          <cell r="D140">
            <v>459138</v>
          </cell>
          <cell r="J140">
            <v>459</v>
          </cell>
        </row>
        <row r="142">
          <cell r="D142">
            <v>72115276</v>
          </cell>
          <cell r="J142">
            <v>72115</v>
          </cell>
        </row>
        <row r="143">
          <cell r="D143">
            <v>-3166927</v>
          </cell>
          <cell r="J143">
            <v>-3167</v>
          </cell>
        </row>
        <row r="144">
          <cell r="D144">
            <v>3167247</v>
          </cell>
          <cell r="J144">
            <v>3167</v>
          </cell>
        </row>
        <row r="147">
          <cell r="D147">
            <v>1825831</v>
          </cell>
          <cell r="J147">
            <v>1826</v>
          </cell>
        </row>
        <row r="148">
          <cell r="D148">
            <v>6286080</v>
          </cell>
          <cell r="J148">
            <v>6286</v>
          </cell>
        </row>
        <row r="150">
          <cell r="D150">
            <v>7599717</v>
          </cell>
          <cell r="J150">
            <v>7600</v>
          </cell>
        </row>
        <row r="151">
          <cell r="D151">
            <v>1271691</v>
          </cell>
          <cell r="J151">
            <v>1272</v>
          </cell>
        </row>
        <row r="152">
          <cell r="D152">
            <v>-759497</v>
          </cell>
          <cell r="J152">
            <v>-760</v>
          </cell>
        </row>
        <row r="153">
          <cell r="D153">
            <v>1030978</v>
          </cell>
          <cell r="J153">
            <v>1031</v>
          </cell>
        </row>
        <row r="157">
          <cell r="D157">
            <v>6775453</v>
          </cell>
          <cell r="J157">
            <v>6775</v>
          </cell>
        </row>
        <row r="158">
          <cell r="D158">
            <v>380509</v>
          </cell>
          <cell r="J158">
            <v>381</v>
          </cell>
        </row>
        <row r="159">
          <cell r="D159">
            <v>100013</v>
          </cell>
          <cell r="J159">
            <v>100</v>
          </cell>
        </row>
        <row r="161">
          <cell r="D161">
            <v>2842964</v>
          </cell>
          <cell r="J161">
            <v>2843</v>
          </cell>
        </row>
        <row r="162">
          <cell r="D162">
            <v>2524517</v>
          </cell>
          <cell r="J162">
            <v>2524</v>
          </cell>
        </row>
        <row r="164">
          <cell r="D164">
            <v>443709</v>
          </cell>
          <cell r="J164">
            <v>444</v>
          </cell>
        </row>
        <row r="165">
          <cell r="D165">
            <v>305421</v>
          </cell>
          <cell r="J165">
            <v>305</v>
          </cell>
        </row>
        <row r="166">
          <cell r="D166">
            <v>59977</v>
          </cell>
          <cell r="J166">
            <v>60</v>
          </cell>
        </row>
        <row r="167">
          <cell r="D167">
            <v>245444</v>
          </cell>
          <cell r="J167">
            <v>245</v>
          </cell>
        </row>
        <row r="171">
          <cell r="D171">
            <v>1051747</v>
          </cell>
          <cell r="J171">
            <v>1052</v>
          </cell>
        </row>
        <row r="172">
          <cell r="D172">
            <v>466140</v>
          </cell>
          <cell r="J172">
            <v>466</v>
          </cell>
        </row>
        <row r="173">
          <cell r="D173">
            <v>100000</v>
          </cell>
          <cell r="J173">
            <v>100</v>
          </cell>
        </row>
        <row r="175">
          <cell r="D175">
            <v>1790000</v>
          </cell>
          <cell r="J175">
            <v>1790</v>
          </cell>
        </row>
        <row r="178">
          <cell r="D178">
            <v>72861</v>
          </cell>
          <cell r="J178">
            <v>73</v>
          </cell>
        </row>
        <row r="180">
          <cell r="D180">
            <v>143797</v>
          </cell>
          <cell r="J180">
            <v>144</v>
          </cell>
        </row>
        <row r="181">
          <cell r="D181">
            <v>9654</v>
          </cell>
          <cell r="J181">
            <v>10</v>
          </cell>
        </row>
        <row r="182">
          <cell r="D182">
            <v>-80590</v>
          </cell>
          <cell r="J182">
            <v>-81</v>
          </cell>
        </row>
        <row r="183">
          <cell r="D183">
            <v>41668</v>
          </cell>
          <cell r="J183">
            <v>42</v>
          </cell>
        </row>
      </sheetData>
      <sheetData sheetId="11">
        <row r="72">
          <cell r="F72">
            <v>4598304</v>
          </cell>
        </row>
        <row r="73">
          <cell r="F73">
            <v>513509</v>
          </cell>
        </row>
        <row r="74">
          <cell r="F74">
            <v>3804725</v>
          </cell>
        </row>
        <row r="84">
          <cell r="F84">
            <v>1262000</v>
          </cell>
        </row>
        <row r="91">
          <cell r="F91">
            <v>9907</v>
          </cell>
        </row>
        <row r="100">
          <cell r="F100">
            <v>9800174</v>
          </cell>
        </row>
        <row r="109">
          <cell r="F109">
            <v>109100</v>
          </cell>
        </row>
        <row r="167">
          <cell r="F167">
            <v>793156</v>
          </cell>
        </row>
        <row r="173">
          <cell r="F173">
            <v>759743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Maijs2"/>
      <sheetName val="Junijs"/>
      <sheetName val="Julijs"/>
      <sheetName val="Julijs1"/>
      <sheetName val="Augusts"/>
      <sheetName val="Septembris"/>
      <sheetName val="Oktobris"/>
      <sheetName val="Novembris"/>
      <sheetName val="Decembris"/>
    </sheetNames>
    <sheetDataSet>
      <sheetData sheetId="12">
        <row r="83">
          <cell r="C83">
            <v>53459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32.57421875" style="4" customWidth="1"/>
    <col min="2" max="2" width="11.8515625" style="4" customWidth="1"/>
    <col min="3" max="3" width="13.421875" style="4" customWidth="1"/>
    <col min="4" max="4" width="12.57421875" style="4" customWidth="1"/>
    <col min="5" max="5" width="12.7109375" style="4" customWidth="1"/>
  </cols>
  <sheetData>
    <row r="1" spans="1:5" ht="12.75">
      <c r="A1" s="731" t="s">
        <v>139</v>
      </c>
      <c r="B1" s="731"/>
      <c r="C1" s="731"/>
      <c r="D1" s="731"/>
      <c r="E1" s="731"/>
    </row>
    <row r="2" spans="1:5" ht="18.75" customHeight="1">
      <c r="A2" s="731"/>
      <c r="B2" s="731"/>
      <c r="C2" s="731"/>
      <c r="D2" s="731"/>
      <c r="E2" s="731"/>
    </row>
    <row r="3" spans="1:5" ht="12.75">
      <c r="A3" s="63"/>
      <c r="E3" s="64" t="s">
        <v>140</v>
      </c>
    </row>
    <row r="4" spans="1:5" ht="33.75">
      <c r="A4" s="65" t="s">
        <v>101</v>
      </c>
      <c r="B4" s="9" t="s">
        <v>141</v>
      </c>
      <c r="C4" s="9" t="s">
        <v>142</v>
      </c>
      <c r="D4" s="9" t="s">
        <v>143</v>
      </c>
      <c r="E4" s="9" t="s">
        <v>107</v>
      </c>
    </row>
    <row r="5" spans="1:5" ht="12.75">
      <c r="A5" s="66" t="s">
        <v>144</v>
      </c>
      <c r="B5" s="20">
        <v>1190327</v>
      </c>
      <c r="C5" s="67">
        <v>402526</v>
      </c>
      <c r="D5" s="20">
        <f>B5+C5</f>
        <v>1592853</v>
      </c>
      <c r="E5" s="20">
        <f>D5-'[2]Oktobris'!D5</f>
        <v>147204</v>
      </c>
    </row>
    <row r="6" spans="1:5" ht="22.5">
      <c r="A6" s="68" t="s">
        <v>145</v>
      </c>
      <c r="B6" s="69" t="s">
        <v>146</v>
      </c>
      <c r="C6" s="69" t="s">
        <v>146</v>
      </c>
      <c r="D6" s="70">
        <v>98192</v>
      </c>
      <c r="E6" s="70">
        <f>D6-'[2]Oktobris'!D6-1</f>
        <v>9676</v>
      </c>
    </row>
    <row r="7" spans="1:5" ht="22.5">
      <c r="A7" s="68" t="s">
        <v>147</v>
      </c>
      <c r="B7" s="69" t="s">
        <v>146</v>
      </c>
      <c r="C7" s="69" t="s">
        <v>146</v>
      </c>
      <c r="D7" s="70">
        <v>11622</v>
      </c>
      <c r="E7" s="70">
        <f>D7-'[2]Oktobris'!D7</f>
        <v>1353</v>
      </c>
    </row>
    <row r="8" spans="1:5" ht="12.75">
      <c r="A8" s="71" t="s">
        <v>148</v>
      </c>
      <c r="B8" s="72" t="s">
        <v>146</v>
      </c>
      <c r="C8" s="72" t="s">
        <v>146</v>
      </c>
      <c r="D8" s="20">
        <f>D5-D6-D7</f>
        <v>1483039</v>
      </c>
      <c r="E8" s="20">
        <f>D8-'[2]Oktobris'!D8</f>
        <v>136174</v>
      </c>
    </row>
    <row r="9" spans="1:5" ht="12.75">
      <c r="A9" s="66" t="s">
        <v>149</v>
      </c>
      <c r="B9" s="20">
        <v>1269292</v>
      </c>
      <c r="C9" s="67">
        <v>405544</v>
      </c>
      <c r="D9" s="20">
        <f>B9+C9</f>
        <v>1674836</v>
      </c>
      <c r="E9" s="20">
        <f>D9-'[2]Oktobris'!D9</f>
        <v>159025</v>
      </c>
    </row>
    <row r="10" spans="1:5" ht="22.5">
      <c r="A10" s="68" t="s">
        <v>150</v>
      </c>
      <c r="B10" s="69" t="s">
        <v>146</v>
      </c>
      <c r="C10" s="69" t="s">
        <v>146</v>
      </c>
      <c r="D10" s="70">
        <v>98192</v>
      </c>
      <c r="E10" s="70">
        <f>D10-'[2]Oktobris'!D10-1</f>
        <v>9676</v>
      </c>
    </row>
    <row r="11" spans="1:5" ht="22.5">
      <c r="A11" s="68" t="s">
        <v>151</v>
      </c>
      <c r="B11" s="69" t="s">
        <v>146</v>
      </c>
      <c r="C11" s="69" t="s">
        <v>146</v>
      </c>
      <c r="D11" s="70">
        <v>11622</v>
      </c>
      <c r="E11" s="70">
        <f>D11-'[2]Oktobris'!D11</f>
        <v>1353</v>
      </c>
    </row>
    <row r="12" spans="1:5" ht="12.75">
      <c r="A12" s="71" t="s">
        <v>152</v>
      </c>
      <c r="B12" s="72" t="s">
        <v>146</v>
      </c>
      <c r="C12" s="72" t="s">
        <v>146</v>
      </c>
      <c r="D12" s="20">
        <f>D9-D10-D11</f>
        <v>1565022</v>
      </c>
      <c r="E12" s="20">
        <f>D12-'[2]Oktobris'!D12</f>
        <v>147995</v>
      </c>
    </row>
    <row r="13" spans="1:5" ht="25.5">
      <c r="A13" s="71" t="s">
        <v>153</v>
      </c>
      <c r="B13" s="20">
        <f>B5-B9</f>
        <v>-78965</v>
      </c>
      <c r="C13" s="67">
        <f>C5-C9</f>
        <v>-3018</v>
      </c>
      <c r="D13" s="20">
        <f>D8-D12</f>
        <v>-81983</v>
      </c>
      <c r="E13" s="20">
        <f>D13-'[2]Oktobris'!D13</f>
        <v>-11821</v>
      </c>
    </row>
    <row r="14" spans="1:5" ht="12.75">
      <c r="A14" s="73" t="s">
        <v>154</v>
      </c>
      <c r="B14" s="67">
        <f>B15-B18</f>
        <v>14082</v>
      </c>
      <c r="C14" s="67">
        <f>C15-C18</f>
        <v>-1148</v>
      </c>
      <c r="D14" s="67">
        <f>D17-D20</f>
        <v>2283</v>
      </c>
      <c r="E14" s="67">
        <f>D14-'[2]Oktobris'!D14</f>
        <v>1717</v>
      </c>
    </row>
    <row r="15" spans="1:5" ht="12.75">
      <c r="A15" s="74" t="s">
        <v>155</v>
      </c>
      <c r="B15" s="75">
        <v>32432</v>
      </c>
      <c r="C15" s="76">
        <v>4937</v>
      </c>
      <c r="D15" s="75">
        <f>B15+C15</f>
        <v>37369</v>
      </c>
      <c r="E15" s="75">
        <f>D15-'[2]Oktobris'!D15</f>
        <v>3375</v>
      </c>
    </row>
    <row r="16" spans="1:5" ht="22.5">
      <c r="A16" s="68" t="s">
        <v>156</v>
      </c>
      <c r="B16" s="69" t="s">
        <v>146</v>
      </c>
      <c r="C16" s="69" t="s">
        <v>146</v>
      </c>
      <c r="D16" s="70">
        <v>21840</v>
      </c>
      <c r="E16" s="70">
        <f>D16-'[2]Oktobris'!D16</f>
        <v>1416</v>
      </c>
    </row>
    <row r="17" spans="1:5" ht="12.75">
      <c r="A17" s="73" t="s">
        <v>157</v>
      </c>
      <c r="B17" s="72" t="s">
        <v>146</v>
      </c>
      <c r="C17" s="72" t="s">
        <v>146</v>
      </c>
      <c r="D17" s="20">
        <f>D15-D16</f>
        <v>15529</v>
      </c>
      <c r="E17" s="20">
        <f>D17-'[2]Oktobris'!D17</f>
        <v>1959</v>
      </c>
    </row>
    <row r="18" spans="1:5" ht="12.75">
      <c r="A18" s="74" t="s">
        <v>158</v>
      </c>
      <c r="B18" s="75">
        <v>18350</v>
      </c>
      <c r="C18" s="76">
        <v>6085</v>
      </c>
      <c r="D18" s="75">
        <f>B18+C18</f>
        <v>24435</v>
      </c>
      <c r="E18" s="75">
        <f>D18-'[2]Oktobris'!D18</f>
        <v>1042</v>
      </c>
    </row>
    <row r="19" spans="1:5" ht="22.5">
      <c r="A19" s="68" t="s">
        <v>159</v>
      </c>
      <c r="B19" s="77" t="s">
        <v>146</v>
      </c>
      <c r="C19" s="77" t="s">
        <v>146</v>
      </c>
      <c r="D19" s="70">
        <v>11189</v>
      </c>
      <c r="E19" s="70">
        <f>D19-'[2]Oktobris'!D19</f>
        <v>800</v>
      </c>
    </row>
    <row r="20" spans="1:5" ht="12.75">
      <c r="A20" s="73" t="s">
        <v>160</v>
      </c>
      <c r="B20" s="72" t="s">
        <v>146</v>
      </c>
      <c r="C20" s="72" t="s">
        <v>146</v>
      </c>
      <c r="D20" s="20">
        <f>D18-D19</f>
        <v>13246</v>
      </c>
      <c r="E20" s="20">
        <f>D20-'[2]Oktobris'!D20</f>
        <v>242</v>
      </c>
    </row>
    <row r="21" spans="1:5" ht="25.5">
      <c r="A21" s="71" t="s">
        <v>161</v>
      </c>
      <c r="B21" s="67">
        <f>B13-B14</f>
        <v>-93047</v>
      </c>
      <c r="C21" s="67">
        <f>C13-C14</f>
        <v>-1870</v>
      </c>
      <c r="D21" s="20">
        <f>D13-D14</f>
        <v>-84266</v>
      </c>
      <c r="E21" s="20">
        <f>D21-'[2]Oktobris'!D21</f>
        <v>-13538</v>
      </c>
    </row>
    <row r="22" spans="1:5" ht="12.75">
      <c r="A22" s="66" t="s">
        <v>162</v>
      </c>
      <c r="B22" s="20">
        <f>B23+B38</f>
        <v>93047</v>
      </c>
      <c r="C22" s="67">
        <f>C23+C38</f>
        <v>1870</v>
      </c>
      <c r="D22" s="20">
        <f>D23+D38</f>
        <v>84266</v>
      </c>
      <c r="E22" s="20">
        <f>D22-'[2]Oktobris'!D22</f>
        <v>13538</v>
      </c>
    </row>
    <row r="23" spans="1:5" ht="12.75">
      <c r="A23" s="66" t="s">
        <v>163</v>
      </c>
      <c r="B23" s="20">
        <f>B24+B29+B33+B37</f>
        <v>109409</v>
      </c>
      <c r="C23" s="67">
        <f>C24+C29+C33+C37</f>
        <v>1870</v>
      </c>
      <c r="D23" s="67">
        <f>D24+D29+D33+D37</f>
        <v>100628</v>
      </c>
      <c r="E23" s="67">
        <f>D23-'[2]Oktobris'!D23</f>
        <v>9534</v>
      </c>
    </row>
    <row r="24" spans="1:5" ht="12.75">
      <c r="A24" s="78" t="s">
        <v>164</v>
      </c>
      <c r="B24" s="79">
        <f>B25+B26</f>
        <v>0</v>
      </c>
      <c r="C24" s="79">
        <f>C25+C26</f>
        <v>10890</v>
      </c>
      <c r="D24" s="79">
        <f>D25+D28</f>
        <v>239</v>
      </c>
      <c r="E24" s="79">
        <f>D24-'[2]Oktobris'!D24</f>
        <v>-14</v>
      </c>
    </row>
    <row r="25" spans="1:5" ht="22.5">
      <c r="A25" s="68" t="s">
        <v>165</v>
      </c>
      <c r="B25" s="70"/>
      <c r="C25" s="80">
        <v>239</v>
      </c>
      <c r="D25" s="70">
        <f>B25+C25</f>
        <v>239</v>
      </c>
      <c r="E25" s="70">
        <f>D25-'[2]Oktobris'!D25</f>
        <v>-14</v>
      </c>
    </row>
    <row r="26" spans="1:5" ht="22.5">
      <c r="A26" s="68" t="s">
        <v>166</v>
      </c>
      <c r="B26" s="70"/>
      <c r="C26" s="80">
        <v>10651</v>
      </c>
      <c r="D26" s="70">
        <f>B26+C26</f>
        <v>10651</v>
      </c>
      <c r="E26" s="70">
        <f>D26-'[2]Oktobris'!D26</f>
        <v>616</v>
      </c>
    </row>
    <row r="27" spans="1:5" ht="22.5">
      <c r="A27" s="81" t="s">
        <v>167</v>
      </c>
      <c r="B27" s="77" t="s">
        <v>146</v>
      </c>
      <c r="C27" s="77" t="s">
        <v>146</v>
      </c>
      <c r="D27" s="82">
        <v>-10651</v>
      </c>
      <c r="E27" s="82">
        <f>D27-'[2]Oktobris'!D27</f>
        <v>-616</v>
      </c>
    </row>
    <row r="28" spans="1:5" ht="22.5">
      <c r="A28" s="68" t="s">
        <v>168</v>
      </c>
      <c r="B28" s="77" t="s">
        <v>146</v>
      </c>
      <c r="C28" s="77" t="s">
        <v>146</v>
      </c>
      <c r="D28" s="82"/>
      <c r="E28" s="82">
        <f>D28-'[2]Oktobris'!D28</f>
        <v>0</v>
      </c>
    </row>
    <row r="29" spans="1:5" ht="12.75">
      <c r="A29" s="83" t="s">
        <v>169</v>
      </c>
      <c r="B29" s="82">
        <f>SUM(B30:B32)</f>
        <v>90034</v>
      </c>
      <c r="C29" s="79">
        <f>SUM(C30:C32)</f>
        <v>0</v>
      </c>
      <c r="D29" s="82">
        <f aca="true" t="shared" si="0" ref="D29:D37">B29+C29</f>
        <v>90034</v>
      </c>
      <c r="E29" s="82">
        <f>D29-'[2]Oktobris'!D29</f>
        <v>23679</v>
      </c>
    </row>
    <row r="30" spans="1:5" ht="12.75">
      <c r="A30" s="68" t="s">
        <v>170</v>
      </c>
      <c r="B30" s="70">
        <v>17199</v>
      </c>
      <c r="C30" s="80"/>
      <c r="D30" s="70">
        <f t="shared" si="0"/>
        <v>17199</v>
      </c>
      <c r="E30" s="70">
        <f>D30-'[2]Oktobris'!D30</f>
        <v>40031</v>
      </c>
    </row>
    <row r="31" spans="1:5" ht="22.5">
      <c r="A31" s="68" t="s">
        <v>171</v>
      </c>
      <c r="B31" s="70">
        <v>-5618</v>
      </c>
      <c r="C31" s="80"/>
      <c r="D31" s="70">
        <f t="shared" si="0"/>
        <v>-5618</v>
      </c>
      <c r="E31" s="70">
        <f>D31-'[2]Oktobris'!D31</f>
        <v>-28656</v>
      </c>
    </row>
    <row r="32" spans="1:5" ht="12.75">
      <c r="A32" s="68" t="s">
        <v>172</v>
      </c>
      <c r="B32" s="70">
        <v>78453</v>
      </c>
      <c r="C32" s="80"/>
      <c r="D32" s="70">
        <f t="shared" si="0"/>
        <v>78453</v>
      </c>
      <c r="E32" s="70">
        <f>D32-'[2]Oktobris'!D32</f>
        <v>12304</v>
      </c>
    </row>
    <row r="33" spans="1:5" ht="12.75">
      <c r="A33" s="84" t="s">
        <v>173</v>
      </c>
      <c r="B33" s="82">
        <f>SUM(B34:B36)</f>
        <v>-222</v>
      </c>
      <c r="C33" s="80">
        <f>SUM(C34:C36)</f>
        <v>-22072</v>
      </c>
      <c r="D33" s="82">
        <f t="shared" si="0"/>
        <v>-22294</v>
      </c>
      <c r="E33" s="82">
        <f>D33-'[2]Oktobris'!D33</f>
        <v>-15809</v>
      </c>
    </row>
    <row r="34" spans="1:5" ht="12.75">
      <c r="A34" s="69" t="s">
        <v>174</v>
      </c>
      <c r="B34" s="70"/>
      <c r="C34" s="80">
        <v>-7302</v>
      </c>
      <c r="D34" s="70">
        <f t="shared" si="0"/>
        <v>-7302</v>
      </c>
      <c r="E34" s="70">
        <f>D34-'[2]Oktobris'!D34</f>
        <v>-5045</v>
      </c>
    </row>
    <row r="35" spans="1:5" ht="12.75">
      <c r="A35" s="69" t="s">
        <v>170</v>
      </c>
      <c r="B35" s="70">
        <v>-851</v>
      </c>
      <c r="C35" s="80"/>
      <c r="D35" s="70">
        <f t="shared" si="0"/>
        <v>-851</v>
      </c>
      <c r="E35" s="70">
        <f>D35-'[2]Oktobris'!D35</f>
        <v>-8000</v>
      </c>
    </row>
    <row r="36" spans="1:5" ht="22.5">
      <c r="A36" s="68" t="s">
        <v>171</v>
      </c>
      <c r="B36" s="70">
        <v>629</v>
      </c>
      <c r="C36" s="80">
        <v>-14770</v>
      </c>
      <c r="D36" s="70">
        <f t="shared" si="0"/>
        <v>-14141</v>
      </c>
      <c r="E36" s="70">
        <f>D36-'[2]Oktobris'!D36</f>
        <v>-2764</v>
      </c>
    </row>
    <row r="37" spans="1:5" ht="12.75">
      <c r="A37" s="84" t="s">
        <v>175</v>
      </c>
      <c r="B37" s="82">
        <f>-6142+25739</f>
        <v>19597</v>
      </c>
      <c r="C37" s="79">
        <v>13052</v>
      </c>
      <c r="D37" s="70">
        <f t="shared" si="0"/>
        <v>32649</v>
      </c>
      <c r="E37" s="70">
        <f>D37-'[2]Oktobris'!D37</f>
        <v>1678</v>
      </c>
    </row>
    <row r="38" spans="1:5" ht="12.75">
      <c r="A38" s="85" t="s">
        <v>176</v>
      </c>
      <c r="B38" s="20">
        <v>-16362</v>
      </c>
      <c r="C38" s="67"/>
      <c r="D38" s="20">
        <f>B38+C38</f>
        <v>-16362</v>
      </c>
      <c r="E38" s="20">
        <f>D38-'[2]Oktobris'!D38</f>
        <v>4004</v>
      </c>
    </row>
    <row r="39" spans="1:5" ht="12.75">
      <c r="A39" s="86" t="s">
        <v>177</v>
      </c>
      <c r="B39" s="87"/>
      <c r="C39" s="88"/>
      <c r="D39" s="89"/>
      <c r="E39" s="90"/>
    </row>
    <row r="40" spans="1:5" ht="12.75">
      <c r="A40" s="86"/>
      <c r="B40" s="87"/>
      <c r="C40" s="88"/>
      <c r="D40" s="89"/>
      <c r="E40" s="90"/>
    </row>
    <row r="41" spans="1:5" ht="12.75">
      <c r="A41" s="1"/>
      <c r="B41" s="91"/>
      <c r="C41" s="88"/>
      <c r="D41" s="92"/>
      <c r="E41" s="93"/>
    </row>
    <row r="42" spans="1:5" ht="12.75">
      <c r="A42" s="732"/>
      <c r="B42" s="732"/>
      <c r="C42" s="732"/>
      <c r="D42" s="732"/>
      <c r="E42" s="90"/>
    </row>
    <row r="43" spans="1:5" ht="12.75">
      <c r="A43" s="94" t="s">
        <v>178</v>
      </c>
      <c r="B43" s="7"/>
      <c r="C43" s="7"/>
      <c r="D43" s="7"/>
      <c r="E43" s="95"/>
    </row>
    <row r="44" spans="1:5" ht="12.75">
      <c r="A44" s="7"/>
      <c r="B44" s="7"/>
      <c r="C44" s="7"/>
      <c r="D44" s="7"/>
      <c r="E44" s="90"/>
    </row>
    <row r="45" spans="1:5" ht="12.75">
      <c r="A45" s="50"/>
      <c r="B45" s="50"/>
      <c r="C45" s="96"/>
      <c r="D45" s="97"/>
      <c r="E45" s="98"/>
    </row>
    <row r="46" spans="1:5" ht="12.75">
      <c r="A46" s="50" t="s">
        <v>179</v>
      </c>
      <c r="B46" s="87"/>
      <c r="C46" s="88"/>
      <c r="D46" s="89"/>
      <c r="E46" s="90"/>
    </row>
    <row r="47" spans="1:5" ht="12.75">
      <c r="A47" s="50" t="s">
        <v>180</v>
      </c>
      <c r="B47" s="87"/>
      <c r="C47" s="88"/>
      <c r="D47" s="89"/>
      <c r="E47" s="90"/>
    </row>
  </sheetData>
  <mergeCells count="2">
    <mergeCell ref="A1:E2"/>
    <mergeCell ref="A42:D42"/>
  </mergeCells>
  <printOptions/>
  <pageMargins left="1.09" right="0.75" top="1" bottom="0.16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109"/>
  <sheetViews>
    <sheetView workbookViewId="0" topLeftCell="G1">
      <selection activeCell="A6" sqref="A6"/>
    </sheetView>
  </sheetViews>
  <sheetFormatPr defaultColWidth="9.140625" defaultRowHeight="12.75"/>
  <cols>
    <col min="1" max="1" width="34.7109375" style="40" hidden="1" customWidth="1"/>
    <col min="2" max="2" width="8.421875" style="40" hidden="1" customWidth="1"/>
    <col min="3" max="3" width="14.28125" style="439" hidden="1" customWidth="1"/>
    <col min="4" max="4" width="13.421875" style="439" hidden="1" customWidth="1"/>
    <col min="5" max="5" width="7.8515625" style="40" hidden="1" customWidth="1"/>
    <col min="6" max="6" width="12.28125" style="439" hidden="1" customWidth="1"/>
    <col min="7" max="7" width="36.421875" style="40" customWidth="1"/>
    <col min="8" max="8" width="9.8515625" style="40" customWidth="1"/>
    <col min="9" max="9" width="13.140625" style="40" customWidth="1"/>
    <col min="10" max="10" width="11.00390625" style="40" customWidth="1"/>
    <col min="11" max="11" width="10.8515625" style="40" customWidth="1"/>
    <col min="12" max="12" width="11.8515625" style="40" customWidth="1"/>
    <col min="13" max="16384" width="7.8515625" style="40" customWidth="1"/>
  </cols>
  <sheetData>
    <row r="2" spans="1:12" ht="12.75">
      <c r="A2" s="40" t="s">
        <v>593</v>
      </c>
      <c r="F2" s="445" t="s">
        <v>594</v>
      </c>
      <c r="G2" s="40" t="s">
        <v>595</v>
      </c>
      <c r="L2" s="446" t="s">
        <v>594</v>
      </c>
    </row>
    <row r="4" spans="1:12" ht="15.75">
      <c r="A4" s="39" t="s">
        <v>596</v>
      </c>
      <c r="G4" s="473" t="s">
        <v>597</v>
      </c>
      <c r="H4" s="473"/>
      <c r="I4" s="473"/>
      <c r="J4" s="473"/>
      <c r="K4" s="473"/>
      <c r="L4" s="473"/>
    </row>
    <row r="5" spans="1:12" ht="15.75">
      <c r="A5" s="39" t="s">
        <v>598</v>
      </c>
      <c r="G5" s="738" t="str">
        <f>A5</f>
        <v>                                                       (2000.gada janvāris - novembris</v>
      </c>
      <c r="H5" s="738"/>
      <c r="I5" s="738"/>
      <c r="J5" s="738"/>
      <c r="K5" s="738"/>
      <c r="L5" s="738"/>
    </row>
    <row r="7" spans="6:12" ht="12.75">
      <c r="F7" s="426"/>
      <c r="L7" s="46"/>
    </row>
    <row r="8" spans="6:12" ht="12.75">
      <c r="F8" s="445" t="s">
        <v>99</v>
      </c>
      <c r="L8" s="446" t="s">
        <v>185</v>
      </c>
    </row>
    <row r="9" spans="1:12" ht="60" customHeight="1">
      <c r="A9" s="137" t="s">
        <v>101</v>
      </c>
      <c r="B9" s="131" t="s">
        <v>571</v>
      </c>
      <c r="C9" s="283" t="s">
        <v>102</v>
      </c>
      <c r="D9" s="283" t="s">
        <v>104</v>
      </c>
      <c r="E9" s="131" t="s">
        <v>572</v>
      </c>
      <c r="F9" s="283" t="s">
        <v>599</v>
      </c>
      <c r="G9" s="137" t="s">
        <v>101</v>
      </c>
      <c r="H9" s="131" t="s">
        <v>571</v>
      </c>
      <c r="I9" s="131" t="s">
        <v>102</v>
      </c>
      <c r="J9" s="131" t="s">
        <v>104</v>
      </c>
      <c r="K9" s="131" t="s">
        <v>572</v>
      </c>
      <c r="L9" s="131" t="s">
        <v>599</v>
      </c>
    </row>
    <row r="10" spans="1:12" ht="12" customHeight="1">
      <c r="A10" s="137">
        <v>1</v>
      </c>
      <c r="B10" s="137">
        <v>2</v>
      </c>
      <c r="C10" s="283">
        <v>3</v>
      </c>
      <c r="D10" s="283">
        <v>4</v>
      </c>
      <c r="E10" s="131">
        <v>5</v>
      </c>
      <c r="F10" s="238">
        <v>6</v>
      </c>
      <c r="G10" s="137">
        <v>1</v>
      </c>
      <c r="H10" s="137">
        <v>2</v>
      </c>
      <c r="I10" s="131">
        <v>3</v>
      </c>
      <c r="J10" s="131">
        <v>4</v>
      </c>
      <c r="K10" s="131">
        <v>5</v>
      </c>
      <c r="L10" s="138">
        <v>6</v>
      </c>
    </row>
    <row r="11" spans="1:12" ht="18" customHeight="1">
      <c r="A11" s="147" t="s">
        <v>428</v>
      </c>
      <c r="B11" s="142"/>
      <c r="C11" s="447">
        <f>SUM(C12:C25)</f>
        <v>744327285</v>
      </c>
      <c r="D11" s="447">
        <f>SUM(D12:D25)</f>
        <v>660836295</v>
      </c>
      <c r="E11" s="16">
        <f>IF(ISERROR(D11/C11)," ",(D11/C11))*100</f>
        <v>88.78302707927736</v>
      </c>
      <c r="F11" s="447">
        <f>SUM(F12:F25)</f>
        <v>5848223</v>
      </c>
      <c r="G11" s="147" t="s">
        <v>428</v>
      </c>
      <c r="H11" s="142"/>
      <c r="I11" s="260">
        <f>SUM(I12:I25)</f>
        <v>744327</v>
      </c>
      <c r="J11" s="260">
        <f>SUM(J12:J25)</f>
        <v>660836</v>
      </c>
      <c r="K11" s="448">
        <f>IF(ISERROR(J11/I11)," ",(J11/I11))*100</f>
        <v>88.78302144084522</v>
      </c>
      <c r="L11" s="260">
        <f>SUM(L12:L25)</f>
        <v>5849</v>
      </c>
    </row>
    <row r="12" spans="1:12" ht="18" customHeight="1">
      <c r="A12" s="291" t="s">
        <v>573</v>
      </c>
      <c r="B12" s="440">
        <v>1</v>
      </c>
      <c r="C12" s="449">
        <v>194829</v>
      </c>
      <c r="D12" s="449">
        <f>'[7]Novembris'!$Q$7</f>
        <v>174597</v>
      </c>
      <c r="E12" s="16">
        <f aca="true" t="shared" si="0" ref="E12:E24">IF(ISERROR(D12/C12)," ",(D12/C12))*100</f>
        <v>89.61550898480206</v>
      </c>
      <c r="F12" s="439">
        <f>559252+'[13]Sheet1'!$H$20</f>
        <v>559252</v>
      </c>
      <c r="G12" s="291" t="s">
        <v>573</v>
      </c>
      <c r="H12" s="440">
        <v>1</v>
      </c>
      <c r="I12" s="293">
        <f aca="true" t="shared" si="1" ref="I12:J25">ROUND(C12/1000,0)</f>
        <v>195</v>
      </c>
      <c r="J12" s="450">
        <f>ROUND(D12/1000,0)</f>
        <v>175</v>
      </c>
      <c r="K12" s="448">
        <f aca="true" t="shared" si="2" ref="K12:K24">IF(ISERROR(J12/I12)," ",(J12/I12))*100</f>
        <v>89.74358974358975</v>
      </c>
      <c r="L12" s="450">
        <f>ROUND(F12/1000,0)</f>
        <v>559</v>
      </c>
    </row>
    <row r="13" spans="1:12" ht="18.75" customHeight="1">
      <c r="A13" s="28" t="s">
        <v>574</v>
      </c>
      <c r="B13" s="440">
        <v>2</v>
      </c>
      <c r="C13" s="449"/>
      <c r="D13" s="449"/>
      <c r="E13" s="16"/>
      <c r="F13" s="439">
        <v>148542</v>
      </c>
      <c r="G13" s="28" t="s">
        <v>574</v>
      </c>
      <c r="H13" s="440">
        <v>2</v>
      </c>
      <c r="I13" s="293">
        <f t="shared" si="1"/>
        <v>0</v>
      </c>
      <c r="J13" s="450">
        <f t="shared" si="1"/>
        <v>0</v>
      </c>
      <c r="K13" s="448"/>
      <c r="L13" s="450">
        <f>ROUND(F13/1000,0)</f>
        <v>149</v>
      </c>
    </row>
    <row r="14" spans="1:12" ht="25.5" customHeight="1">
      <c r="A14" s="28" t="s">
        <v>575</v>
      </c>
      <c r="B14" s="440">
        <v>3</v>
      </c>
      <c r="C14" s="449"/>
      <c r="D14" s="449"/>
      <c r="E14" s="16"/>
      <c r="F14" s="439">
        <f>279542+'[13]Sheet1'!$B$19+'[13]Sheet1'!$I$19</f>
        <v>279542</v>
      </c>
      <c r="G14" s="114" t="s">
        <v>575</v>
      </c>
      <c r="H14" s="440">
        <v>3</v>
      </c>
      <c r="I14" s="293">
        <f t="shared" si="1"/>
        <v>0</v>
      </c>
      <c r="J14" s="450">
        <f t="shared" si="1"/>
        <v>0</v>
      </c>
      <c r="K14" s="448"/>
      <c r="L14" s="450">
        <f>ROUND(F14/1000,0)</f>
        <v>280</v>
      </c>
    </row>
    <row r="15" spans="1:12" ht="16.5" customHeight="1">
      <c r="A15" s="28" t="s">
        <v>600</v>
      </c>
      <c r="B15" s="440">
        <v>4</v>
      </c>
      <c r="C15" s="449">
        <v>7645484</v>
      </c>
      <c r="D15" s="449">
        <f>'[7]Novembris'!$P$7+'[10]Novembris'!$D$39</f>
        <v>5296269</v>
      </c>
      <c r="E15" s="16">
        <f t="shared" si="0"/>
        <v>69.27316831740148</v>
      </c>
      <c r="F15" s="439">
        <f>1190612+'[13]Sheet1'!$J$19</f>
        <v>1190612</v>
      </c>
      <c r="G15" s="28" t="s">
        <v>601</v>
      </c>
      <c r="H15" s="440">
        <v>4</v>
      </c>
      <c r="I15" s="293">
        <f>ROUND(C15/1000,0)+1</f>
        <v>7646</v>
      </c>
      <c r="J15" s="450">
        <f>ROUND(D15/1000,0)</f>
        <v>5296</v>
      </c>
      <c r="K15" s="448">
        <f t="shared" si="2"/>
        <v>69.26497515040543</v>
      </c>
      <c r="L15" s="450">
        <f>ROUND(F15/1000,0)</f>
        <v>1191</v>
      </c>
    </row>
    <row r="16" spans="1:12" ht="18.75" customHeight="1">
      <c r="A16" s="28" t="s">
        <v>577</v>
      </c>
      <c r="B16" s="440">
        <v>5</v>
      </c>
      <c r="C16" s="449">
        <v>135564665</v>
      </c>
      <c r="D16" s="449">
        <f>'[7]Novembris'!$D$7</f>
        <v>121142006</v>
      </c>
      <c r="E16" s="16">
        <f t="shared" si="0"/>
        <v>89.36104847085338</v>
      </c>
      <c r="F16" s="439">
        <v>1168629</v>
      </c>
      <c r="G16" s="28" t="s">
        <v>577</v>
      </c>
      <c r="H16" s="440">
        <v>5</v>
      </c>
      <c r="I16" s="293">
        <f t="shared" si="1"/>
        <v>135565</v>
      </c>
      <c r="J16" s="450">
        <f>ROUND(D16/1000,0)</f>
        <v>121142</v>
      </c>
      <c r="K16" s="448">
        <f t="shared" si="2"/>
        <v>89.36082322133294</v>
      </c>
      <c r="L16" s="450">
        <f aca="true" t="shared" si="3" ref="L16:L22">ROUND(F16/1000,0)</f>
        <v>1169</v>
      </c>
    </row>
    <row r="17" spans="1:12" ht="27" customHeight="1">
      <c r="A17" s="28" t="s">
        <v>578</v>
      </c>
      <c r="B17" s="440">
        <v>6</v>
      </c>
      <c r="C17" s="449">
        <v>518721421</v>
      </c>
      <c r="D17" s="449">
        <f>'[7]Novembris'!$C$7</f>
        <v>464451740</v>
      </c>
      <c r="E17" s="16">
        <f t="shared" si="0"/>
        <v>89.53779836287116</v>
      </c>
      <c r="F17" s="439">
        <v>32915</v>
      </c>
      <c r="G17" s="114" t="s">
        <v>578</v>
      </c>
      <c r="H17" s="440">
        <v>6</v>
      </c>
      <c r="I17" s="293">
        <f t="shared" si="1"/>
        <v>518721</v>
      </c>
      <c r="J17" s="450">
        <f t="shared" si="1"/>
        <v>464452</v>
      </c>
      <c r="K17" s="448">
        <f t="shared" si="2"/>
        <v>89.53792115607426</v>
      </c>
      <c r="L17" s="450">
        <f>ROUND(F17/1000,0)</f>
        <v>33</v>
      </c>
    </row>
    <row r="18" spans="1:12" ht="24" customHeight="1">
      <c r="A18" s="114" t="s">
        <v>579</v>
      </c>
      <c r="B18" s="440">
        <v>7</v>
      </c>
      <c r="C18" s="449">
        <v>10106105</v>
      </c>
      <c r="D18" s="449">
        <f>'[7]Novembris'!$E$7+'[7]Novembris'!$F$7</f>
        <v>7558154</v>
      </c>
      <c r="E18" s="16">
        <f t="shared" si="0"/>
        <v>74.78800190577873</v>
      </c>
      <c r="F18" s="439">
        <f>103349+'[13]Sheet1'!$C$19</f>
        <v>103349</v>
      </c>
      <c r="G18" s="114" t="s">
        <v>579</v>
      </c>
      <c r="H18" s="440">
        <v>7</v>
      </c>
      <c r="I18" s="293">
        <f t="shared" si="1"/>
        <v>10106</v>
      </c>
      <c r="J18" s="450">
        <f>ROUND(D18/1000,0)</f>
        <v>7558</v>
      </c>
      <c r="K18" s="448">
        <f t="shared" si="2"/>
        <v>74.78725509598259</v>
      </c>
      <c r="L18" s="450">
        <f>ROUND(F18/1000,0)</f>
        <v>103</v>
      </c>
    </row>
    <row r="19" spans="1:12" ht="15.75" customHeight="1">
      <c r="A19" s="28" t="s">
        <v>580</v>
      </c>
      <c r="B19" s="440">
        <v>8</v>
      </c>
      <c r="C19" s="449">
        <v>4930621</v>
      </c>
      <c r="D19" s="449">
        <f>'[7]Novembris'!$R$7+'[7]Novembris'!$O$7</f>
        <v>4013990</v>
      </c>
      <c r="E19" s="16">
        <f t="shared" si="0"/>
        <v>81.40942084171547</v>
      </c>
      <c r="F19" s="439">
        <v>703104</v>
      </c>
      <c r="G19" s="28" t="s">
        <v>580</v>
      </c>
      <c r="H19" s="440">
        <v>8</v>
      </c>
      <c r="I19" s="293">
        <f>ROUND(C19/1000,0)</f>
        <v>4931</v>
      </c>
      <c r="J19" s="450">
        <f>ROUND(D19/1000,0)</f>
        <v>4014</v>
      </c>
      <c r="K19" s="448">
        <f t="shared" si="2"/>
        <v>81.40336645710809</v>
      </c>
      <c r="L19" s="450">
        <f t="shared" si="3"/>
        <v>703</v>
      </c>
    </row>
    <row r="20" spans="1:12" ht="20.25" customHeight="1">
      <c r="A20" s="28" t="s">
        <v>581</v>
      </c>
      <c r="B20" s="440">
        <v>9</v>
      </c>
      <c r="C20" s="449"/>
      <c r="D20" s="449"/>
      <c r="E20" s="16"/>
      <c r="G20" s="28" t="s">
        <v>581</v>
      </c>
      <c r="H20" s="440">
        <v>9</v>
      </c>
      <c r="I20" s="293">
        <f>ROUND(C20/1000,0)</f>
        <v>0</v>
      </c>
      <c r="J20" s="450">
        <f t="shared" si="1"/>
        <v>0</v>
      </c>
      <c r="K20" s="448"/>
      <c r="L20" s="450">
        <f t="shared" si="3"/>
        <v>0</v>
      </c>
    </row>
    <row r="21" spans="1:12" ht="24.75" customHeight="1">
      <c r="A21" s="114" t="s">
        <v>582</v>
      </c>
      <c r="B21" s="440">
        <v>10</v>
      </c>
      <c r="C21" s="449">
        <v>550000</v>
      </c>
      <c r="D21" s="449">
        <f>'[7]Novembris'!$M$7</f>
        <v>478844</v>
      </c>
      <c r="E21" s="16">
        <f t="shared" si="0"/>
        <v>87.06254545454546</v>
      </c>
      <c r="F21" s="439">
        <f>94615+'[13]Sheet1'!$G$19</f>
        <v>94615</v>
      </c>
      <c r="G21" s="114" t="s">
        <v>582</v>
      </c>
      <c r="H21" s="440">
        <v>10</v>
      </c>
      <c r="I21" s="293">
        <f>ROUND(C21/1000,0)</f>
        <v>550</v>
      </c>
      <c r="J21" s="450">
        <f t="shared" si="1"/>
        <v>479</v>
      </c>
      <c r="K21" s="448">
        <f t="shared" si="2"/>
        <v>87.09090909090908</v>
      </c>
      <c r="L21" s="450">
        <f t="shared" si="3"/>
        <v>95</v>
      </c>
    </row>
    <row r="22" spans="1:12" ht="27.75" customHeight="1">
      <c r="A22" s="114" t="s">
        <v>583</v>
      </c>
      <c r="B22" s="440">
        <v>11</v>
      </c>
      <c r="C22" s="449"/>
      <c r="D22" s="449"/>
      <c r="E22" s="16"/>
      <c r="G22" s="114" t="s">
        <v>583</v>
      </c>
      <c r="H22" s="440">
        <v>11</v>
      </c>
      <c r="I22" s="293">
        <f>ROUND(C22/1000,0)</f>
        <v>0</v>
      </c>
      <c r="J22" s="450">
        <f t="shared" si="1"/>
        <v>0</v>
      </c>
      <c r="K22" s="448"/>
      <c r="L22" s="450">
        <f t="shared" si="3"/>
        <v>0</v>
      </c>
    </row>
    <row r="23" spans="1:12" ht="18" customHeight="1">
      <c r="A23" s="28" t="s">
        <v>584</v>
      </c>
      <c r="B23" s="440">
        <v>12</v>
      </c>
      <c r="C23" s="449">
        <v>63456618</v>
      </c>
      <c r="D23" s="449">
        <f>'[7]Novembris'!$G$7+'[7]Novembris'!$H$7+'[7]Novembris'!$J$7</f>
        <v>55150283</v>
      </c>
      <c r="E23" s="16">
        <f t="shared" si="0"/>
        <v>86.91021478642307</v>
      </c>
      <c r="F23" s="439">
        <f>'[13]Sheet1'!$F$19+31000</f>
        <v>216955</v>
      </c>
      <c r="G23" s="28" t="s">
        <v>584</v>
      </c>
      <c r="H23" s="440">
        <v>12</v>
      </c>
      <c r="I23" s="293">
        <f>ROUND(C23/1000,0)-1</f>
        <v>63456</v>
      </c>
      <c r="J23" s="450">
        <f>ROUND(D23/1000,0)</f>
        <v>55150</v>
      </c>
      <c r="K23" s="448">
        <f t="shared" si="2"/>
        <v>86.91061522945033</v>
      </c>
      <c r="L23" s="450">
        <f>ROUND(F23/1000,0)</f>
        <v>217</v>
      </c>
    </row>
    <row r="24" spans="1:12" ht="18.75" customHeight="1">
      <c r="A24" s="28" t="s">
        <v>585</v>
      </c>
      <c r="B24" s="440">
        <v>13</v>
      </c>
      <c r="C24" s="449">
        <v>3157542</v>
      </c>
      <c r="D24" s="449">
        <f>'[7]Novembris'!$X$7+'[7]Novembris'!$Y$7+'[7]Novembris'!$L$7</f>
        <v>2570412</v>
      </c>
      <c r="E24" s="16">
        <f t="shared" si="0"/>
        <v>81.40547299133313</v>
      </c>
      <c r="F24" s="439">
        <f>66718+'[13]Sheet1'!$D$19+'[13]Sheet1'!$E$19+1283990</f>
        <v>1350708</v>
      </c>
      <c r="G24" s="28" t="s">
        <v>585</v>
      </c>
      <c r="H24" s="440">
        <v>13</v>
      </c>
      <c r="I24" s="293">
        <f>ROUND(C24/1000,0)-1</f>
        <v>3157</v>
      </c>
      <c r="J24" s="450">
        <f t="shared" si="1"/>
        <v>2570</v>
      </c>
      <c r="K24" s="448">
        <f t="shared" si="2"/>
        <v>81.4063984795692</v>
      </c>
      <c r="L24" s="450">
        <f>ROUND(F24/1000,0)-1</f>
        <v>1350</v>
      </c>
    </row>
    <row r="25" spans="1:12" ht="24" customHeight="1">
      <c r="A25" s="114" t="s">
        <v>602</v>
      </c>
      <c r="B25" s="440">
        <v>14</v>
      </c>
      <c r="C25" s="449"/>
      <c r="D25" s="449"/>
      <c r="E25" s="16"/>
      <c r="G25" s="114" t="s">
        <v>602</v>
      </c>
      <c r="H25" s="440">
        <v>14</v>
      </c>
      <c r="I25" s="450">
        <v>0</v>
      </c>
      <c r="J25" s="450">
        <f t="shared" si="1"/>
        <v>0</v>
      </c>
      <c r="K25" s="451" t="s">
        <v>309</v>
      </c>
      <c r="L25" s="450">
        <f>ROUND(F25/1000,0)</f>
        <v>0</v>
      </c>
    </row>
    <row r="26" spans="2:11" ht="12.75">
      <c r="B26" s="46"/>
      <c r="E26" s="452"/>
      <c r="H26" s="46"/>
      <c r="I26" s="219"/>
      <c r="J26" s="219"/>
      <c r="K26" s="452"/>
    </row>
    <row r="27" spans="1:11" ht="12.75">
      <c r="A27" s="40" t="s">
        <v>603</v>
      </c>
      <c r="B27" s="46"/>
      <c r="E27" s="452"/>
      <c r="G27" s="40" t="s">
        <v>603</v>
      </c>
      <c r="H27" s="46"/>
      <c r="I27" s="219"/>
      <c r="J27" s="219"/>
      <c r="K27" s="452"/>
    </row>
    <row r="28" spans="2:11" ht="12.75">
      <c r="B28" s="46"/>
      <c r="E28" s="452"/>
      <c r="H28" s="46"/>
      <c r="I28" s="219"/>
      <c r="J28" s="219"/>
      <c r="K28" s="452"/>
    </row>
    <row r="29" spans="2:11" ht="12.75">
      <c r="B29" s="46"/>
      <c r="E29" s="452"/>
      <c r="H29" s="46"/>
      <c r="I29" s="219"/>
      <c r="J29" s="219"/>
      <c r="K29" s="452"/>
    </row>
    <row r="30" spans="2:11" ht="12.75">
      <c r="B30" s="46"/>
      <c r="E30" s="452"/>
      <c r="H30" s="46"/>
      <c r="I30" s="219"/>
      <c r="J30" s="219"/>
      <c r="K30" s="452"/>
    </row>
    <row r="31" spans="2:11" ht="12.75">
      <c r="B31" s="46"/>
      <c r="E31" s="452"/>
      <c r="H31" s="46"/>
      <c r="I31" s="219"/>
      <c r="J31" s="219"/>
      <c r="K31" s="452"/>
    </row>
    <row r="32" spans="2:11" ht="12.75">
      <c r="B32" s="46"/>
      <c r="E32" s="452"/>
      <c r="J32" s="219"/>
      <c r="K32" s="452"/>
    </row>
    <row r="33" spans="2:11" ht="12.75">
      <c r="B33" s="46"/>
      <c r="E33" s="452"/>
      <c r="H33" s="46"/>
      <c r="I33" s="219"/>
      <c r="J33" s="219"/>
      <c r="K33" s="452"/>
    </row>
    <row r="34" spans="1:11" ht="15.75" customHeight="1">
      <c r="A34" s="40" t="s">
        <v>604</v>
      </c>
      <c r="B34" s="46"/>
      <c r="C34" s="439" t="s">
        <v>590</v>
      </c>
      <c r="E34" s="452"/>
      <c r="H34" s="46"/>
      <c r="I34" s="219"/>
      <c r="J34" s="219"/>
      <c r="K34" s="452"/>
    </row>
    <row r="35" spans="2:11" ht="12.75">
      <c r="B35" s="46"/>
      <c r="E35" s="452"/>
      <c r="H35" s="46"/>
      <c r="I35" s="219"/>
      <c r="J35" s="219"/>
      <c r="K35" s="452"/>
    </row>
    <row r="36" spans="5:11" ht="15.75" customHeight="1">
      <c r="E36" s="452"/>
      <c r="I36" s="219"/>
      <c r="J36" s="219"/>
      <c r="K36" s="452"/>
    </row>
    <row r="37" spans="5:12" ht="12.75">
      <c r="E37" s="452"/>
      <c r="G37" s="40" t="s">
        <v>605</v>
      </c>
      <c r="H37" s="46"/>
      <c r="J37" s="219"/>
      <c r="L37" s="219" t="s">
        <v>590</v>
      </c>
    </row>
    <row r="38" spans="5:11" ht="12.75">
      <c r="E38" s="452"/>
      <c r="I38" s="219"/>
      <c r="J38" s="219"/>
      <c r="K38" s="452"/>
    </row>
    <row r="39" spans="5:11" ht="12.75">
      <c r="E39" s="452"/>
      <c r="I39" s="219"/>
      <c r="J39" s="219"/>
      <c r="K39" s="452"/>
    </row>
    <row r="40" spans="5:11" ht="12.75">
      <c r="E40" s="452"/>
      <c r="I40" s="219"/>
      <c r="J40" s="219"/>
      <c r="K40" s="452"/>
    </row>
    <row r="41" spans="5:11" ht="12.75">
      <c r="E41" s="452"/>
      <c r="I41" s="219"/>
      <c r="J41" s="219"/>
      <c r="K41" s="452"/>
    </row>
    <row r="42" spans="5:11" ht="12.75">
      <c r="E42" s="452"/>
      <c r="I42" s="219"/>
      <c r="J42" s="219"/>
      <c r="K42" s="452"/>
    </row>
    <row r="43" spans="5:11" ht="12.75">
      <c r="E43" s="452"/>
      <c r="I43" s="219"/>
      <c r="J43" s="219"/>
      <c r="K43" s="452"/>
    </row>
    <row r="44" spans="5:11" ht="12.75">
      <c r="E44" s="452"/>
      <c r="I44" s="219"/>
      <c r="J44" s="219"/>
      <c r="K44" s="452"/>
    </row>
    <row r="45" spans="1:11" ht="12.75">
      <c r="A45" s="3"/>
      <c r="E45" s="452"/>
      <c r="I45" s="219"/>
      <c r="J45" s="219"/>
      <c r="K45" s="452"/>
    </row>
    <row r="46" spans="1:11" ht="12.75">
      <c r="A46" s="3"/>
      <c r="E46" s="452"/>
      <c r="I46" s="219"/>
      <c r="J46" s="219"/>
      <c r="K46" s="452"/>
    </row>
    <row r="47" spans="5:11" ht="12.75">
      <c r="E47" s="452"/>
      <c r="I47" s="219"/>
      <c r="J47" s="219"/>
      <c r="K47" s="452"/>
    </row>
    <row r="48" spans="5:11" ht="12.75">
      <c r="E48" s="452"/>
      <c r="G48" s="3"/>
      <c r="I48" s="219"/>
      <c r="J48" s="219"/>
      <c r="K48" s="452"/>
    </row>
    <row r="49" spans="5:11" ht="12.75">
      <c r="E49" s="452"/>
      <c r="G49" s="3"/>
      <c r="I49" s="219"/>
      <c r="J49" s="219"/>
      <c r="K49" s="452"/>
    </row>
    <row r="50" spans="5:11" ht="12.75">
      <c r="E50" s="452"/>
      <c r="I50" s="219"/>
      <c r="J50" s="219"/>
      <c r="K50" s="452"/>
    </row>
    <row r="51" spans="5:11" ht="12.75">
      <c r="E51" s="452"/>
      <c r="I51" s="219"/>
      <c r="J51" s="219"/>
      <c r="K51" s="452"/>
    </row>
    <row r="52" spans="5:11" ht="12.75">
      <c r="E52" s="452"/>
      <c r="I52" s="219"/>
      <c r="J52" s="219"/>
      <c r="K52" s="452"/>
    </row>
    <row r="53" spans="5:11" ht="12.75">
      <c r="E53" s="452"/>
      <c r="I53" s="219"/>
      <c r="J53" s="219"/>
      <c r="K53" s="452"/>
    </row>
    <row r="54" spans="5:11" ht="12.75">
      <c r="E54" s="452"/>
      <c r="I54" s="219"/>
      <c r="K54" s="452"/>
    </row>
    <row r="55" spans="5:11" ht="12.75">
      <c r="E55" s="452"/>
      <c r="I55" s="219"/>
      <c r="K55" s="452"/>
    </row>
    <row r="56" spans="5:11" ht="12.75">
      <c r="E56" s="452"/>
      <c r="I56" s="219"/>
      <c r="K56" s="452"/>
    </row>
    <row r="57" spans="5:11" ht="12.75">
      <c r="E57" s="452"/>
      <c r="I57" s="219"/>
      <c r="K57" s="452"/>
    </row>
    <row r="58" spans="5:11" ht="12.75">
      <c r="E58" s="452"/>
      <c r="I58" s="219"/>
      <c r="K58" s="452"/>
    </row>
    <row r="59" spans="5:11" ht="12.75">
      <c r="E59" s="452"/>
      <c r="I59" s="219"/>
      <c r="K59" s="452"/>
    </row>
    <row r="60" spans="5:11" ht="12.75">
      <c r="E60" s="452"/>
      <c r="I60" s="219"/>
      <c r="K60" s="452"/>
    </row>
    <row r="61" spans="5:11" ht="12.75">
      <c r="E61" s="452"/>
      <c r="I61" s="219"/>
      <c r="K61" s="452"/>
    </row>
    <row r="62" spans="5:11" ht="12.75">
      <c r="E62" s="452"/>
      <c r="I62" s="219"/>
      <c r="K62" s="452"/>
    </row>
    <row r="63" spans="5:11" ht="12.75">
      <c r="E63" s="452"/>
      <c r="I63" s="219"/>
      <c r="K63" s="452"/>
    </row>
    <row r="64" spans="5:11" ht="12.75">
      <c r="E64" s="452"/>
      <c r="I64" s="219"/>
      <c r="K64" s="452"/>
    </row>
    <row r="65" spans="5:11" ht="12.75">
      <c r="E65" s="452"/>
      <c r="I65" s="219"/>
      <c r="K65" s="452"/>
    </row>
    <row r="66" spans="5:11" ht="12.75">
      <c r="E66" s="452"/>
      <c r="I66" s="219"/>
      <c r="K66" s="452"/>
    </row>
    <row r="67" spans="5:11" ht="12.75">
      <c r="E67" s="452"/>
      <c r="I67" s="219"/>
      <c r="K67" s="452"/>
    </row>
    <row r="68" spans="5:11" ht="12.75">
      <c r="E68" s="452"/>
      <c r="I68" s="219"/>
      <c r="K68" s="452"/>
    </row>
    <row r="69" spans="5:11" ht="12.75">
      <c r="E69" s="452"/>
      <c r="I69" s="219"/>
      <c r="K69" s="452"/>
    </row>
    <row r="70" spans="5:11" ht="12.75">
      <c r="E70" s="452"/>
      <c r="I70" s="219"/>
      <c r="K70" s="452"/>
    </row>
    <row r="71" spans="5:11" ht="12.75">
      <c r="E71" s="452"/>
      <c r="I71" s="219"/>
      <c r="K71" s="452"/>
    </row>
    <row r="72" spans="5:11" ht="12.75">
      <c r="E72" s="452"/>
      <c r="I72" s="219"/>
      <c r="K72" s="452"/>
    </row>
    <row r="73" spans="5:11" ht="12.75">
      <c r="E73" s="452"/>
      <c r="I73" s="219"/>
      <c r="K73" s="452"/>
    </row>
    <row r="74" spans="5:11" ht="12.75">
      <c r="E74" s="452"/>
      <c r="I74" s="219"/>
      <c r="K74" s="452"/>
    </row>
    <row r="75" spans="5:11" ht="12.75">
      <c r="E75" s="452"/>
      <c r="I75" s="219"/>
      <c r="K75" s="452"/>
    </row>
    <row r="76" spans="5:11" ht="12.75">
      <c r="E76" s="452"/>
      <c r="I76" s="219"/>
      <c r="K76" s="452"/>
    </row>
    <row r="77" spans="5:11" ht="12.75">
      <c r="E77" s="452"/>
      <c r="I77" s="219"/>
      <c r="K77" s="452"/>
    </row>
    <row r="78" spans="5:11" ht="12.75">
      <c r="E78" s="452"/>
      <c r="I78" s="219"/>
      <c r="K78" s="452"/>
    </row>
    <row r="79" spans="5:11" ht="12.75">
      <c r="E79" s="452"/>
      <c r="I79" s="219"/>
      <c r="K79" s="452"/>
    </row>
    <row r="80" spans="5:11" ht="12.75">
      <c r="E80" s="452"/>
      <c r="I80" s="219"/>
      <c r="K80" s="452"/>
    </row>
    <row r="81" spans="2:10" ht="12.75">
      <c r="B81" s="219"/>
      <c r="H81" s="219"/>
      <c r="J81" s="452"/>
    </row>
    <row r="82" spans="2:10" ht="12.75">
      <c r="B82" s="219"/>
      <c r="H82" s="219"/>
      <c r="J82" s="452"/>
    </row>
    <row r="83" spans="2:10" ht="12.75">
      <c r="B83" s="219"/>
      <c r="H83" s="219"/>
      <c r="J83" s="452"/>
    </row>
    <row r="84" spans="2:10" ht="12.75">
      <c r="B84" s="219"/>
      <c r="H84" s="219"/>
      <c r="J84" s="452"/>
    </row>
    <row r="85" spans="2:10" ht="12.75">
      <c r="B85" s="219"/>
      <c r="H85" s="219"/>
      <c r="J85" s="452"/>
    </row>
    <row r="86" spans="2:10" ht="12.75">
      <c r="B86" s="219"/>
      <c r="H86" s="219"/>
      <c r="J86" s="452"/>
    </row>
    <row r="87" spans="2:10" ht="12.75">
      <c r="B87" s="219"/>
      <c r="H87" s="219"/>
      <c r="J87" s="452"/>
    </row>
    <row r="88" spans="2:10" ht="12.75">
      <c r="B88" s="219"/>
      <c r="H88" s="219"/>
      <c r="J88" s="452"/>
    </row>
    <row r="89" spans="2:10" ht="12.75">
      <c r="B89" s="219"/>
      <c r="H89" s="219"/>
      <c r="J89" s="452"/>
    </row>
    <row r="90" spans="2:10" ht="12.75">
      <c r="B90" s="219"/>
      <c r="H90" s="219"/>
      <c r="J90" s="452"/>
    </row>
    <row r="91" spans="2:10" ht="12.75">
      <c r="B91" s="219"/>
      <c r="H91" s="219"/>
      <c r="J91" s="452"/>
    </row>
    <row r="92" spans="2:10" ht="12.75">
      <c r="B92" s="219"/>
      <c r="H92" s="219"/>
      <c r="J92" s="452"/>
    </row>
    <row r="93" spans="2:10" ht="12.75">
      <c r="B93" s="219"/>
      <c r="H93" s="219"/>
      <c r="J93" s="452"/>
    </row>
    <row r="94" spans="2:10" ht="12.75">
      <c r="B94" s="219"/>
      <c r="H94" s="219"/>
      <c r="J94" s="452"/>
    </row>
    <row r="95" spans="2:10" ht="12.75">
      <c r="B95" s="219"/>
      <c r="H95" s="219"/>
      <c r="J95" s="452"/>
    </row>
    <row r="96" spans="2:10" ht="12.75">
      <c r="B96" s="219"/>
      <c r="H96" s="219"/>
      <c r="J96" s="452"/>
    </row>
    <row r="97" spans="2:10" ht="12.75">
      <c r="B97" s="219"/>
      <c r="H97" s="219"/>
      <c r="J97" s="452"/>
    </row>
    <row r="98" spans="2:10" ht="12.75">
      <c r="B98" s="219"/>
      <c r="H98" s="219"/>
      <c r="J98" s="452"/>
    </row>
    <row r="99" spans="2:10" ht="12.75">
      <c r="B99" s="219"/>
      <c r="H99" s="219"/>
      <c r="J99" s="452"/>
    </row>
    <row r="100" spans="2:10" ht="12.75">
      <c r="B100" s="219"/>
      <c r="H100" s="219"/>
      <c r="J100" s="452"/>
    </row>
    <row r="101" spans="2:8" ht="12.75">
      <c r="B101" s="219"/>
      <c r="H101" s="219"/>
    </row>
    <row r="102" spans="2:8" ht="12.75">
      <c r="B102" s="219"/>
      <c r="H102" s="219"/>
    </row>
    <row r="103" spans="2:8" ht="12.75">
      <c r="B103" s="219"/>
      <c r="H103" s="219"/>
    </row>
    <row r="104" spans="2:8" ht="12.75">
      <c r="B104" s="219"/>
      <c r="H104" s="219"/>
    </row>
    <row r="105" spans="2:8" ht="12.75">
      <c r="B105" s="219"/>
      <c r="H105" s="219"/>
    </row>
    <row r="106" spans="2:8" ht="12.75">
      <c r="B106" s="219"/>
      <c r="H106" s="219"/>
    </row>
    <row r="107" spans="2:8" ht="12.75">
      <c r="B107" s="219"/>
      <c r="H107" s="219"/>
    </row>
    <row r="108" spans="2:8" ht="12.75">
      <c r="B108" s="219"/>
      <c r="H108" s="219"/>
    </row>
    <row r="109" spans="2:8" ht="12.75">
      <c r="B109" s="219"/>
      <c r="H109" s="219"/>
    </row>
  </sheetData>
  <mergeCells count="2">
    <mergeCell ref="G4:L4"/>
    <mergeCell ref="G5:L5"/>
  </mergeCells>
  <printOptions/>
  <pageMargins left="0.75" right="0.29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Z255"/>
  <sheetViews>
    <sheetView workbookViewId="0" topLeftCell="H96">
      <selection activeCell="A6" sqref="A6"/>
    </sheetView>
  </sheetViews>
  <sheetFormatPr defaultColWidth="9.140625" defaultRowHeight="12.75"/>
  <cols>
    <col min="1" max="1" width="36.00390625" style="3" hidden="1" customWidth="1"/>
    <col min="2" max="3" width="11.421875" style="3" hidden="1" customWidth="1"/>
    <col min="4" max="4" width="10.57421875" style="3" hidden="1" customWidth="1"/>
    <col min="5" max="5" width="6.421875" style="3" hidden="1" customWidth="1"/>
    <col min="6" max="7" width="9.140625" style="3" hidden="1" customWidth="1"/>
    <col min="8" max="8" width="33.57421875" style="3" customWidth="1"/>
    <col min="9" max="9" width="10.8515625" style="3" customWidth="1"/>
    <col min="10" max="10" width="10.57421875" style="3" customWidth="1"/>
    <col min="11" max="11" width="8.140625" style="3" customWidth="1"/>
    <col min="12" max="12" width="7.421875" style="3" customWidth="1"/>
    <col min="13" max="13" width="9.00390625" style="3" customWidth="1"/>
    <col min="14" max="14" width="9.7109375" style="3" customWidth="1"/>
    <col min="15" max="104" width="11.421875" style="0" customWidth="1"/>
    <col min="105" max="16384" width="11.421875" style="3" customWidth="1"/>
  </cols>
  <sheetData>
    <row r="1" spans="1:14" ht="17.25" customHeight="1">
      <c r="A1" s="1" t="s">
        <v>94</v>
      </c>
      <c r="B1" s="1"/>
      <c r="C1" s="2"/>
      <c r="D1" s="1"/>
      <c r="E1" s="1"/>
      <c r="F1" s="2"/>
      <c r="G1" s="3" t="s">
        <v>95</v>
      </c>
      <c r="H1" s="1" t="s">
        <v>94</v>
      </c>
      <c r="I1" s="1"/>
      <c r="J1" s="2"/>
      <c r="K1" s="1"/>
      <c r="L1" s="1"/>
      <c r="M1" s="2"/>
      <c r="N1" s="3" t="s">
        <v>96</v>
      </c>
    </row>
    <row r="2" spans="1:14" ht="12.75">
      <c r="A2" s="1"/>
      <c r="B2" s="1"/>
      <c r="C2" s="2"/>
      <c r="D2" s="1"/>
      <c r="E2" s="1"/>
      <c r="F2" s="2"/>
      <c r="G2" s="4"/>
      <c r="H2" s="1"/>
      <c r="I2" s="1"/>
      <c r="J2" s="2"/>
      <c r="K2" s="1"/>
      <c r="L2" s="1"/>
      <c r="M2" s="2"/>
      <c r="N2" s="4"/>
    </row>
    <row r="3" spans="1:14" ht="18.75" customHeight="1">
      <c r="A3" s="5" t="s">
        <v>97</v>
      </c>
      <c r="B3" s="2"/>
      <c r="C3" s="2"/>
      <c r="D3" s="2"/>
      <c r="E3" s="2"/>
      <c r="F3" s="2"/>
      <c r="G3" s="4"/>
      <c r="H3" s="5" t="s">
        <v>97</v>
      </c>
      <c r="I3" s="2"/>
      <c r="J3" s="2"/>
      <c r="K3" s="2"/>
      <c r="L3" s="2"/>
      <c r="M3" s="2"/>
      <c r="N3" s="4"/>
    </row>
    <row r="4" spans="1:14" ht="19.5" customHeight="1">
      <c r="A4" s="5" t="s">
        <v>98</v>
      </c>
      <c r="B4" s="2"/>
      <c r="C4" s="2"/>
      <c r="D4" s="2"/>
      <c r="E4" s="2"/>
      <c r="F4" s="2"/>
      <c r="G4" s="4"/>
      <c r="H4" s="5" t="s">
        <v>98</v>
      </c>
      <c r="I4" s="2"/>
      <c r="J4" s="2"/>
      <c r="K4" s="2"/>
      <c r="L4" s="2"/>
      <c r="M4" s="2"/>
      <c r="N4" s="4"/>
    </row>
    <row r="5" spans="1:14" ht="11.25" customHeight="1">
      <c r="A5" s="4"/>
      <c r="B5" s="4"/>
      <c r="C5" s="4"/>
      <c r="D5" s="6"/>
      <c r="E5" s="7"/>
      <c r="F5" s="4"/>
      <c r="G5" s="8" t="s">
        <v>99</v>
      </c>
      <c r="H5" s="4"/>
      <c r="I5" s="4"/>
      <c r="J5" s="4"/>
      <c r="K5" s="6"/>
      <c r="L5" s="7"/>
      <c r="M5" s="4"/>
      <c r="N5" s="8" t="s">
        <v>100</v>
      </c>
    </row>
    <row r="6" spans="1:14" ht="79.5" customHeight="1">
      <c r="A6" s="9" t="s">
        <v>101</v>
      </c>
      <c r="B6" s="9" t="s">
        <v>102</v>
      </c>
      <c r="C6" s="9" t="s">
        <v>103</v>
      </c>
      <c r="D6" s="9" t="s">
        <v>104</v>
      </c>
      <c r="E6" s="9" t="s">
        <v>105</v>
      </c>
      <c r="F6" s="9" t="s">
        <v>106</v>
      </c>
      <c r="G6" s="9" t="s">
        <v>107</v>
      </c>
      <c r="H6" s="9" t="s">
        <v>101</v>
      </c>
      <c r="I6" s="9" t="s">
        <v>102</v>
      </c>
      <c r="J6" s="9" t="s">
        <v>103</v>
      </c>
      <c r="K6" s="9" t="s">
        <v>104</v>
      </c>
      <c r="L6" s="9" t="s">
        <v>105</v>
      </c>
      <c r="M6" s="9" t="s">
        <v>106</v>
      </c>
      <c r="N6" s="9" t="s">
        <v>107</v>
      </c>
    </row>
    <row r="7" spans="1:14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10">
        <v>7</v>
      </c>
      <c r="H7" s="9">
        <v>1</v>
      </c>
      <c r="I7" s="9">
        <v>2</v>
      </c>
      <c r="J7" s="9">
        <v>3</v>
      </c>
      <c r="K7" s="9">
        <v>4</v>
      </c>
      <c r="L7" s="9">
        <v>5</v>
      </c>
      <c r="M7" s="9">
        <v>6</v>
      </c>
      <c r="N7" s="11">
        <v>7</v>
      </c>
    </row>
    <row r="8" spans="1:104" ht="38.25">
      <c r="A8" s="12" t="s">
        <v>108</v>
      </c>
      <c r="B8" s="13">
        <f>B9+B12</f>
        <v>33831421</v>
      </c>
      <c r="C8" s="13">
        <f>C9+C12</f>
        <v>29641600</v>
      </c>
      <c r="D8" s="13">
        <f>D9+D12</f>
        <v>12407549</v>
      </c>
      <c r="E8" s="14">
        <f aca="true" t="shared" si="0" ref="E8:E71">IF(ISERROR(D8/B8)," ",(D8/B8))</f>
        <v>0.36674631550356696</v>
      </c>
      <c r="F8" s="14">
        <f aca="true" t="shared" si="1" ref="F8:F80">IF(ISERROR(D8/C8)," ",(D8/C8))</f>
        <v>0.41858567013926373</v>
      </c>
      <c r="G8" s="13">
        <f>D8-'[1]Oktobris'!D8</f>
        <v>6185836</v>
      </c>
      <c r="H8" s="12" t="s">
        <v>108</v>
      </c>
      <c r="I8" s="15">
        <f>I9+I12</f>
        <v>33831</v>
      </c>
      <c r="J8" s="15">
        <f>J9+J12</f>
        <v>29641</v>
      </c>
      <c r="K8" s="15">
        <f>SUM(K15,K18,K23,K26,K32,K39,K46,K52,K59,K65,K72,K79,K86,K91)</f>
        <v>12408</v>
      </c>
      <c r="L8" s="16">
        <f>IF(ISERROR(ROUND(K8,0)/ROUND(I8,0))," ",(ROUND(K8,)/ROUND(I8,)))*100</f>
        <v>36.67642103396294</v>
      </c>
      <c r="M8" s="16">
        <f>IF(ISERROR(ROUND(K8,0)/ROUND(J8,0))," ",(ROUND(K8,)/ROUND(J8,)))*100</f>
        <v>41.86093586586148</v>
      </c>
      <c r="N8" s="13">
        <f>K8-'[1]Oktobris'!K8</f>
        <v>6186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</row>
    <row r="9" spans="1:104" s="18" customFormat="1" ht="15" customHeight="1">
      <c r="A9" s="17" t="s">
        <v>109</v>
      </c>
      <c r="B9" s="13">
        <f>SUM(B10:B11)</f>
        <v>29886194</v>
      </c>
      <c r="C9" s="13">
        <f>SUM(C10:C11)</f>
        <v>25832488</v>
      </c>
      <c r="D9" s="13">
        <f>SUM(D10:D11)</f>
        <v>9624003</v>
      </c>
      <c r="E9" s="14">
        <f t="shared" si="0"/>
        <v>0.3220217000532085</v>
      </c>
      <c r="F9" s="14">
        <f t="shared" si="1"/>
        <v>0.37255424254914976</v>
      </c>
      <c r="G9" s="13">
        <f>D9-'[1]Oktobris'!D9</f>
        <v>5206818</v>
      </c>
      <c r="H9" s="17" t="s">
        <v>109</v>
      </c>
      <c r="I9" s="13">
        <f>SUM(I10:I11)</f>
        <v>29886</v>
      </c>
      <c r="J9" s="13">
        <f>SUM(J10:J11)</f>
        <v>25832</v>
      </c>
      <c r="K9" s="13">
        <f>SUM(K10:K11)</f>
        <v>9624</v>
      </c>
      <c r="L9" s="16">
        <f>IF(ISERROR(ROUND(K9,0)/ROUND(I9,0))," ",(ROUND(K9,)/ROUND(I9,)))*100</f>
        <v>32.20236900220839</v>
      </c>
      <c r="M9" s="16">
        <f aca="true" t="shared" si="2" ref="M9:M80">IF(ISERROR(ROUND(K9,0)/ROUND(J9,0))," ",(ROUND(K9,)/ROUND(J9,)))*100</f>
        <v>37.25611644471973</v>
      </c>
      <c r="N9" s="13">
        <f>K9-'[1]Oktobris'!K9</f>
        <v>5207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</row>
    <row r="10" spans="1:104" s="26" customFormat="1" ht="13.5" customHeight="1">
      <c r="A10" s="19" t="s">
        <v>110</v>
      </c>
      <c r="B10" s="20">
        <f>SUM(B17,B20,B25,B28,B34,B41,B48,B54,B61,B67,B74,B81,B88,B93)</f>
        <v>17598599</v>
      </c>
      <c r="C10" s="20">
        <f>SUM(C17,C20,C25,C28,C34,C41,C48,C54,C61,C67,C74,C81,C88,C93)</f>
        <v>15994304</v>
      </c>
      <c r="D10" s="20">
        <f>SUM(D17,D20,D25,D28,D34,D41,D48,D54,D61,D67,D74,D81,D88,D93)</f>
        <v>6694576</v>
      </c>
      <c r="E10" s="21">
        <f t="shared" si="0"/>
        <v>0.38040391738001417</v>
      </c>
      <c r="F10" s="21">
        <f t="shared" si="1"/>
        <v>0.4185600073626211</v>
      </c>
      <c r="G10" s="13">
        <f>D10-'[1]Oktobris'!D10</f>
        <v>2910808</v>
      </c>
      <c r="H10" s="19" t="s">
        <v>110</v>
      </c>
      <c r="I10" s="22">
        <f>SUM(I17,I20,I25,I28,I34,I41,I48,I54,I61,I67,I74,I81,I88,I93)</f>
        <v>17599</v>
      </c>
      <c r="J10" s="22">
        <f>SUM(J17,J20,J25,J28,J34,J41,J48,J54,J61,J67,J74,J81,J88,J93)</f>
        <v>15994</v>
      </c>
      <c r="K10" s="22">
        <f>SUM(K17,K20,K25,K28,K34,K41,K48,K54,K61,K67,K74,K81,K88,K93)</f>
        <v>6693</v>
      </c>
      <c r="L10" s="23">
        <f aca="true" t="shared" si="3" ref="L10:L73">IF(ISERROR(ROUND(K10,0)/ROUND(I10,0))," ",(ROUND(K10,)/ROUND(I10,)))*100</f>
        <v>38.030569918745385</v>
      </c>
      <c r="M10" s="23">
        <f t="shared" si="2"/>
        <v>41.84694260347631</v>
      </c>
      <c r="N10" s="24">
        <f>K10-'[1]Oktobris'!K10</f>
        <v>2910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</row>
    <row r="11" spans="1:104" s="26" customFormat="1" ht="14.25" customHeight="1">
      <c r="A11" s="19" t="s">
        <v>111</v>
      </c>
      <c r="B11" s="20">
        <f>SUM(B29,B35,B42,B49,B55,B62,B68,B75,B82,)</f>
        <v>12287595</v>
      </c>
      <c r="C11" s="20">
        <f>SUM(C29,C35,C42,C49,C55,C62,C68,C75,C82,)</f>
        <v>9838184</v>
      </c>
      <c r="D11" s="20">
        <f>SUM(D29,D35,D42,D49,D55,D62,D68,D75,D82,)</f>
        <v>2929427</v>
      </c>
      <c r="E11" s="21">
        <f t="shared" si="0"/>
        <v>0.23840523715177786</v>
      </c>
      <c r="F11" s="21">
        <f t="shared" si="1"/>
        <v>0.29776094856530433</v>
      </c>
      <c r="G11" s="13">
        <f>D11-'[1]Oktobris'!D11</f>
        <v>2296010</v>
      </c>
      <c r="H11" s="19" t="s">
        <v>111</v>
      </c>
      <c r="I11" s="22">
        <f>SUM(I29,I35,I42,I49,I55,I62,I68,I75,I82,)</f>
        <v>12287</v>
      </c>
      <c r="J11" s="22">
        <f>SUM(J29,J35,J42,J55,J62,J68,J75,J82,)</f>
        <v>9838</v>
      </c>
      <c r="K11" s="22">
        <f>SUM(K29,K35,K42,K49,K55,K62,K68,K75,K82,)</f>
        <v>2931</v>
      </c>
      <c r="L11" s="23">
        <f t="shared" si="3"/>
        <v>23.854480345080166</v>
      </c>
      <c r="M11" s="23">
        <f t="shared" si="2"/>
        <v>29.792640780646472</v>
      </c>
      <c r="N11" s="24">
        <f>K11-'[1]Oktobris'!K11</f>
        <v>2297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</row>
    <row r="12" spans="1:104" s="28" customFormat="1" ht="14.25" customHeight="1">
      <c r="A12" s="17" t="s">
        <v>112</v>
      </c>
      <c r="B12" s="13">
        <f>SUM(B13:B14)</f>
        <v>3945227</v>
      </c>
      <c r="C12" s="13">
        <f>SUM(C13:C14)</f>
        <v>3809112</v>
      </c>
      <c r="D12" s="13">
        <f>SUM(D13:D14)</f>
        <v>2783546</v>
      </c>
      <c r="E12" s="14">
        <f t="shared" si="0"/>
        <v>0.7055477416128401</v>
      </c>
      <c r="F12" s="21">
        <f t="shared" si="1"/>
        <v>0.7307598201365567</v>
      </c>
      <c r="G12" s="13">
        <f>D12-'[1]Oktobris'!D12</f>
        <v>979018</v>
      </c>
      <c r="H12" s="17" t="s">
        <v>112</v>
      </c>
      <c r="I12" s="15">
        <f>SUM(I13:I14)</f>
        <v>3945</v>
      </c>
      <c r="J12" s="15">
        <f>SUM(J13:J14)</f>
        <v>3809</v>
      </c>
      <c r="K12" s="15">
        <f>SUM(K13:K14)</f>
        <v>2784</v>
      </c>
      <c r="L12" s="16">
        <f t="shared" si="3"/>
        <v>70.57034220532319</v>
      </c>
      <c r="M12" s="16">
        <f t="shared" si="2"/>
        <v>73.09004988185876</v>
      </c>
      <c r="N12" s="27">
        <f>K12-'[1]Oktobris'!K12</f>
        <v>979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</row>
    <row r="13" spans="1:104" s="26" customFormat="1" ht="13.5" customHeight="1">
      <c r="A13" s="19" t="s">
        <v>110</v>
      </c>
      <c r="B13" s="20">
        <f>B22+B31+B37+B44+B51+B57+B70+B77+B84+B90</f>
        <v>2205557</v>
      </c>
      <c r="C13" s="20">
        <f>C22+C31+C37+C44+C51+C57+C70+C77+C84+C90</f>
        <v>2148982</v>
      </c>
      <c r="D13" s="20">
        <f>D22+D31+D37+D44+D51+D57+D70+D77+D84+D90</f>
        <v>1705036</v>
      </c>
      <c r="E13" s="21">
        <f t="shared" si="0"/>
        <v>0.7730636750716485</v>
      </c>
      <c r="F13" s="21">
        <f t="shared" si="1"/>
        <v>0.793415673095447</v>
      </c>
      <c r="G13" s="13">
        <f>D13-'[1]Oktobris'!D13</f>
        <v>870725</v>
      </c>
      <c r="H13" s="19" t="s">
        <v>110</v>
      </c>
      <c r="I13" s="22">
        <f>I22+I31+I37+I44+I51+I57+I70+I77+I84+I90</f>
        <v>2205</v>
      </c>
      <c r="J13" s="22">
        <f>J22+J31+J37+J44+J51+J57+J70+J77+J84+J90</f>
        <v>2149</v>
      </c>
      <c r="K13" s="22">
        <f>K22+K31+K37+K44+K51+K57+K70+K77+K84+K90</f>
        <v>1705</v>
      </c>
      <c r="L13" s="23">
        <f t="shared" si="3"/>
        <v>77.32426303854876</v>
      </c>
      <c r="M13" s="23">
        <f t="shared" si="2"/>
        <v>79.3392275476966</v>
      </c>
      <c r="N13" s="24">
        <f>K13-'[1]Oktobris'!K13</f>
        <v>870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</row>
    <row r="14" spans="1:104" s="26" customFormat="1" ht="14.25" customHeight="1">
      <c r="A14" s="19" t="s">
        <v>111</v>
      </c>
      <c r="B14" s="20">
        <f>B38+B45+B58+B64+B71+B78+B85</f>
        <v>1739670</v>
      </c>
      <c r="C14" s="20">
        <f>C38+C45+C58+C64+C71+C78+C85</f>
        <v>1660130</v>
      </c>
      <c r="D14" s="20">
        <f>D38+D45+D58+D64+D71+D78+D85</f>
        <v>1078510</v>
      </c>
      <c r="E14" s="21">
        <f t="shared" si="0"/>
        <v>0.6199509102301011</v>
      </c>
      <c r="F14" s="21">
        <f t="shared" si="1"/>
        <v>0.6496539427635185</v>
      </c>
      <c r="G14" s="13">
        <f>D14-'[1]Oktobris'!D14</f>
        <v>108293</v>
      </c>
      <c r="H14" s="19" t="s">
        <v>111</v>
      </c>
      <c r="I14" s="24">
        <f>I38+I45+I58+I64+I71+I78+I85</f>
        <v>1740</v>
      </c>
      <c r="J14" s="24">
        <f>J38+J45+J58+J64+J71+J78+J85</f>
        <v>1660</v>
      </c>
      <c r="K14" s="24">
        <f>K38+K45+K58+K64+K71+K78+K85</f>
        <v>1079</v>
      </c>
      <c r="L14" s="23">
        <f t="shared" si="3"/>
        <v>62.01149425287357</v>
      </c>
      <c r="M14" s="23">
        <f t="shared" si="2"/>
        <v>65</v>
      </c>
      <c r="N14" s="24">
        <f>K14-'[1]Oktobris'!K14</f>
        <v>109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</row>
    <row r="15" spans="1:104" s="30" customFormat="1" ht="13.5" customHeight="1">
      <c r="A15" s="29" t="s">
        <v>113</v>
      </c>
      <c r="B15" s="22">
        <f aca="true" t="shared" si="4" ref="B15:D16">B16</f>
        <v>157204</v>
      </c>
      <c r="C15" s="22">
        <f t="shared" si="4"/>
        <v>157204</v>
      </c>
      <c r="D15" s="22">
        <f t="shared" si="4"/>
        <v>126804</v>
      </c>
      <c r="E15" s="21">
        <f t="shared" si="0"/>
        <v>0.8066206966743849</v>
      </c>
      <c r="F15" s="21">
        <f t="shared" si="1"/>
        <v>0.8066206966743849</v>
      </c>
      <c r="G15" s="13">
        <f>D15</f>
        <v>126804</v>
      </c>
      <c r="H15" s="29" t="s">
        <v>113</v>
      </c>
      <c r="I15" s="22">
        <f aca="true" t="shared" si="5" ref="I15:K16">I16</f>
        <v>157</v>
      </c>
      <c r="J15" s="22">
        <f t="shared" si="5"/>
        <v>157</v>
      </c>
      <c r="K15" s="22">
        <f t="shared" si="5"/>
        <v>127</v>
      </c>
      <c r="L15" s="23">
        <f t="shared" si="3"/>
        <v>80.89171974522293</v>
      </c>
      <c r="M15" s="23">
        <f t="shared" si="2"/>
        <v>80.89171974522293</v>
      </c>
      <c r="N15" s="22">
        <f>K15</f>
        <v>127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</row>
    <row r="16" spans="1:104" s="26" customFormat="1" ht="12.75">
      <c r="A16" s="31" t="s">
        <v>114</v>
      </c>
      <c r="B16" s="32">
        <f t="shared" si="4"/>
        <v>157204</v>
      </c>
      <c r="C16" s="32">
        <f t="shared" si="4"/>
        <v>157204</v>
      </c>
      <c r="D16" s="32">
        <f t="shared" si="4"/>
        <v>126804</v>
      </c>
      <c r="E16" s="21">
        <f t="shared" si="0"/>
        <v>0.8066206966743849</v>
      </c>
      <c r="F16" s="21">
        <f t="shared" si="1"/>
        <v>0.8066206966743849</v>
      </c>
      <c r="G16" s="13">
        <f>D16</f>
        <v>126804</v>
      </c>
      <c r="H16" s="31" t="s">
        <v>114</v>
      </c>
      <c r="I16" s="32">
        <f t="shared" si="5"/>
        <v>157</v>
      </c>
      <c r="J16" s="32">
        <f t="shared" si="5"/>
        <v>157</v>
      </c>
      <c r="K16" s="32">
        <f t="shared" si="5"/>
        <v>127</v>
      </c>
      <c r="L16" s="33">
        <f t="shared" si="3"/>
        <v>80.89171974522293</v>
      </c>
      <c r="M16" s="33">
        <f t="shared" si="2"/>
        <v>80.89171974522293</v>
      </c>
      <c r="N16" s="32">
        <f>K16</f>
        <v>127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</row>
    <row r="17" spans="1:104" s="28" customFormat="1" ht="12.75">
      <c r="A17" s="34" t="s">
        <v>110</v>
      </c>
      <c r="B17" s="35">
        <v>157204</v>
      </c>
      <c r="C17" s="35">
        <v>157204</v>
      </c>
      <c r="D17" s="35">
        <v>126804</v>
      </c>
      <c r="E17" s="21">
        <f t="shared" si="0"/>
        <v>0.8066206966743849</v>
      </c>
      <c r="F17" s="21">
        <f t="shared" si="1"/>
        <v>0.8066206966743849</v>
      </c>
      <c r="G17" s="13">
        <f>D17</f>
        <v>126804</v>
      </c>
      <c r="H17" s="34" t="s">
        <v>110</v>
      </c>
      <c r="I17" s="35">
        <f>ROUND(B17/1000,0)</f>
        <v>157</v>
      </c>
      <c r="J17" s="35">
        <f>ROUND(C17/1000,0)</f>
        <v>157</v>
      </c>
      <c r="K17" s="35">
        <f>ROUND(D17/1000,0)</f>
        <v>127</v>
      </c>
      <c r="L17" s="36">
        <f t="shared" si="3"/>
        <v>80.89171974522293</v>
      </c>
      <c r="M17" s="36">
        <f t="shared" si="2"/>
        <v>80.89171974522293</v>
      </c>
      <c r="N17" s="35">
        <f>K17</f>
        <v>127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</row>
    <row r="18" spans="1:104" s="30" customFormat="1" ht="13.5" customHeight="1">
      <c r="A18" s="29" t="s">
        <v>115</v>
      </c>
      <c r="B18" s="22">
        <f>B19+B21</f>
        <v>801656</v>
      </c>
      <c r="C18" s="22">
        <f>C19+C21</f>
        <v>795098</v>
      </c>
      <c r="D18" s="22">
        <f>D19+D21</f>
        <v>681469</v>
      </c>
      <c r="E18" s="37">
        <f t="shared" si="0"/>
        <v>0.8500765914556867</v>
      </c>
      <c r="F18" s="37">
        <f t="shared" si="1"/>
        <v>0.8570880570696946</v>
      </c>
      <c r="G18" s="13">
        <f>D18-'[1]Oktobris'!D15</f>
        <v>476364</v>
      </c>
      <c r="H18" s="29" t="s">
        <v>115</v>
      </c>
      <c r="I18" s="22">
        <f>I19+I21</f>
        <v>802</v>
      </c>
      <c r="J18" s="22">
        <f>J19+J21</f>
        <v>795</v>
      </c>
      <c r="K18" s="22">
        <f>K19+K21</f>
        <v>681</v>
      </c>
      <c r="L18" s="23">
        <f t="shared" si="3"/>
        <v>84.91271820448878</v>
      </c>
      <c r="M18" s="23">
        <f t="shared" si="2"/>
        <v>85.66037735849056</v>
      </c>
      <c r="N18" s="22">
        <f>K18-'[1]Oktobris'!K15</f>
        <v>476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</row>
    <row r="19" spans="1:104" s="26" customFormat="1" ht="12.75">
      <c r="A19" s="31" t="s">
        <v>114</v>
      </c>
      <c r="B19" s="32">
        <f>B20</f>
        <v>784659</v>
      </c>
      <c r="C19" s="32">
        <f>C20</f>
        <v>784659</v>
      </c>
      <c r="D19" s="32">
        <f>D20</f>
        <v>671030</v>
      </c>
      <c r="E19" s="21">
        <f t="shared" si="0"/>
        <v>0.8551867754017988</v>
      </c>
      <c r="F19" s="21">
        <f t="shared" si="1"/>
        <v>0.8551867754017988</v>
      </c>
      <c r="G19" s="13">
        <f>D19-'[1]Oktobris'!D16</f>
        <v>475415</v>
      </c>
      <c r="H19" s="31" t="s">
        <v>114</v>
      </c>
      <c r="I19" s="32">
        <f>I20</f>
        <v>785</v>
      </c>
      <c r="J19" s="32">
        <f>J20</f>
        <v>785</v>
      </c>
      <c r="K19" s="32">
        <f>K20</f>
        <v>671</v>
      </c>
      <c r="L19" s="33">
        <f t="shared" si="3"/>
        <v>85.47770700636943</v>
      </c>
      <c r="M19" s="33">
        <f t="shared" si="2"/>
        <v>85.47770700636943</v>
      </c>
      <c r="N19" s="32">
        <f>K19-'[1]Oktobris'!K16</f>
        <v>475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</row>
    <row r="20" spans="1:104" s="28" customFormat="1" ht="12.75">
      <c r="A20" s="34" t="s">
        <v>110</v>
      </c>
      <c r="B20" s="35">
        <v>784659</v>
      </c>
      <c r="C20" s="35">
        <v>784659</v>
      </c>
      <c r="D20" s="35">
        <v>671030</v>
      </c>
      <c r="E20" s="21">
        <f t="shared" si="0"/>
        <v>0.8551867754017988</v>
      </c>
      <c r="F20" s="21">
        <f t="shared" si="1"/>
        <v>0.8551867754017988</v>
      </c>
      <c r="G20" s="13">
        <f>D20-'[1]Oktobris'!D17</f>
        <v>475415</v>
      </c>
      <c r="H20" s="34" t="s">
        <v>110</v>
      </c>
      <c r="I20" s="35">
        <f>ROUND(B20/1000,0)</f>
        <v>785</v>
      </c>
      <c r="J20" s="35">
        <f>ROUND(C20/1000,0)</f>
        <v>785</v>
      </c>
      <c r="K20" s="35">
        <f>ROUND(D20/1000,0)</f>
        <v>671</v>
      </c>
      <c r="L20" s="36">
        <f t="shared" si="3"/>
        <v>85.47770700636943</v>
      </c>
      <c r="M20" s="36">
        <f t="shared" si="2"/>
        <v>85.47770700636943</v>
      </c>
      <c r="N20" s="35">
        <f>K20-'[1]Oktobris'!K17</f>
        <v>475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</row>
    <row r="21" spans="1:104" s="26" customFormat="1" ht="12.75">
      <c r="A21" s="31" t="s">
        <v>116</v>
      </c>
      <c r="B21" s="32">
        <f>B22</f>
        <v>16997</v>
      </c>
      <c r="C21" s="32">
        <f>C22</f>
        <v>10439</v>
      </c>
      <c r="D21" s="32">
        <f>D22</f>
        <v>10439</v>
      </c>
      <c r="E21" s="21">
        <f t="shared" si="0"/>
        <v>0.6141672059775255</v>
      </c>
      <c r="F21" s="21">
        <f t="shared" si="1"/>
        <v>1</v>
      </c>
      <c r="G21" s="13">
        <f>D21-'[1]Oktobris'!D18</f>
        <v>949</v>
      </c>
      <c r="H21" s="31" t="s">
        <v>116</v>
      </c>
      <c r="I21" s="32">
        <f>I22</f>
        <v>17</v>
      </c>
      <c r="J21" s="32">
        <f>J22</f>
        <v>10</v>
      </c>
      <c r="K21" s="32">
        <f>K22</f>
        <v>10</v>
      </c>
      <c r="L21" s="33">
        <f t="shared" si="3"/>
        <v>58.82352941176471</v>
      </c>
      <c r="M21" s="33">
        <f t="shared" si="2"/>
        <v>100</v>
      </c>
      <c r="N21" s="32">
        <f>K21-'[1]Oktobris'!K18</f>
        <v>1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</row>
    <row r="22" spans="1:104" s="28" customFormat="1" ht="12.75">
      <c r="A22" s="34" t="s">
        <v>110</v>
      </c>
      <c r="B22" s="35">
        <v>16997</v>
      </c>
      <c r="C22" s="35">
        <v>10439</v>
      </c>
      <c r="D22" s="35">
        <v>10439</v>
      </c>
      <c r="E22" s="21">
        <f t="shared" si="0"/>
        <v>0.6141672059775255</v>
      </c>
      <c r="F22" s="21">
        <f t="shared" si="1"/>
        <v>1</v>
      </c>
      <c r="G22" s="13">
        <f>D22-'[1]Oktobris'!D19</f>
        <v>949</v>
      </c>
      <c r="H22" s="34" t="s">
        <v>110</v>
      </c>
      <c r="I22" s="35">
        <f>ROUND(B22/1000,0)</f>
        <v>17</v>
      </c>
      <c r="J22" s="35">
        <f>ROUND(C22/1000,0)</f>
        <v>10</v>
      </c>
      <c r="K22" s="35">
        <f>ROUND(D22/1000,0)</f>
        <v>10</v>
      </c>
      <c r="L22" s="36">
        <f t="shared" si="3"/>
        <v>58.82352941176471</v>
      </c>
      <c r="M22" s="36">
        <f t="shared" si="2"/>
        <v>100</v>
      </c>
      <c r="N22" s="35">
        <f>K22-'[1]Oktobris'!K19</f>
        <v>1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</row>
    <row r="23" spans="1:104" s="30" customFormat="1" ht="13.5" customHeight="1">
      <c r="A23" s="29" t="s">
        <v>117</v>
      </c>
      <c r="B23" s="22">
        <f aca="true" t="shared" si="6" ref="B23:D24">B24</f>
        <v>83635</v>
      </c>
      <c r="C23" s="22">
        <f t="shared" si="6"/>
        <v>83635</v>
      </c>
      <c r="D23" s="22">
        <f t="shared" si="6"/>
        <v>44381</v>
      </c>
      <c r="E23" s="37">
        <f t="shared" si="0"/>
        <v>0.5306510432235308</v>
      </c>
      <c r="F23" s="21">
        <f t="shared" si="1"/>
        <v>0.5306510432235308</v>
      </c>
      <c r="G23" s="13">
        <f>D23</f>
        <v>44381</v>
      </c>
      <c r="H23" s="29" t="s">
        <v>117</v>
      </c>
      <c r="I23" s="22">
        <f aca="true" t="shared" si="7" ref="I23:K24">I24</f>
        <v>84</v>
      </c>
      <c r="J23" s="22">
        <f t="shared" si="7"/>
        <v>83</v>
      </c>
      <c r="K23" s="22">
        <f t="shared" si="7"/>
        <v>44</v>
      </c>
      <c r="L23" s="23">
        <f t="shared" si="3"/>
        <v>52.38095238095239</v>
      </c>
      <c r="M23" s="23">
        <f t="shared" si="2"/>
        <v>53.01204819277109</v>
      </c>
      <c r="N23" s="22">
        <f>K23</f>
        <v>44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</row>
    <row r="24" spans="1:104" s="26" customFormat="1" ht="12.75">
      <c r="A24" s="31" t="s">
        <v>114</v>
      </c>
      <c r="B24" s="32">
        <f t="shared" si="6"/>
        <v>83635</v>
      </c>
      <c r="C24" s="32">
        <f t="shared" si="6"/>
        <v>83635</v>
      </c>
      <c r="D24" s="32">
        <f t="shared" si="6"/>
        <v>44381</v>
      </c>
      <c r="E24" s="21">
        <f t="shared" si="0"/>
        <v>0.5306510432235308</v>
      </c>
      <c r="F24" s="21">
        <f t="shared" si="1"/>
        <v>0.5306510432235308</v>
      </c>
      <c r="G24" s="13">
        <f>D24</f>
        <v>44381</v>
      </c>
      <c r="H24" s="31" t="s">
        <v>114</v>
      </c>
      <c r="I24" s="32">
        <f t="shared" si="7"/>
        <v>84</v>
      </c>
      <c r="J24" s="32">
        <f t="shared" si="7"/>
        <v>83</v>
      </c>
      <c r="K24" s="32">
        <f t="shared" si="7"/>
        <v>44</v>
      </c>
      <c r="L24" s="33">
        <f t="shared" si="3"/>
        <v>52.38095238095239</v>
      </c>
      <c r="M24" s="33">
        <f t="shared" si="2"/>
        <v>53.01204819277109</v>
      </c>
      <c r="N24" s="32">
        <f>K24</f>
        <v>44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</row>
    <row r="25" spans="1:104" s="28" customFormat="1" ht="12.75">
      <c r="A25" s="34" t="s">
        <v>110</v>
      </c>
      <c r="B25" s="35">
        <v>83635</v>
      </c>
      <c r="C25" s="35">
        <v>83635</v>
      </c>
      <c r="D25" s="35">
        <v>44381</v>
      </c>
      <c r="E25" s="21">
        <f t="shared" si="0"/>
        <v>0.5306510432235308</v>
      </c>
      <c r="F25" s="21">
        <f t="shared" si="1"/>
        <v>0.5306510432235308</v>
      </c>
      <c r="G25" s="13">
        <f>D25</f>
        <v>44381</v>
      </c>
      <c r="H25" s="34" t="s">
        <v>110</v>
      </c>
      <c r="I25" s="35">
        <f>ROUND(B25/1000,0)</f>
        <v>84</v>
      </c>
      <c r="J25" s="35">
        <f>ROUND(C25/1000,0)-1</f>
        <v>83</v>
      </c>
      <c r="K25" s="35">
        <f>ROUND(D25/1000,0)</f>
        <v>44</v>
      </c>
      <c r="L25" s="36">
        <f t="shared" si="3"/>
        <v>52.38095238095239</v>
      </c>
      <c r="M25" s="36">
        <f t="shared" si="2"/>
        <v>53.01204819277109</v>
      </c>
      <c r="N25" s="35">
        <f>K25</f>
        <v>44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</row>
    <row r="26" spans="1:104" s="30" customFormat="1" ht="12.75">
      <c r="A26" s="29" t="s">
        <v>118</v>
      </c>
      <c r="B26" s="22">
        <f>B27+B30</f>
        <v>5070116</v>
      </c>
      <c r="C26" s="22">
        <f>C27+C30</f>
        <v>4806415</v>
      </c>
      <c r="D26" s="22">
        <f>D27+D30</f>
        <v>1326971</v>
      </c>
      <c r="E26" s="37">
        <f t="shared" si="0"/>
        <v>0.2617239921137899</v>
      </c>
      <c r="F26" s="37">
        <f t="shared" si="1"/>
        <v>0.2760833178158773</v>
      </c>
      <c r="G26" s="13">
        <f>D26-'[1]Oktobris'!D20</f>
        <v>441673</v>
      </c>
      <c r="H26" s="29" t="s">
        <v>118</v>
      </c>
      <c r="I26" s="22">
        <f>I27+I30</f>
        <v>5070</v>
      </c>
      <c r="J26" s="22">
        <f>J27+J30</f>
        <v>4807</v>
      </c>
      <c r="K26" s="22">
        <f>K27+K30</f>
        <v>1327</v>
      </c>
      <c r="L26" s="23">
        <f t="shared" si="3"/>
        <v>26.17357001972387</v>
      </c>
      <c r="M26" s="23">
        <f t="shared" si="2"/>
        <v>27.605575202829208</v>
      </c>
      <c r="N26" s="22">
        <f>K26-'[1]Oktobris'!K20</f>
        <v>442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</row>
    <row r="27" spans="1:104" s="26" customFormat="1" ht="12.75">
      <c r="A27" s="31" t="s">
        <v>114</v>
      </c>
      <c r="B27" s="32">
        <f>SUM(B28:B29)</f>
        <v>5010116</v>
      </c>
      <c r="C27" s="32">
        <f>SUM(C28:C29)</f>
        <v>4752415</v>
      </c>
      <c r="D27" s="32">
        <f>SUM(D28:D29)</f>
        <v>1273460</v>
      </c>
      <c r="E27" s="21">
        <f t="shared" si="0"/>
        <v>0.2541777475810939</v>
      </c>
      <c r="F27" s="21">
        <f t="shared" si="1"/>
        <v>0.2679606052922567</v>
      </c>
      <c r="G27" s="13">
        <f>D27-'[1]Oktobris'!D21</f>
        <v>435844</v>
      </c>
      <c r="H27" s="31" t="s">
        <v>114</v>
      </c>
      <c r="I27" s="32">
        <f>SUM(I28:I29)</f>
        <v>5010</v>
      </c>
      <c r="J27" s="32">
        <f>SUM(J28:J29)</f>
        <v>4753</v>
      </c>
      <c r="K27" s="32">
        <f>SUM(K28:K29)</f>
        <v>1273</v>
      </c>
      <c r="L27" s="33">
        <f t="shared" si="3"/>
        <v>25.409181636726547</v>
      </c>
      <c r="M27" s="33">
        <f t="shared" si="2"/>
        <v>26.783084367767724</v>
      </c>
      <c r="N27" s="32">
        <f>K27-'[1]Oktobris'!K21</f>
        <v>436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</row>
    <row r="28" spans="1:104" s="28" customFormat="1" ht="12.75">
      <c r="A28" s="34" t="s">
        <v>110</v>
      </c>
      <c r="B28" s="35">
        <v>4221699</v>
      </c>
      <c r="C28" s="35">
        <v>4043732</v>
      </c>
      <c r="D28" s="35">
        <v>1015703</v>
      </c>
      <c r="E28" s="21">
        <f t="shared" si="0"/>
        <v>0.24059105113841608</v>
      </c>
      <c r="F28" s="21">
        <f t="shared" si="1"/>
        <v>0.25117960339607076</v>
      </c>
      <c r="G28" s="13">
        <f>D28-'[1]Oktobris'!D22</f>
        <v>349510</v>
      </c>
      <c r="H28" s="34" t="s">
        <v>110</v>
      </c>
      <c r="I28" s="35">
        <f aca="true" t="shared" si="8" ref="I28:K29">ROUND(B28/1000,0)</f>
        <v>4222</v>
      </c>
      <c r="J28" s="35">
        <f t="shared" si="8"/>
        <v>4044</v>
      </c>
      <c r="K28" s="35">
        <f>ROUND(D28/1000,0)-1</f>
        <v>1015</v>
      </c>
      <c r="L28" s="36">
        <f t="shared" si="3"/>
        <v>24.040738986262436</v>
      </c>
      <c r="M28" s="36">
        <f t="shared" si="2"/>
        <v>25.09891196834817</v>
      </c>
      <c r="N28" s="35">
        <f>K28-'[1]Oktobris'!K22</f>
        <v>349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04" s="28" customFormat="1" ht="12.75">
      <c r="A29" s="34" t="s">
        <v>111</v>
      </c>
      <c r="B29" s="35">
        <v>788417</v>
      </c>
      <c r="C29" s="35">
        <v>708683</v>
      </c>
      <c r="D29" s="35">
        <v>257757</v>
      </c>
      <c r="E29" s="21">
        <f t="shared" si="0"/>
        <v>0.3269297846190531</v>
      </c>
      <c r="F29" s="21">
        <f t="shared" si="1"/>
        <v>0.3637126895946425</v>
      </c>
      <c r="G29" s="13">
        <f>D29-'[1]Oktobris'!D23</f>
        <v>86334</v>
      </c>
      <c r="H29" s="34" t="s">
        <v>111</v>
      </c>
      <c r="I29" s="35">
        <f t="shared" si="8"/>
        <v>788</v>
      </c>
      <c r="J29" s="35">
        <f t="shared" si="8"/>
        <v>709</v>
      </c>
      <c r="K29" s="35">
        <f t="shared" si="8"/>
        <v>258</v>
      </c>
      <c r="L29" s="36">
        <f>IF(ISERROR(ROUND(K29,0)/ROUND(I29,0))," ",(ROUND(K29,)/ROUND(I29,)))*100</f>
        <v>32.74111675126903</v>
      </c>
      <c r="M29" s="36">
        <f t="shared" si="2"/>
        <v>36.38928067700987</v>
      </c>
      <c r="N29" s="35">
        <f>K29-'[1]Oktobris'!K23</f>
        <v>87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1:104" s="26" customFormat="1" ht="12.75">
      <c r="A30" s="31" t="s">
        <v>116</v>
      </c>
      <c r="B30" s="32">
        <f>B31</f>
        <v>60000</v>
      </c>
      <c r="C30" s="32">
        <f>C31</f>
        <v>54000</v>
      </c>
      <c r="D30" s="32">
        <f>D31</f>
        <v>53511</v>
      </c>
      <c r="E30" s="21">
        <f t="shared" si="0"/>
        <v>0.89185</v>
      </c>
      <c r="F30" s="21">
        <f t="shared" si="1"/>
        <v>0.9909444444444444</v>
      </c>
      <c r="G30" s="13">
        <f>D30-'[1]Oktobris'!D24</f>
        <v>5829</v>
      </c>
      <c r="H30" s="31" t="s">
        <v>116</v>
      </c>
      <c r="I30" s="32">
        <f>I31</f>
        <v>60</v>
      </c>
      <c r="J30" s="32">
        <f>J31</f>
        <v>54</v>
      </c>
      <c r="K30" s="32">
        <f>K31</f>
        <v>54</v>
      </c>
      <c r="L30" s="33">
        <f t="shared" si="3"/>
        <v>90</v>
      </c>
      <c r="M30" s="33">
        <f t="shared" si="2"/>
        <v>100</v>
      </c>
      <c r="N30" s="32">
        <f>K30-'[1]Oktobris'!K24</f>
        <v>6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</row>
    <row r="31" spans="1:104" s="28" customFormat="1" ht="12.75">
      <c r="A31" s="34" t="s">
        <v>110</v>
      </c>
      <c r="B31" s="35">
        <v>60000</v>
      </c>
      <c r="C31" s="35">
        <v>54000</v>
      </c>
      <c r="D31" s="35">
        <v>53511</v>
      </c>
      <c r="E31" s="21">
        <f t="shared" si="0"/>
        <v>0.89185</v>
      </c>
      <c r="F31" s="21">
        <f t="shared" si="1"/>
        <v>0.9909444444444444</v>
      </c>
      <c r="G31" s="13">
        <f>D31-'[1]Oktobris'!D25</f>
        <v>5829</v>
      </c>
      <c r="H31" s="34" t="s">
        <v>110</v>
      </c>
      <c r="I31" s="35">
        <f>ROUND(B31/1000,0)</f>
        <v>60</v>
      </c>
      <c r="J31" s="35">
        <f>ROUND(C31/1000,0)</f>
        <v>54</v>
      </c>
      <c r="K31" s="35">
        <f>ROUND(D31/1000,0)</f>
        <v>54</v>
      </c>
      <c r="L31" s="36">
        <f t="shared" si="3"/>
        <v>90</v>
      </c>
      <c r="M31" s="36">
        <f t="shared" si="2"/>
        <v>100</v>
      </c>
      <c r="N31" s="35">
        <f>K31-'[1]Oktobris'!K25</f>
        <v>6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</row>
    <row r="32" spans="1:104" s="30" customFormat="1" ht="12.75">
      <c r="A32" s="29" t="s">
        <v>119</v>
      </c>
      <c r="B32" s="22">
        <f>B33+B36</f>
        <v>3537739</v>
      </c>
      <c r="C32" s="22">
        <f>C33+C36</f>
        <v>3033489</v>
      </c>
      <c r="D32" s="22">
        <f>D33+D36</f>
        <v>1448531</v>
      </c>
      <c r="E32" s="37">
        <f t="shared" si="0"/>
        <v>0.4094510646489184</v>
      </c>
      <c r="F32" s="37">
        <f t="shared" si="1"/>
        <v>0.4775131869606252</v>
      </c>
      <c r="G32" s="13">
        <f>D32-'[1]Oktobris'!D26</f>
        <v>854534</v>
      </c>
      <c r="H32" s="29" t="s">
        <v>119</v>
      </c>
      <c r="I32" s="22">
        <f>I33+I36</f>
        <v>3538</v>
      </c>
      <c r="J32" s="22">
        <f>J33+J36</f>
        <v>3033</v>
      </c>
      <c r="K32" s="22">
        <f>K33+K36</f>
        <v>1449</v>
      </c>
      <c r="L32" s="23">
        <f t="shared" si="3"/>
        <v>40.95534200113058</v>
      </c>
      <c r="M32" s="23">
        <f t="shared" si="2"/>
        <v>47.774480712166174</v>
      </c>
      <c r="N32" s="22">
        <f>K32-'[1]Oktobris'!K26</f>
        <v>855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</row>
    <row r="33" spans="1:104" s="26" customFormat="1" ht="12.75">
      <c r="A33" s="31" t="s">
        <v>114</v>
      </c>
      <c r="B33" s="32">
        <f>SUM(B34:B35)</f>
        <v>3318739</v>
      </c>
      <c r="C33" s="32">
        <f>SUM(C34:C35)</f>
        <v>2867739</v>
      </c>
      <c r="D33" s="32">
        <f>SUM(D34:D35)</f>
        <v>1333632</v>
      </c>
      <c r="E33" s="21">
        <f t="shared" si="0"/>
        <v>0.4018490155447596</v>
      </c>
      <c r="F33" s="21">
        <f t="shared" si="1"/>
        <v>0.4650465052782</v>
      </c>
      <c r="G33" s="13">
        <f>D33-'[1]Oktobris'!D27</f>
        <v>801941</v>
      </c>
      <c r="H33" s="31" t="s">
        <v>114</v>
      </c>
      <c r="I33" s="32">
        <f>SUM(I34:I35)</f>
        <v>3319</v>
      </c>
      <c r="J33" s="32">
        <f>SUM(J34:J35)</f>
        <v>2867</v>
      </c>
      <c r="K33" s="32">
        <f>SUM(K34:K35)</f>
        <v>1334</v>
      </c>
      <c r="L33" s="33">
        <f t="shared" si="3"/>
        <v>40.19282916541127</v>
      </c>
      <c r="M33" s="33">
        <f t="shared" si="2"/>
        <v>46.52947331705616</v>
      </c>
      <c r="N33" s="32">
        <f>K33-'[1]Oktobris'!K27</f>
        <v>802</v>
      </c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</row>
    <row r="34" spans="1:104" s="28" customFormat="1" ht="12.75">
      <c r="A34" s="34" t="s">
        <v>110</v>
      </c>
      <c r="B34" s="35">
        <v>2242242</v>
      </c>
      <c r="C34" s="35">
        <v>1797242</v>
      </c>
      <c r="D34" s="35">
        <v>1104307</v>
      </c>
      <c r="E34" s="21">
        <f t="shared" si="0"/>
        <v>0.4925012554398678</v>
      </c>
      <c r="F34" s="21">
        <f t="shared" si="1"/>
        <v>0.6144453557172601</v>
      </c>
      <c r="G34" s="13">
        <f>D34-'[1]Oktobris'!D28</f>
        <v>612147</v>
      </c>
      <c r="H34" s="34" t="s">
        <v>110</v>
      </c>
      <c r="I34" s="35">
        <f aca="true" t="shared" si="9" ref="I34:K35">ROUND(B34/1000,0)</f>
        <v>2242</v>
      </c>
      <c r="J34" s="35">
        <f>ROUND(C34/1000,0)</f>
        <v>1797</v>
      </c>
      <c r="K34" s="35">
        <f t="shared" si="9"/>
        <v>1104</v>
      </c>
      <c r="L34" s="36">
        <f t="shared" si="3"/>
        <v>49.24174843889384</v>
      </c>
      <c r="M34" s="36">
        <f t="shared" si="2"/>
        <v>61.43572621035058</v>
      </c>
      <c r="N34" s="35">
        <f>K34-'[1]Oktobris'!K28</f>
        <v>612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</row>
    <row r="35" spans="1:104" s="28" customFormat="1" ht="12.75">
      <c r="A35" s="34" t="s">
        <v>111</v>
      </c>
      <c r="B35" s="35">
        <v>1076497</v>
      </c>
      <c r="C35" s="35">
        <v>1070497</v>
      </c>
      <c r="D35" s="35">
        <v>229325</v>
      </c>
      <c r="E35" s="21">
        <f t="shared" si="0"/>
        <v>0.21302892623017064</v>
      </c>
      <c r="F35" s="21">
        <f t="shared" si="1"/>
        <v>0.2142229263603728</v>
      </c>
      <c r="G35" s="13">
        <f>D35-'[1]Oktobris'!D29</f>
        <v>189794</v>
      </c>
      <c r="H35" s="34" t="s">
        <v>111</v>
      </c>
      <c r="I35" s="35">
        <f>ROUND(B35/1000,0)+1</f>
        <v>1077</v>
      </c>
      <c r="J35" s="35">
        <f t="shared" si="9"/>
        <v>1070</v>
      </c>
      <c r="K35" s="35">
        <f>ROUND(D35/1000,0)+1</f>
        <v>230</v>
      </c>
      <c r="L35" s="36">
        <f t="shared" si="3"/>
        <v>21.35561745589601</v>
      </c>
      <c r="M35" s="36">
        <f t="shared" si="2"/>
        <v>21.49532710280374</v>
      </c>
      <c r="N35" s="35">
        <f>K35-'[1]Oktobris'!K29</f>
        <v>190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</row>
    <row r="36" spans="1:104" s="26" customFormat="1" ht="12.75">
      <c r="A36" s="31" t="s">
        <v>116</v>
      </c>
      <c r="B36" s="32">
        <f>SUM(B37:B38)</f>
        <v>219000</v>
      </c>
      <c r="C36" s="32">
        <f>SUM(C37:C38)</f>
        <v>165750</v>
      </c>
      <c r="D36" s="32">
        <f>SUM(D37:D38)</f>
        <v>114899</v>
      </c>
      <c r="E36" s="21">
        <f t="shared" si="0"/>
        <v>0.5246529680365297</v>
      </c>
      <c r="F36" s="21">
        <f t="shared" si="1"/>
        <v>0.6932066365007542</v>
      </c>
      <c r="G36" s="13">
        <f>D36-'[1]Oktobris'!D30</f>
        <v>52593</v>
      </c>
      <c r="H36" s="31" t="s">
        <v>116</v>
      </c>
      <c r="I36" s="32">
        <f>SUM(I37:I38)</f>
        <v>219</v>
      </c>
      <c r="J36" s="32">
        <f>SUM(J37:J38)</f>
        <v>166</v>
      </c>
      <c r="K36" s="32">
        <f>SUM(K37:K38)</f>
        <v>115</v>
      </c>
      <c r="L36" s="33">
        <f t="shared" si="3"/>
        <v>52.51141552511416</v>
      </c>
      <c r="M36" s="33">
        <f t="shared" si="2"/>
        <v>69.27710843373494</v>
      </c>
      <c r="N36" s="32">
        <f>K36-'[1]Oktobris'!K30</f>
        <v>53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</row>
    <row r="37" spans="1:104" s="28" customFormat="1" ht="12.75">
      <c r="A37" s="34" t="s">
        <v>110</v>
      </c>
      <c r="B37" s="35">
        <v>39000</v>
      </c>
      <c r="C37" s="35">
        <v>35750</v>
      </c>
      <c r="D37" s="35">
        <v>25266</v>
      </c>
      <c r="E37" s="21">
        <f t="shared" si="0"/>
        <v>0.6478461538461538</v>
      </c>
      <c r="F37" s="21">
        <f t="shared" si="1"/>
        <v>0.7067412587412587</v>
      </c>
      <c r="G37" s="13">
        <f>D37-'[1]Oktobris'!D31</f>
        <v>22960</v>
      </c>
      <c r="H37" s="34" t="s">
        <v>110</v>
      </c>
      <c r="I37" s="35">
        <f aca="true" t="shared" si="10" ref="I37:K38">ROUND(B37/1000,0)</f>
        <v>39</v>
      </c>
      <c r="J37" s="35">
        <f>ROUND(C37/1000,0)</f>
        <v>36</v>
      </c>
      <c r="K37" s="35">
        <f t="shared" si="10"/>
        <v>25</v>
      </c>
      <c r="L37" s="36">
        <f t="shared" si="3"/>
        <v>64.1025641025641</v>
      </c>
      <c r="M37" s="36">
        <f t="shared" si="2"/>
        <v>69.44444444444444</v>
      </c>
      <c r="N37" s="35">
        <f>K37-'[1]Oktobris'!K31</f>
        <v>23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</row>
    <row r="38" spans="1:104" s="28" customFormat="1" ht="12.75">
      <c r="A38" s="34" t="s">
        <v>111</v>
      </c>
      <c r="B38" s="35">
        <v>180000</v>
      </c>
      <c r="C38" s="35">
        <v>130000</v>
      </c>
      <c r="D38" s="35">
        <v>89633</v>
      </c>
      <c r="E38" s="21">
        <f t="shared" si="0"/>
        <v>0.49796111111111113</v>
      </c>
      <c r="F38" s="21">
        <f t="shared" si="1"/>
        <v>0.6894846153846154</v>
      </c>
      <c r="G38" s="13">
        <f>D38-'[1]Oktobris'!D32</f>
        <v>29633</v>
      </c>
      <c r="H38" s="34" t="s">
        <v>111</v>
      </c>
      <c r="I38" s="35">
        <f t="shared" si="10"/>
        <v>180</v>
      </c>
      <c r="J38" s="35">
        <f t="shared" si="10"/>
        <v>130</v>
      </c>
      <c r="K38" s="35">
        <f t="shared" si="10"/>
        <v>90</v>
      </c>
      <c r="L38" s="36">
        <f t="shared" si="3"/>
        <v>50</v>
      </c>
      <c r="M38" s="36">
        <f t="shared" si="2"/>
        <v>69.23076923076923</v>
      </c>
      <c r="N38" s="35">
        <f>K38-'[1]Oktobris'!K32</f>
        <v>30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</row>
    <row r="39" spans="1:104" s="30" customFormat="1" ht="12.75">
      <c r="A39" s="29" t="s">
        <v>120</v>
      </c>
      <c r="B39" s="22">
        <f>B40+B43</f>
        <v>883574</v>
      </c>
      <c r="C39" s="22">
        <f>C40+C43</f>
        <v>883574</v>
      </c>
      <c r="D39" s="22">
        <f>D40+D43</f>
        <v>306426</v>
      </c>
      <c r="E39" s="37">
        <f t="shared" si="0"/>
        <v>0.34680287106682633</v>
      </c>
      <c r="F39" s="37">
        <f t="shared" si="1"/>
        <v>0.34680287106682633</v>
      </c>
      <c r="G39" s="13">
        <f>D39-'[1]Oktobris'!D33</f>
        <v>1248</v>
      </c>
      <c r="H39" s="29" t="s">
        <v>120</v>
      </c>
      <c r="I39" s="22">
        <f>I40+I43</f>
        <v>884</v>
      </c>
      <c r="J39" s="22">
        <f>J40+J43</f>
        <v>884</v>
      </c>
      <c r="K39" s="22">
        <f>K40+K43</f>
        <v>306</v>
      </c>
      <c r="L39" s="23">
        <f t="shared" si="3"/>
        <v>34.61538461538461</v>
      </c>
      <c r="M39" s="23">
        <f t="shared" si="2"/>
        <v>34.61538461538461</v>
      </c>
      <c r="N39" s="22">
        <f>K39-'[1]Oktobris'!K33</f>
        <v>1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</row>
    <row r="40" spans="1:104" s="26" customFormat="1" ht="12.75">
      <c r="A40" s="31" t="s">
        <v>114</v>
      </c>
      <c r="B40" s="32">
        <f>SUM(B41:B42)</f>
        <v>838784</v>
      </c>
      <c r="C40" s="32">
        <f>SUM(C41:C42)</f>
        <v>838784</v>
      </c>
      <c r="D40" s="32">
        <f>SUM(D41:D42)</f>
        <v>262322</v>
      </c>
      <c r="E40" s="21">
        <f t="shared" si="0"/>
        <v>0.3127408248130627</v>
      </c>
      <c r="F40" s="21">
        <f t="shared" si="1"/>
        <v>0.3127408248130627</v>
      </c>
      <c r="G40" s="13">
        <f>D40-'[1]Oktobris'!D34</f>
        <v>0</v>
      </c>
      <c r="H40" s="31" t="s">
        <v>114</v>
      </c>
      <c r="I40" s="32">
        <f>SUM(I41:I42)</f>
        <v>839</v>
      </c>
      <c r="J40" s="32">
        <f>SUM(J41:J42)</f>
        <v>839</v>
      </c>
      <c r="K40" s="32">
        <f>SUM(K41:K42)</f>
        <v>262</v>
      </c>
      <c r="L40" s="33">
        <f t="shared" si="3"/>
        <v>31.227651966626937</v>
      </c>
      <c r="M40" s="33">
        <f t="shared" si="2"/>
        <v>31.227651966626937</v>
      </c>
      <c r="N40" s="32">
        <f>K40-'[1]Oktobris'!K34</f>
        <v>0</v>
      </c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</row>
    <row r="41" spans="1:104" s="28" customFormat="1" ht="12.75">
      <c r="A41" s="34" t="s">
        <v>110</v>
      </c>
      <c r="B41" s="35">
        <v>391784</v>
      </c>
      <c r="C41" s="35">
        <v>391784</v>
      </c>
      <c r="D41" s="35">
        <v>262322</v>
      </c>
      <c r="E41" s="21">
        <f t="shared" si="0"/>
        <v>0.6695577154758745</v>
      </c>
      <c r="F41" s="21">
        <f t="shared" si="1"/>
        <v>0.6695577154758745</v>
      </c>
      <c r="G41" s="13">
        <f>D41-'[1]Oktobris'!D35</f>
        <v>0</v>
      </c>
      <c r="H41" s="34" t="s">
        <v>110</v>
      </c>
      <c r="I41" s="35">
        <f aca="true" t="shared" si="11" ref="I41:K42">ROUND(B41/1000,0)</f>
        <v>392</v>
      </c>
      <c r="J41" s="35">
        <f t="shared" si="11"/>
        <v>392</v>
      </c>
      <c r="K41" s="35">
        <f t="shared" si="11"/>
        <v>262</v>
      </c>
      <c r="L41" s="36">
        <f t="shared" si="3"/>
        <v>66.83673469387756</v>
      </c>
      <c r="M41" s="36">
        <f t="shared" si="2"/>
        <v>66.83673469387756</v>
      </c>
      <c r="N41" s="35">
        <f>K41-'[1]Oktobris'!K35</f>
        <v>0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</row>
    <row r="42" spans="1:104" s="28" customFormat="1" ht="12.75">
      <c r="A42" s="34" t="s">
        <v>111</v>
      </c>
      <c r="B42" s="35">
        <v>447000</v>
      </c>
      <c r="C42" s="35">
        <v>447000</v>
      </c>
      <c r="D42" s="35"/>
      <c r="E42" s="21">
        <f t="shared" si="0"/>
        <v>0</v>
      </c>
      <c r="F42" s="21">
        <f t="shared" si="1"/>
        <v>0</v>
      </c>
      <c r="G42" s="13">
        <f>D42-'[1]Oktobris'!D36</f>
        <v>0</v>
      </c>
      <c r="H42" s="34" t="s">
        <v>111</v>
      </c>
      <c r="I42" s="35">
        <f t="shared" si="11"/>
        <v>447</v>
      </c>
      <c r="J42" s="35">
        <f t="shared" si="11"/>
        <v>447</v>
      </c>
      <c r="K42" s="35">
        <f t="shared" si="11"/>
        <v>0</v>
      </c>
      <c r="L42" s="36">
        <f t="shared" si="3"/>
        <v>0</v>
      </c>
      <c r="M42" s="36">
        <f t="shared" si="2"/>
        <v>0</v>
      </c>
      <c r="N42" s="35">
        <f>K42-'[1]Oktobris'!K36</f>
        <v>0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</row>
    <row r="43" spans="1:104" s="26" customFormat="1" ht="12.75">
      <c r="A43" s="31" t="s">
        <v>116</v>
      </c>
      <c r="B43" s="32">
        <f>SUM(B44:B45)</f>
        <v>44790</v>
      </c>
      <c r="C43" s="32">
        <f>SUM(C44:C45)</f>
        <v>44790</v>
      </c>
      <c r="D43" s="32">
        <f>SUM(D44:D45)</f>
        <v>44104</v>
      </c>
      <c r="E43" s="21">
        <f t="shared" si="0"/>
        <v>0.9846840812681402</v>
      </c>
      <c r="F43" s="21">
        <f t="shared" si="1"/>
        <v>0.9846840812681402</v>
      </c>
      <c r="G43" s="13">
        <f>D43-'[1]Oktobris'!D37</f>
        <v>1248</v>
      </c>
      <c r="H43" s="31" t="s">
        <v>116</v>
      </c>
      <c r="I43" s="32">
        <f>SUM(I44:I45)</f>
        <v>45</v>
      </c>
      <c r="J43" s="32">
        <f>SUM(J44:J45)</f>
        <v>45</v>
      </c>
      <c r="K43" s="32">
        <f>SUM(K44:K45)</f>
        <v>44</v>
      </c>
      <c r="L43" s="33">
        <f t="shared" si="3"/>
        <v>97.77777777777777</v>
      </c>
      <c r="M43" s="33">
        <f t="shared" si="2"/>
        <v>97.77777777777777</v>
      </c>
      <c r="N43" s="32">
        <f>K43-'[1]Oktobris'!K37</f>
        <v>1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</row>
    <row r="44" spans="1:104" s="28" customFormat="1" ht="12.75">
      <c r="A44" s="34" t="s">
        <v>110</v>
      </c>
      <c r="B44" s="35">
        <v>44790</v>
      </c>
      <c r="C44" s="35">
        <v>44790</v>
      </c>
      <c r="D44" s="35">
        <v>44104</v>
      </c>
      <c r="E44" s="21">
        <f t="shared" si="0"/>
        <v>0.9846840812681402</v>
      </c>
      <c r="F44" s="21">
        <f t="shared" si="1"/>
        <v>0.9846840812681402</v>
      </c>
      <c r="G44" s="13">
        <f>D44-'[1]Oktobris'!D38</f>
        <v>1248</v>
      </c>
      <c r="H44" s="34" t="s">
        <v>110</v>
      </c>
      <c r="I44" s="35">
        <f aca="true" t="shared" si="12" ref="I44:K45">ROUND(B44/1000,0)</f>
        <v>45</v>
      </c>
      <c r="J44" s="35">
        <f t="shared" si="12"/>
        <v>45</v>
      </c>
      <c r="K44" s="35">
        <f t="shared" si="12"/>
        <v>44</v>
      </c>
      <c r="L44" s="36">
        <f t="shared" si="3"/>
        <v>97.77777777777777</v>
      </c>
      <c r="M44" s="36">
        <f t="shared" si="2"/>
        <v>97.77777777777777</v>
      </c>
      <c r="N44" s="35">
        <f>K44-'[1]Oktobris'!K38</f>
        <v>1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</row>
    <row r="45" spans="1:104" s="28" customFormat="1" ht="12.75" hidden="1">
      <c r="A45" s="34" t="s">
        <v>111</v>
      </c>
      <c r="B45" s="35"/>
      <c r="C45" s="35"/>
      <c r="D45" s="35"/>
      <c r="E45" s="21" t="str">
        <f t="shared" si="0"/>
        <v> </v>
      </c>
      <c r="F45" s="21" t="str">
        <f t="shared" si="1"/>
        <v> </v>
      </c>
      <c r="G45" s="13">
        <f>D45-'[1]Oktobris'!D39</f>
        <v>0</v>
      </c>
      <c r="H45" s="34" t="s">
        <v>111</v>
      </c>
      <c r="I45" s="35">
        <f t="shared" si="12"/>
        <v>0</v>
      </c>
      <c r="J45" s="35">
        <f t="shared" si="12"/>
        <v>0</v>
      </c>
      <c r="K45" s="35">
        <f t="shared" si="12"/>
        <v>0</v>
      </c>
      <c r="L45" s="36" t="e">
        <f t="shared" si="3"/>
        <v>#VALUE!</v>
      </c>
      <c r="M45" s="36"/>
      <c r="N45" s="35">
        <f>K45-'[1]Oktobris'!K39</f>
        <v>0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</row>
    <row r="46" spans="1:104" s="30" customFormat="1" ht="12.75" customHeight="1">
      <c r="A46" s="38" t="s">
        <v>121</v>
      </c>
      <c r="B46" s="22">
        <f>B47+B50</f>
        <v>3710570</v>
      </c>
      <c r="C46" s="22">
        <f>C47+C50</f>
        <v>3028965</v>
      </c>
      <c r="D46" s="22">
        <f>D47+D50</f>
        <v>1707649</v>
      </c>
      <c r="E46" s="37">
        <f t="shared" si="0"/>
        <v>0.4602120428936794</v>
      </c>
      <c r="F46" s="37">
        <f t="shared" si="1"/>
        <v>0.5637731040140774</v>
      </c>
      <c r="G46" s="13">
        <f>D46-'[1]Oktobris'!D40</f>
        <v>838708</v>
      </c>
      <c r="H46" s="38" t="s">
        <v>121</v>
      </c>
      <c r="I46" s="22">
        <f>I47+I50</f>
        <v>3710</v>
      </c>
      <c r="J46" s="22">
        <f>J47+J50</f>
        <v>3029</v>
      </c>
      <c r="K46" s="22">
        <f>K47+K50</f>
        <v>1707</v>
      </c>
      <c r="L46" s="23">
        <f t="shared" si="3"/>
        <v>46.01078167115903</v>
      </c>
      <c r="M46" s="23">
        <f t="shared" si="2"/>
        <v>56.35523275008254</v>
      </c>
      <c r="N46" s="22">
        <f>K46-'[1]Oktobris'!K40</f>
        <v>838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</row>
    <row r="47" spans="1:104" s="26" customFormat="1" ht="12.75" customHeight="1">
      <c r="A47" s="31" t="s">
        <v>114</v>
      </c>
      <c r="B47" s="32">
        <f>SUM(B48:B49)</f>
        <v>2123168</v>
      </c>
      <c r="C47" s="32">
        <f>SUM(C48:C49)</f>
        <v>1460820</v>
      </c>
      <c r="D47" s="32">
        <f>SUM(D48:D49)</f>
        <v>491494</v>
      </c>
      <c r="E47" s="21">
        <f t="shared" si="0"/>
        <v>0.23149086647877135</v>
      </c>
      <c r="F47" s="21">
        <f t="shared" si="1"/>
        <v>0.33645076053175615</v>
      </c>
      <c r="G47" s="13">
        <f>D47-'[1]Oktobris'!D41</f>
        <v>55150</v>
      </c>
      <c r="H47" s="31" t="s">
        <v>114</v>
      </c>
      <c r="I47" s="32">
        <f>I48+I49</f>
        <v>2123</v>
      </c>
      <c r="J47" s="32">
        <f>J48+J49</f>
        <v>1461</v>
      </c>
      <c r="K47" s="32">
        <f>K48+K49</f>
        <v>491</v>
      </c>
      <c r="L47" s="33">
        <f t="shared" si="3"/>
        <v>23.12764955252002</v>
      </c>
      <c r="M47" s="33">
        <f t="shared" si="2"/>
        <v>33.607118412046546</v>
      </c>
      <c r="N47" s="32">
        <f>K47-'[1]Oktobris'!K41</f>
        <v>55</v>
      </c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</row>
    <row r="48" spans="1:104" s="28" customFormat="1" ht="12.75">
      <c r="A48" s="34" t="s">
        <v>110</v>
      </c>
      <c r="B48" s="35">
        <v>2087205</v>
      </c>
      <c r="C48" s="35">
        <v>1460820</v>
      </c>
      <c r="D48" s="35">
        <v>487680</v>
      </c>
      <c r="E48" s="21">
        <f t="shared" si="0"/>
        <v>0.23365218078722502</v>
      </c>
      <c r="F48" s="21">
        <f t="shared" si="1"/>
        <v>0.3338398981394012</v>
      </c>
      <c r="G48" s="13">
        <f>D48-'[1]Oktobris'!D42</f>
        <v>51336</v>
      </c>
      <c r="H48" s="34" t="s">
        <v>110</v>
      </c>
      <c r="I48" s="35">
        <f aca="true" t="shared" si="13" ref="I48:K49">ROUND(B48/1000,0)</f>
        <v>2087</v>
      </c>
      <c r="J48" s="35">
        <f t="shared" si="13"/>
        <v>1461</v>
      </c>
      <c r="K48" s="35">
        <f>ROUND(D48/1000,0)-1</f>
        <v>487</v>
      </c>
      <c r="L48" s="36">
        <f t="shared" si="3"/>
        <v>23.334930522280786</v>
      </c>
      <c r="M48" s="36">
        <f t="shared" si="2"/>
        <v>33.33333333333333</v>
      </c>
      <c r="N48" s="35">
        <f>K48-'[1]Oktobris'!K42</f>
        <v>51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</row>
    <row r="49" spans="1:104" s="28" customFormat="1" ht="12.75">
      <c r="A49" s="34" t="s">
        <v>111</v>
      </c>
      <c r="B49" s="35">
        <v>35963</v>
      </c>
      <c r="C49" s="35"/>
      <c r="D49" s="35">
        <v>3814</v>
      </c>
      <c r="E49" s="21">
        <f t="shared" si="0"/>
        <v>0.10605344381725662</v>
      </c>
      <c r="F49" s="21" t="str">
        <f t="shared" si="1"/>
        <v> </v>
      </c>
      <c r="G49" s="13">
        <f>D49</f>
        <v>3814</v>
      </c>
      <c r="H49" s="34" t="s">
        <v>111</v>
      </c>
      <c r="I49" s="35">
        <f t="shared" si="13"/>
        <v>36</v>
      </c>
      <c r="J49" s="35">
        <f t="shared" si="13"/>
        <v>0</v>
      </c>
      <c r="K49" s="35">
        <f t="shared" si="13"/>
        <v>4</v>
      </c>
      <c r="L49" s="36">
        <f t="shared" si="3"/>
        <v>11.11111111111111</v>
      </c>
      <c r="M49" s="36"/>
      <c r="N49" s="35">
        <f>K49</f>
        <v>4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</row>
    <row r="50" spans="1:104" s="39" customFormat="1" ht="12.75">
      <c r="A50" s="31" t="s">
        <v>116</v>
      </c>
      <c r="B50" s="32">
        <f>B51</f>
        <v>1587402</v>
      </c>
      <c r="C50" s="32">
        <f>C51</f>
        <v>1568145</v>
      </c>
      <c r="D50" s="32">
        <f>D51</f>
        <v>1216155</v>
      </c>
      <c r="E50" s="21">
        <f t="shared" si="0"/>
        <v>0.7661291846677779</v>
      </c>
      <c r="F50" s="21">
        <f t="shared" si="1"/>
        <v>0.7755373387027348</v>
      </c>
      <c r="G50" s="13">
        <f>D50-'[1]Oktobris'!D43</f>
        <v>783558</v>
      </c>
      <c r="H50" s="31" t="s">
        <v>116</v>
      </c>
      <c r="I50" s="32">
        <f>I51</f>
        <v>1587</v>
      </c>
      <c r="J50" s="32">
        <f>J51</f>
        <v>1568</v>
      </c>
      <c r="K50" s="32">
        <f>K51</f>
        <v>1216</v>
      </c>
      <c r="L50" s="33">
        <f t="shared" si="3"/>
        <v>76.62255828607435</v>
      </c>
      <c r="M50" s="33">
        <f t="shared" si="2"/>
        <v>77.55102040816327</v>
      </c>
      <c r="N50" s="32">
        <f>K50-'[1]Oktobris'!K43</f>
        <v>783</v>
      </c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</row>
    <row r="51" spans="1:104" s="40" customFormat="1" ht="12.75">
      <c r="A51" s="34" t="s">
        <v>110</v>
      </c>
      <c r="B51" s="35">
        <v>1587402</v>
      </c>
      <c r="C51" s="35">
        <v>1568145</v>
      </c>
      <c r="D51" s="35">
        <v>1216155</v>
      </c>
      <c r="E51" s="21">
        <f t="shared" si="0"/>
        <v>0.7661291846677779</v>
      </c>
      <c r="F51" s="21">
        <f t="shared" si="1"/>
        <v>0.7755373387027348</v>
      </c>
      <c r="G51" s="13">
        <f>D51-'[1]Oktobris'!D44</f>
        <v>783558</v>
      </c>
      <c r="H51" s="34" t="s">
        <v>110</v>
      </c>
      <c r="I51" s="35">
        <f>ROUND(B51/1000,0)</f>
        <v>1587</v>
      </c>
      <c r="J51" s="35">
        <f>ROUND(C51/1000,0)</f>
        <v>1568</v>
      </c>
      <c r="K51" s="35">
        <f>ROUND(D51/1000,0)</f>
        <v>1216</v>
      </c>
      <c r="L51" s="36">
        <f t="shared" si="3"/>
        <v>76.62255828607435</v>
      </c>
      <c r="M51" s="36">
        <f t="shared" si="2"/>
        <v>77.55102040816327</v>
      </c>
      <c r="N51" s="35">
        <f>K51-'[1]Oktobris'!K44</f>
        <v>783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</row>
    <row r="52" spans="1:14" s="4" customFormat="1" ht="12.75">
      <c r="A52" s="29" t="s">
        <v>122</v>
      </c>
      <c r="B52" s="41">
        <f>B53+B56</f>
        <v>1529700</v>
      </c>
      <c r="C52" s="41">
        <f>C53+C56</f>
        <v>1509707</v>
      </c>
      <c r="D52" s="41">
        <f>D53+D56</f>
        <v>592460</v>
      </c>
      <c r="E52" s="37">
        <f t="shared" si="0"/>
        <v>0.38730470026802644</v>
      </c>
      <c r="F52" s="37">
        <f t="shared" si="1"/>
        <v>0.39243376363758</v>
      </c>
      <c r="G52" s="13">
        <f>D52-'[1]Oktobris'!D45</f>
        <v>70181</v>
      </c>
      <c r="H52" s="29" t="s">
        <v>122</v>
      </c>
      <c r="I52" s="22">
        <f>I53+I56</f>
        <v>1530</v>
      </c>
      <c r="J52" s="22">
        <f>J53+J56</f>
        <v>1510</v>
      </c>
      <c r="K52" s="22">
        <f>K53+K56</f>
        <v>593</v>
      </c>
      <c r="L52" s="23">
        <f t="shared" si="3"/>
        <v>38.75816993464053</v>
      </c>
      <c r="M52" s="23">
        <f t="shared" si="2"/>
        <v>39.271523178807946</v>
      </c>
      <c r="N52" s="22">
        <f>K52-'[1]Oktobris'!K45</f>
        <v>71</v>
      </c>
    </row>
    <row r="53" spans="1:14" s="25" customFormat="1" ht="12.75">
      <c r="A53" s="31" t="s">
        <v>114</v>
      </c>
      <c r="B53" s="32">
        <f>SUM(B54:B55)</f>
        <v>1352700</v>
      </c>
      <c r="C53" s="32">
        <f>SUM(C54:C55)</f>
        <v>1332707</v>
      </c>
      <c r="D53" s="32">
        <f>SUM(D54:D55)</f>
        <v>456533</v>
      </c>
      <c r="E53" s="21">
        <f t="shared" si="0"/>
        <v>0.337497597397797</v>
      </c>
      <c r="F53" s="21">
        <f t="shared" si="1"/>
        <v>0.3425606678737337</v>
      </c>
      <c r="G53" s="13">
        <f>D53-'[1]Oktobris'!D46</f>
        <v>61444</v>
      </c>
      <c r="H53" s="31" t="s">
        <v>114</v>
      </c>
      <c r="I53" s="32">
        <f>SUM(I54:I55)</f>
        <v>1353</v>
      </c>
      <c r="J53" s="32">
        <f>SUM(J54:J55)</f>
        <v>1333</v>
      </c>
      <c r="K53" s="32">
        <f>SUM(K54:K55)</f>
        <v>457</v>
      </c>
      <c r="L53" s="33">
        <f t="shared" si="3"/>
        <v>33.776792313377676</v>
      </c>
      <c r="M53" s="33">
        <f t="shared" si="2"/>
        <v>34.28357089272318</v>
      </c>
      <c r="N53" s="32">
        <f>K53-'[1]Oktobris'!K46</f>
        <v>62</v>
      </c>
    </row>
    <row r="54" spans="1:14" ht="12.75">
      <c r="A54" s="34" t="s">
        <v>110</v>
      </c>
      <c r="B54" s="35">
        <v>719787</v>
      </c>
      <c r="C54" s="35">
        <v>702707</v>
      </c>
      <c r="D54" s="35">
        <v>456533</v>
      </c>
      <c r="E54" s="21">
        <f t="shared" si="0"/>
        <v>0.6342612467299353</v>
      </c>
      <c r="F54" s="21">
        <f t="shared" si="1"/>
        <v>0.6496776038946531</v>
      </c>
      <c r="G54" s="13">
        <f>D54-'[1]Oktobris'!D47</f>
        <v>61444</v>
      </c>
      <c r="H54" s="34" t="s">
        <v>110</v>
      </c>
      <c r="I54" s="35">
        <f aca="true" t="shared" si="14" ref="I54:K55">ROUND(B54/1000,0)</f>
        <v>720</v>
      </c>
      <c r="J54" s="35">
        <f t="shared" si="14"/>
        <v>703</v>
      </c>
      <c r="K54" s="35">
        <f>ROUND(D54/1000,0)</f>
        <v>457</v>
      </c>
      <c r="L54" s="36">
        <f t="shared" si="3"/>
        <v>63.47222222222222</v>
      </c>
      <c r="M54" s="36">
        <f t="shared" si="2"/>
        <v>65.00711237553342</v>
      </c>
      <c r="N54" s="35">
        <f>K54-'[1]Oktobris'!K47</f>
        <v>62</v>
      </c>
    </row>
    <row r="55" spans="1:14" ht="12.75">
      <c r="A55" s="34" t="s">
        <v>111</v>
      </c>
      <c r="B55" s="35">
        <v>632913</v>
      </c>
      <c r="C55" s="35">
        <v>630000</v>
      </c>
      <c r="D55" s="35"/>
      <c r="E55" s="21">
        <f t="shared" si="0"/>
        <v>0</v>
      </c>
      <c r="F55" s="21">
        <f t="shared" si="1"/>
        <v>0</v>
      </c>
      <c r="G55" s="13">
        <f>D55-'[1]Oktobris'!D48</f>
        <v>0</v>
      </c>
      <c r="H55" s="34" t="s">
        <v>111</v>
      </c>
      <c r="I55" s="35">
        <f t="shared" si="14"/>
        <v>633</v>
      </c>
      <c r="J55" s="35">
        <f>ROUND(C55/1000,0)</f>
        <v>630</v>
      </c>
      <c r="K55" s="35">
        <f t="shared" si="14"/>
        <v>0</v>
      </c>
      <c r="L55" s="36">
        <f t="shared" si="3"/>
        <v>0</v>
      </c>
      <c r="M55" s="36">
        <f t="shared" si="2"/>
        <v>0</v>
      </c>
      <c r="N55" s="35">
        <f>K55-'[1]Oktobris'!K48</f>
        <v>0</v>
      </c>
    </row>
    <row r="56" spans="1:14" s="25" customFormat="1" ht="12.75">
      <c r="A56" s="31" t="s">
        <v>116</v>
      </c>
      <c r="B56" s="32">
        <f>SUM(B57:B58)</f>
        <v>177000</v>
      </c>
      <c r="C56" s="32">
        <f>SUM(C57:C58)</f>
        <v>177000</v>
      </c>
      <c r="D56" s="32">
        <f>SUM(D57:D58)</f>
        <v>135927</v>
      </c>
      <c r="E56" s="21">
        <f t="shared" si="0"/>
        <v>0.7679491525423728</v>
      </c>
      <c r="F56" s="21">
        <f t="shared" si="1"/>
        <v>0.7679491525423728</v>
      </c>
      <c r="G56" s="13">
        <f>D56-'[1]Oktobris'!D49</f>
        <v>8737</v>
      </c>
      <c r="H56" s="31" t="s">
        <v>116</v>
      </c>
      <c r="I56" s="32">
        <f>SUM(I57:I58)</f>
        <v>177</v>
      </c>
      <c r="J56" s="32">
        <f>SUM(J57:J58)</f>
        <v>177</v>
      </c>
      <c r="K56" s="32">
        <f>SUM(K57:K58)</f>
        <v>136</v>
      </c>
      <c r="L56" s="33">
        <f t="shared" si="3"/>
        <v>76.8361581920904</v>
      </c>
      <c r="M56" s="33">
        <f t="shared" si="2"/>
        <v>76.8361581920904</v>
      </c>
      <c r="N56" s="32">
        <f>K56-'[1]Oktobris'!K49</f>
        <v>9</v>
      </c>
    </row>
    <row r="57" spans="1:14" ht="12.75">
      <c r="A57" s="34" t="s">
        <v>110</v>
      </c>
      <c r="B57" s="35">
        <v>73000</v>
      </c>
      <c r="C57" s="35">
        <v>73000</v>
      </c>
      <c r="D57" s="35">
        <v>38731</v>
      </c>
      <c r="E57" s="21">
        <f t="shared" si="0"/>
        <v>0.5305616438356164</v>
      </c>
      <c r="F57" s="21">
        <f t="shared" si="1"/>
        <v>0.5305616438356164</v>
      </c>
      <c r="G57" s="13">
        <f>D57-'[1]Oktobris'!D50</f>
        <v>8737</v>
      </c>
      <c r="H57" s="34" t="s">
        <v>110</v>
      </c>
      <c r="I57" s="35">
        <f aca="true" t="shared" si="15" ref="I57:K58">ROUND(B57/1000,0)</f>
        <v>73</v>
      </c>
      <c r="J57" s="35">
        <f t="shared" si="15"/>
        <v>73</v>
      </c>
      <c r="K57" s="35">
        <f t="shared" si="15"/>
        <v>39</v>
      </c>
      <c r="L57" s="36">
        <f t="shared" si="3"/>
        <v>53.42465753424658</v>
      </c>
      <c r="M57" s="36">
        <f t="shared" si="2"/>
        <v>53.42465753424658</v>
      </c>
      <c r="N57" s="35">
        <f>K57-'[1]Oktobris'!K50</f>
        <v>9</v>
      </c>
    </row>
    <row r="58" spans="1:14" ht="12.75">
      <c r="A58" s="34" t="s">
        <v>111</v>
      </c>
      <c r="B58" s="35">
        <v>104000</v>
      </c>
      <c r="C58" s="35">
        <v>104000</v>
      </c>
      <c r="D58" s="35">
        <v>97196</v>
      </c>
      <c r="E58" s="21">
        <f t="shared" si="0"/>
        <v>0.9345769230769231</v>
      </c>
      <c r="F58" s="21">
        <f t="shared" si="1"/>
        <v>0.9345769230769231</v>
      </c>
      <c r="G58" s="13">
        <f>D58-'[1]Oktobris'!D51</f>
        <v>0</v>
      </c>
      <c r="H58" s="34" t="s">
        <v>111</v>
      </c>
      <c r="I58" s="35">
        <f t="shared" si="15"/>
        <v>104</v>
      </c>
      <c r="J58" s="35">
        <f t="shared" si="15"/>
        <v>104</v>
      </c>
      <c r="K58" s="35">
        <f t="shared" si="15"/>
        <v>97</v>
      </c>
      <c r="L58" s="36">
        <f t="shared" si="3"/>
        <v>93.26923076923077</v>
      </c>
      <c r="M58" s="36">
        <f t="shared" si="2"/>
        <v>93.26923076923077</v>
      </c>
      <c r="N58" s="35">
        <f>K58-'[1]Oktobris'!K51</f>
        <v>0</v>
      </c>
    </row>
    <row r="59" spans="1:14" s="4" customFormat="1" ht="12.75" customHeight="1">
      <c r="A59" s="29" t="s">
        <v>123</v>
      </c>
      <c r="B59" s="41">
        <f>B60+B63</f>
        <v>5059039</v>
      </c>
      <c r="C59" s="41">
        <f>C60+C63</f>
        <v>2129403</v>
      </c>
      <c r="D59" s="41">
        <f>D60+D63</f>
        <v>1583760</v>
      </c>
      <c r="E59" s="37">
        <f t="shared" si="0"/>
        <v>0.3130555032289729</v>
      </c>
      <c r="F59" s="37">
        <f t="shared" si="1"/>
        <v>0.7437577574559631</v>
      </c>
      <c r="G59" s="13">
        <f>D59-'[1]Oktobris'!D52</f>
        <v>648408</v>
      </c>
      <c r="H59" s="29" t="s">
        <v>123</v>
      </c>
      <c r="I59" s="22">
        <f>I60+I63</f>
        <v>5059</v>
      </c>
      <c r="J59" s="22">
        <f>J60+J63</f>
        <v>2129</v>
      </c>
      <c r="K59" s="22">
        <f>K60+K63</f>
        <v>1584</v>
      </c>
      <c r="L59" s="23">
        <f t="shared" si="3"/>
        <v>31.310535678987943</v>
      </c>
      <c r="M59" s="23">
        <f t="shared" si="2"/>
        <v>74.40112728980742</v>
      </c>
      <c r="N59" s="22">
        <f>K59-'[1]Oktobris'!K52</f>
        <v>648</v>
      </c>
    </row>
    <row r="60" spans="1:14" s="25" customFormat="1" ht="12.75" customHeight="1">
      <c r="A60" s="31" t="s">
        <v>114</v>
      </c>
      <c r="B60" s="32">
        <f>SUM(B61:B62)</f>
        <v>4059039</v>
      </c>
      <c r="C60" s="32">
        <f>SUM(C61:C62)</f>
        <v>1129403</v>
      </c>
      <c r="D60" s="32">
        <f>SUM(D61:D62)</f>
        <v>1018883</v>
      </c>
      <c r="E60" s="21">
        <f t="shared" si="0"/>
        <v>0.25101581926165284</v>
      </c>
      <c r="F60" s="21">
        <f t="shared" si="1"/>
        <v>0.9021429905888332</v>
      </c>
      <c r="G60" s="13">
        <f>D60-'[1]Oktobris'!D53</f>
        <v>597290</v>
      </c>
      <c r="H60" s="31" t="s">
        <v>114</v>
      </c>
      <c r="I60" s="32">
        <f>I61+I62</f>
        <v>4059</v>
      </c>
      <c r="J60" s="32">
        <f>J61+J62</f>
        <v>1129</v>
      </c>
      <c r="K60" s="32">
        <f>K61+K62</f>
        <v>1019</v>
      </c>
      <c r="L60" s="33">
        <f t="shared" si="3"/>
        <v>25.104705592510467</v>
      </c>
      <c r="M60" s="33">
        <f t="shared" si="2"/>
        <v>90.25686448184234</v>
      </c>
      <c r="N60" s="32">
        <f>K60-'[1]Oktobris'!K53</f>
        <v>597</v>
      </c>
    </row>
    <row r="61" spans="1:14" ht="12.75">
      <c r="A61" s="34" t="s">
        <v>110</v>
      </c>
      <c r="B61" s="35">
        <v>602466</v>
      </c>
      <c r="C61" s="35">
        <v>334178</v>
      </c>
      <c r="D61" s="35">
        <v>283328</v>
      </c>
      <c r="E61" s="21">
        <f t="shared" si="0"/>
        <v>0.47028048055823896</v>
      </c>
      <c r="F61" s="21">
        <f t="shared" si="1"/>
        <v>0.8478355846285512</v>
      </c>
      <c r="G61" s="13">
        <f>D61</f>
        <v>283328</v>
      </c>
      <c r="H61" s="34" t="s">
        <v>110</v>
      </c>
      <c r="I61" s="35">
        <f aca="true" t="shared" si="16" ref="I61:K62">ROUND(B61/1000,0)</f>
        <v>602</v>
      </c>
      <c r="J61" s="35">
        <f t="shared" si="16"/>
        <v>334</v>
      </c>
      <c r="K61" s="35">
        <f t="shared" si="16"/>
        <v>283</v>
      </c>
      <c r="L61" s="33">
        <f t="shared" si="3"/>
        <v>47.00996677740864</v>
      </c>
      <c r="M61" s="33">
        <f t="shared" si="2"/>
        <v>84.73053892215569</v>
      </c>
      <c r="N61" s="35">
        <f>K61</f>
        <v>283</v>
      </c>
    </row>
    <row r="62" spans="1:14" ht="12.75">
      <c r="A62" s="34" t="s">
        <v>111</v>
      </c>
      <c r="B62" s="35">
        <v>3456573</v>
      </c>
      <c r="C62" s="35">
        <v>795225</v>
      </c>
      <c r="D62" s="35">
        <v>735555</v>
      </c>
      <c r="E62" s="21">
        <f t="shared" si="0"/>
        <v>0.21279891962356937</v>
      </c>
      <c r="F62" s="21">
        <f t="shared" si="1"/>
        <v>0.9249646326511365</v>
      </c>
      <c r="G62" s="13">
        <f>D62-'[1]Oktobris'!D54</f>
        <v>313962</v>
      </c>
      <c r="H62" s="34" t="s">
        <v>111</v>
      </c>
      <c r="I62" s="35">
        <f t="shared" si="16"/>
        <v>3457</v>
      </c>
      <c r="J62" s="35">
        <f t="shared" si="16"/>
        <v>795</v>
      </c>
      <c r="K62" s="35">
        <f t="shared" si="16"/>
        <v>736</v>
      </c>
      <c r="L62" s="36">
        <f t="shared" si="3"/>
        <v>21.290135956031243</v>
      </c>
      <c r="M62" s="36">
        <f t="shared" si="2"/>
        <v>92.57861635220127</v>
      </c>
      <c r="N62" s="35">
        <f>K62-'[1]Oktobris'!K54</f>
        <v>314</v>
      </c>
    </row>
    <row r="63" spans="1:14" s="25" customFormat="1" ht="12.75">
      <c r="A63" s="31" t="s">
        <v>116</v>
      </c>
      <c r="B63" s="32">
        <f>B64</f>
        <v>1000000</v>
      </c>
      <c r="C63" s="32">
        <f>C64</f>
        <v>1000000</v>
      </c>
      <c r="D63" s="32">
        <f>D64</f>
        <v>564877</v>
      </c>
      <c r="E63" s="21">
        <f t="shared" si="0"/>
        <v>0.564877</v>
      </c>
      <c r="F63" s="21">
        <f t="shared" si="1"/>
        <v>0.564877</v>
      </c>
      <c r="G63" s="13">
        <f>D63-'[1]Oktobris'!D55</f>
        <v>51118</v>
      </c>
      <c r="H63" s="31" t="s">
        <v>116</v>
      </c>
      <c r="I63" s="32">
        <f>I64</f>
        <v>1000</v>
      </c>
      <c r="J63" s="32">
        <f>J64</f>
        <v>1000</v>
      </c>
      <c r="K63" s="32">
        <f>K64</f>
        <v>565</v>
      </c>
      <c r="L63" s="33">
        <f t="shared" si="3"/>
        <v>56.49999999999999</v>
      </c>
      <c r="M63" s="33">
        <f t="shared" si="2"/>
        <v>56.49999999999999</v>
      </c>
      <c r="N63" s="32">
        <f>K63-'[1]Oktobris'!K55</f>
        <v>51</v>
      </c>
    </row>
    <row r="64" spans="1:14" ht="12.75">
      <c r="A64" s="34" t="s">
        <v>111</v>
      </c>
      <c r="B64" s="35">
        <v>1000000</v>
      </c>
      <c r="C64" s="35">
        <v>1000000</v>
      </c>
      <c r="D64" s="35">
        <v>564877</v>
      </c>
      <c r="E64" s="21">
        <f t="shared" si="0"/>
        <v>0.564877</v>
      </c>
      <c r="F64" s="21">
        <f t="shared" si="1"/>
        <v>0.564877</v>
      </c>
      <c r="G64" s="13">
        <f>D64-'[1]Oktobris'!D56</f>
        <v>51118</v>
      </c>
      <c r="H64" s="34" t="s">
        <v>111</v>
      </c>
      <c r="I64" s="35">
        <f>ROUND(B64/1000,0)</f>
        <v>1000</v>
      </c>
      <c r="J64" s="35">
        <f>ROUND(C64/1000,0)</f>
        <v>1000</v>
      </c>
      <c r="K64" s="35">
        <f>ROUND(D64/1000,0)</f>
        <v>565</v>
      </c>
      <c r="L64" s="36">
        <f t="shared" si="3"/>
        <v>56.49999999999999</v>
      </c>
      <c r="M64" s="36">
        <f t="shared" si="2"/>
        <v>56.49999999999999</v>
      </c>
      <c r="N64" s="35">
        <f>K64-'[1]Oktobris'!K56</f>
        <v>51</v>
      </c>
    </row>
    <row r="65" spans="1:14" s="4" customFormat="1" ht="12.75">
      <c r="A65" s="29" t="s">
        <v>124</v>
      </c>
      <c r="B65" s="41">
        <f>B66+B69</f>
        <v>446390</v>
      </c>
      <c r="C65" s="41">
        <f>C66+C69</f>
        <v>1674067</v>
      </c>
      <c r="D65" s="41">
        <f>D66+D69</f>
        <v>187039</v>
      </c>
      <c r="E65" s="37">
        <f t="shared" si="0"/>
        <v>0.41900356190774884</v>
      </c>
      <c r="F65" s="37">
        <f t="shared" si="1"/>
        <v>0.11172730840521915</v>
      </c>
      <c r="G65" s="13">
        <f>D65-'[1]Oktobris'!D57</f>
        <v>22161</v>
      </c>
      <c r="H65" s="29" t="s">
        <v>124</v>
      </c>
      <c r="I65" s="22">
        <f>I66+I69</f>
        <v>446</v>
      </c>
      <c r="J65" s="22">
        <f>J66+J69</f>
        <v>1674</v>
      </c>
      <c r="K65" s="22">
        <f>K66+K69</f>
        <v>187</v>
      </c>
      <c r="L65" s="23">
        <f t="shared" si="3"/>
        <v>41.92825112107623</v>
      </c>
      <c r="M65" s="23">
        <f t="shared" si="2"/>
        <v>11.170848267622462</v>
      </c>
      <c r="N65" s="22">
        <f>K65-'[1]Oktobris'!K57</f>
        <v>22</v>
      </c>
    </row>
    <row r="66" spans="1:14" s="25" customFormat="1" ht="12.75">
      <c r="A66" s="31" t="s">
        <v>114</v>
      </c>
      <c r="B66" s="32">
        <f>SUM(B67:B68)</f>
        <v>164250</v>
      </c>
      <c r="C66" s="32">
        <f>SUM(C67:C68)</f>
        <v>1404817</v>
      </c>
      <c r="D66" s="32">
        <f>SUM(D67:D68)</f>
        <v>0</v>
      </c>
      <c r="E66" s="21">
        <f t="shared" si="0"/>
        <v>0</v>
      </c>
      <c r="F66" s="21">
        <f t="shared" si="1"/>
        <v>0</v>
      </c>
      <c r="G66" s="13">
        <f>D66-'[1]Oktobris'!D58</f>
        <v>0</v>
      </c>
      <c r="H66" s="31" t="s">
        <v>114</v>
      </c>
      <c r="I66" s="32">
        <f>SUM(I67:I68)</f>
        <v>164</v>
      </c>
      <c r="J66" s="32">
        <f>SUM(J67:J68)</f>
        <v>1405</v>
      </c>
      <c r="K66" s="32">
        <f>SUM(K67:K68)</f>
        <v>0</v>
      </c>
      <c r="L66" s="33">
        <f t="shared" si="3"/>
        <v>0</v>
      </c>
      <c r="M66" s="33">
        <f t="shared" si="2"/>
        <v>0</v>
      </c>
      <c r="N66" s="32">
        <f>K66-'[1]Oktobris'!K58</f>
        <v>0</v>
      </c>
    </row>
    <row r="67" spans="1:14" ht="12.75">
      <c r="A67" s="34" t="s">
        <v>110</v>
      </c>
      <c r="B67" s="35">
        <v>36750</v>
      </c>
      <c r="C67" s="35">
        <v>997770</v>
      </c>
      <c r="D67" s="35"/>
      <c r="E67" s="21">
        <f t="shared" si="0"/>
        <v>0</v>
      </c>
      <c r="F67" s="21">
        <f t="shared" si="1"/>
        <v>0</v>
      </c>
      <c r="G67" s="13">
        <f>D67-'[1]Oktobris'!D59</f>
        <v>0</v>
      </c>
      <c r="H67" s="34" t="s">
        <v>110</v>
      </c>
      <c r="I67" s="35">
        <f aca="true" t="shared" si="17" ref="I67:K68">ROUND(B67/1000,0)</f>
        <v>37</v>
      </c>
      <c r="J67" s="35">
        <f t="shared" si="17"/>
        <v>998</v>
      </c>
      <c r="K67" s="35">
        <f t="shared" si="17"/>
        <v>0</v>
      </c>
      <c r="L67" s="36">
        <f t="shared" si="3"/>
        <v>0</v>
      </c>
      <c r="M67" s="36">
        <f t="shared" si="2"/>
        <v>0</v>
      </c>
      <c r="N67" s="35">
        <f>K67-'[1]Oktobris'!K59</f>
        <v>0</v>
      </c>
    </row>
    <row r="68" spans="1:14" ht="12.75">
      <c r="A68" s="34" t="s">
        <v>111</v>
      </c>
      <c r="B68" s="35">
        <v>127500</v>
      </c>
      <c r="C68" s="35">
        <v>407047</v>
      </c>
      <c r="D68" s="35"/>
      <c r="E68" s="21">
        <f t="shared" si="0"/>
        <v>0</v>
      </c>
      <c r="F68" s="21">
        <f t="shared" si="1"/>
        <v>0</v>
      </c>
      <c r="G68" s="13">
        <f>D68-'[1]Oktobris'!D60</f>
        <v>0</v>
      </c>
      <c r="H68" s="34" t="s">
        <v>111</v>
      </c>
      <c r="I68" s="35">
        <f>ROUND(B68/1000,0)-1</f>
        <v>127</v>
      </c>
      <c r="J68" s="35">
        <f>ROUND(C68/1000,0)</f>
        <v>407</v>
      </c>
      <c r="K68" s="35">
        <f t="shared" si="17"/>
        <v>0</v>
      </c>
      <c r="L68" s="36">
        <f t="shared" si="3"/>
        <v>0</v>
      </c>
      <c r="M68" s="36">
        <f t="shared" si="2"/>
        <v>0</v>
      </c>
      <c r="N68" s="35">
        <f>K68-'[1]Oktobris'!K60</f>
        <v>0</v>
      </c>
    </row>
    <row r="69" spans="1:14" s="25" customFormat="1" ht="12.75">
      <c r="A69" s="31" t="s">
        <v>116</v>
      </c>
      <c r="B69" s="32">
        <f>SUM(B70:B71)</f>
        <v>282140</v>
      </c>
      <c r="C69" s="32">
        <f>SUM(C70:C71)</f>
        <v>269250</v>
      </c>
      <c r="D69" s="32">
        <f>SUM(D70:D71)</f>
        <v>187039</v>
      </c>
      <c r="E69" s="21">
        <f t="shared" si="0"/>
        <v>0.6629297511873538</v>
      </c>
      <c r="F69" s="21">
        <f t="shared" si="1"/>
        <v>0.6946666666666667</v>
      </c>
      <c r="G69" s="13">
        <f>D69-'[1]Oktobris'!D61</f>
        <v>22161</v>
      </c>
      <c r="H69" s="31" t="s">
        <v>116</v>
      </c>
      <c r="I69" s="32">
        <f>SUM(I70:I71)</f>
        <v>282</v>
      </c>
      <c r="J69" s="32">
        <f>SUM(J70:J71)</f>
        <v>269</v>
      </c>
      <c r="K69" s="32">
        <f>SUM(K70:K71)</f>
        <v>187</v>
      </c>
      <c r="L69" s="33">
        <f t="shared" si="3"/>
        <v>66.31205673758865</v>
      </c>
      <c r="M69" s="33">
        <f t="shared" si="2"/>
        <v>69.51672862453532</v>
      </c>
      <c r="N69" s="32">
        <f>K69-'[1]Oktobris'!K61</f>
        <v>22</v>
      </c>
    </row>
    <row r="70" spans="1:14" ht="12.75">
      <c r="A70" s="34" t="s">
        <v>110</v>
      </c>
      <c r="B70" s="35">
        <v>176470</v>
      </c>
      <c r="C70" s="35">
        <v>168120</v>
      </c>
      <c r="D70" s="35">
        <v>152760</v>
      </c>
      <c r="E70" s="21">
        <f t="shared" si="0"/>
        <v>0.8656428854762849</v>
      </c>
      <c r="F70" s="21">
        <f t="shared" si="1"/>
        <v>0.9086366880799429</v>
      </c>
      <c r="G70" s="13">
        <f>D70-'[1]Oktobris'!D62</f>
        <v>22161</v>
      </c>
      <c r="H70" s="34" t="s">
        <v>110</v>
      </c>
      <c r="I70" s="35">
        <f aca="true" t="shared" si="18" ref="I70:K71">ROUND(B70/1000,0)</f>
        <v>176</v>
      </c>
      <c r="J70" s="35">
        <f t="shared" si="18"/>
        <v>168</v>
      </c>
      <c r="K70" s="35">
        <f t="shared" si="18"/>
        <v>153</v>
      </c>
      <c r="L70" s="36">
        <f t="shared" si="3"/>
        <v>86.93181818181817</v>
      </c>
      <c r="M70" s="36">
        <f t="shared" si="2"/>
        <v>91.07142857142857</v>
      </c>
      <c r="N70" s="35">
        <f>K70-'[1]Oktobris'!K62</f>
        <v>22</v>
      </c>
    </row>
    <row r="71" spans="1:14" ht="12.75">
      <c r="A71" s="34" t="s">
        <v>111</v>
      </c>
      <c r="B71" s="35">
        <v>105670</v>
      </c>
      <c r="C71" s="35">
        <v>101130</v>
      </c>
      <c r="D71" s="35">
        <v>34279</v>
      </c>
      <c r="E71" s="21">
        <f t="shared" si="0"/>
        <v>0.32439670672849436</v>
      </c>
      <c r="F71" s="21">
        <f t="shared" si="1"/>
        <v>0.3389597547710867</v>
      </c>
      <c r="G71" s="13">
        <f>D71-'[1]Oktobris'!D63</f>
        <v>0</v>
      </c>
      <c r="H71" s="34" t="s">
        <v>111</v>
      </c>
      <c r="I71" s="35">
        <f t="shared" si="18"/>
        <v>106</v>
      </c>
      <c r="J71" s="35">
        <f>ROUND(C71/1000,0)</f>
        <v>101</v>
      </c>
      <c r="K71" s="35">
        <f t="shared" si="18"/>
        <v>34</v>
      </c>
      <c r="L71" s="36">
        <f t="shared" si="3"/>
        <v>32.075471698113205</v>
      </c>
      <c r="M71" s="36">
        <f t="shared" si="2"/>
        <v>33.663366336633665</v>
      </c>
      <c r="N71" s="35">
        <f>K71-'[1]Oktobris'!K63</f>
        <v>0</v>
      </c>
    </row>
    <row r="72" spans="1:14" s="4" customFormat="1" ht="12.75">
      <c r="A72" s="29" t="s">
        <v>125</v>
      </c>
      <c r="B72" s="41">
        <f>B73+B76</f>
        <v>1588101</v>
      </c>
      <c r="C72" s="41">
        <f>C73+C76</f>
        <v>1043331</v>
      </c>
      <c r="D72" s="41">
        <f>D73+D76</f>
        <v>408303</v>
      </c>
      <c r="E72" s="37">
        <f aca="true" t="shared" si="19" ref="E72:E105">IF(ISERROR(D72/B72)," ",(D72/B72))</f>
        <v>0.2571014060188867</v>
      </c>
      <c r="F72" s="37">
        <f t="shared" si="1"/>
        <v>0.3913456036483149</v>
      </c>
      <c r="G72" s="13">
        <f>D72-'[1]Oktobris'!D64</f>
        <v>56497</v>
      </c>
      <c r="H72" s="29" t="s">
        <v>125</v>
      </c>
      <c r="I72" s="22">
        <f>I73+I76</f>
        <v>1588</v>
      </c>
      <c r="J72" s="22">
        <f>J73+J76</f>
        <v>1043</v>
      </c>
      <c r="K72" s="22">
        <f>K73+K76</f>
        <v>409</v>
      </c>
      <c r="L72" s="23">
        <f t="shared" si="3"/>
        <v>25.75566750629723</v>
      </c>
      <c r="M72" s="23">
        <f t="shared" si="2"/>
        <v>39.213806327900286</v>
      </c>
      <c r="N72" s="22">
        <f>K72-'[1]Oktobris'!K64</f>
        <v>57</v>
      </c>
    </row>
    <row r="73" spans="1:14" s="25" customFormat="1" ht="12.75">
      <c r="A73" s="31" t="s">
        <v>114</v>
      </c>
      <c r="B73" s="32">
        <f>SUM(B74:B75)</f>
        <v>1207401</v>
      </c>
      <c r="C73" s="32">
        <f>SUM(C74:C75)</f>
        <v>690058</v>
      </c>
      <c r="D73" s="32">
        <f>SUM(D74:D75)</f>
        <v>87505</v>
      </c>
      <c r="E73" s="21">
        <f t="shared" si="19"/>
        <v>0.0724738508581656</v>
      </c>
      <c r="F73" s="21">
        <f t="shared" si="1"/>
        <v>0.12680818134127855</v>
      </c>
      <c r="G73" s="13">
        <f>D73-'[1]Oktobris'!D65</f>
        <v>26510</v>
      </c>
      <c r="H73" s="31" t="s">
        <v>114</v>
      </c>
      <c r="I73" s="32">
        <f>SUM(I74:I75)</f>
        <v>1207</v>
      </c>
      <c r="J73" s="32">
        <f>SUM(J74:J75)</f>
        <v>690</v>
      </c>
      <c r="K73" s="32">
        <f>SUM(K74:K75)</f>
        <v>88</v>
      </c>
      <c r="L73" s="33">
        <f t="shared" si="3"/>
        <v>7.290803645401822</v>
      </c>
      <c r="M73" s="33">
        <f t="shared" si="2"/>
        <v>12.753623188405797</v>
      </c>
      <c r="N73" s="32">
        <f>K73-'[1]Oktobris'!K65</f>
        <v>27</v>
      </c>
    </row>
    <row r="74" spans="1:14" ht="12.75">
      <c r="A74" s="34" t="s">
        <v>110</v>
      </c>
      <c r="B74" s="35">
        <v>743343</v>
      </c>
      <c r="C74" s="35">
        <v>169000</v>
      </c>
      <c r="D74" s="35">
        <v>60995</v>
      </c>
      <c r="E74" s="21">
        <f t="shared" si="19"/>
        <v>0.08205498672887214</v>
      </c>
      <c r="F74" s="21">
        <f t="shared" si="1"/>
        <v>0.3609171597633136</v>
      </c>
      <c r="G74" s="13">
        <f>D74-'[1]Oktobris'!D66</f>
        <v>0</v>
      </c>
      <c r="H74" s="34" t="s">
        <v>110</v>
      </c>
      <c r="I74" s="35">
        <f aca="true" t="shared" si="20" ref="I74:K75">ROUND(B74/1000,0)</f>
        <v>743</v>
      </c>
      <c r="J74" s="35">
        <f>ROUND(C74/1000,0)</f>
        <v>169</v>
      </c>
      <c r="K74" s="35">
        <f t="shared" si="20"/>
        <v>61</v>
      </c>
      <c r="L74" s="36">
        <f aca="true" t="shared" si="21" ref="L74:L105">IF(ISERROR(ROUND(K74,0)/ROUND(I74,0))," ",(ROUND(K74,)/ROUND(I74,)))*100</f>
        <v>8.209959623149395</v>
      </c>
      <c r="M74" s="36">
        <f t="shared" si="2"/>
        <v>36.09467455621302</v>
      </c>
      <c r="N74" s="35">
        <f>K74-'[1]Oktobris'!K66</f>
        <v>0</v>
      </c>
    </row>
    <row r="75" spans="1:14" ht="12.75">
      <c r="A75" s="34" t="s">
        <v>111</v>
      </c>
      <c r="B75" s="35">
        <v>464058</v>
      </c>
      <c r="C75" s="35">
        <v>521058</v>
      </c>
      <c r="D75" s="35">
        <v>26510</v>
      </c>
      <c r="E75" s="21">
        <f t="shared" si="19"/>
        <v>0.05712647987967021</v>
      </c>
      <c r="F75" s="21">
        <f t="shared" si="1"/>
        <v>0.05087725358789233</v>
      </c>
      <c r="G75" s="13">
        <f>D75-'[1]Oktobris'!D67</f>
        <v>26510</v>
      </c>
      <c r="H75" s="34" t="s">
        <v>111</v>
      </c>
      <c r="I75" s="35">
        <f t="shared" si="20"/>
        <v>464</v>
      </c>
      <c r="J75" s="35">
        <f t="shared" si="20"/>
        <v>521</v>
      </c>
      <c r="K75" s="35">
        <f t="shared" si="20"/>
        <v>27</v>
      </c>
      <c r="L75" s="36">
        <f t="shared" si="21"/>
        <v>5.818965517241379</v>
      </c>
      <c r="M75" s="36">
        <f t="shared" si="2"/>
        <v>5.182341650671785</v>
      </c>
      <c r="N75" s="35">
        <f>K75-'[1]Oktobris'!K67</f>
        <v>27</v>
      </c>
    </row>
    <row r="76" spans="1:14" s="25" customFormat="1" ht="12.75">
      <c r="A76" s="31" t="s">
        <v>116</v>
      </c>
      <c r="B76" s="32">
        <f>SUM(B77:B78)</f>
        <v>380700</v>
      </c>
      <c r="C76" s="32">
        <f>SUM(C77:C78)</f>
        <v>353273</v>
      </c>
      <c r="D76" s="32">
        <f>SUM(D77:D78)</f>
        <v>320798</v>
      </c>
      <c r="E76" s="21">
        <f t="shared" si="19"/>
        <v>0.8426530076175466</v>
      </c>
      <c r="F76" s="21">
        <f t="shared" si="1"/>
        <v>0.9080739258307314</v>
      </c>
      <c r="G76" s="13">
        <f>D76-'[1]Oktobris'!D68</f>
        <v>29987</v>
      </c>
      <c r="H76" s="31" t="s">
        <v>116</v>
      </c>
      <c r="I76" s="32">
        <f>SUM(I77:I78)</f>
        <v>381</v>
      </c>
      <c r="J76" s="32">
        <f>SUM(J77:J78)</f>
        <v>353</v>
      </c>
      <c r="K76" s="32">
        <f>SUM(K77:K78)</f>
        <v>321</v>
      </c>
      <c r="L76" s="33">
        <f t="shared" si="21"/>
        <v>84.25196850393701</v>
      </c>
      <c r="M76" s="33">
        <f t="shared" si="2"/>
        <v>90.93484419263456</v>
      </c>
      <c r="N76" s="32">
        <f>K76-'[1]Oktobris'!K68</f>
        <v>30</v>
      </c>
    </row>
    <row r="77" spans="1:14" ht="12.75">
      <c r="A77" s="34" t="s">
        <v>110</v>
      </c>
      <c r="B77" s="35">
        <v>30700</v>
      </c>
      <c r="C77" s="35">
        <v>28273</v>
      </c>
      <c r="D77" s="35">
        <v>28273</v>
      </c>
      <c r="E77" s="21">
        <f t="shared" si="19"/>
        <v>0.9209446254071662</v>
      </c>
      <c r="F77" s="21">
        <f t="shared" si="1"/>
        <v>1</v>
      </c>
      <c r="G77" s="13">
        <f>D77-'[1]Oktobris'!D69</f>
        <v>2445</v>
      </c>
      <c r="H77" s="34" t="s">
        <v>110</v>
      </c>
      <c r="I77" s="35">
        <f aca="true" t="shared" si="22" ref="I77:K78">ROUND(B77/1000,0)</f>
        <v>31</v>
      </c>
      <c r="J77" s="35">
        <f t="shared" si="22"/>
        <v>28</v>
      </c>
      <c r="K77" s="35">
        <f t="shared" si="22"/>
        <v>28</v>
      </c>
      <c r="L77" s="36">
        <f t="shared" si="21"/>
        <v>90.32258064516128</v>
      </c>
      <c r="M77" s="36">
        <f t="shared" si="2"/>
        <v>100</v>
      </c>
      <c r="N77" s="35">
        <f>K77-'[1]Oktobris'!K69</f>
        <v>2</v>
      </c>
    </row>
    <row r="78" spans="1:14" ht="12.75">
      <c r="A78" s="34" t="s">
        <v>111</v>
      </c>
      <c r="B78" s="35">
        <v>350000</v>
      </c>
      <c r="C78" s="35">
        <v>325000</v>
      </c>
      <c r="D78" s="35">
        <v>292525</v>
      </c>
      <c r="E78" s="21">
        <f t="shared" si="19"/>
        <v>0.8357857142857142</v>
      </c>
      <c r="F78" s="21">
        <f t="shared" si="1"/>
        <v>0.9000769230769231</v>
      </c>
      <c r="G78" s="13">
        <f>D78-'[1]Oktobris'!D70</f>
        <v>27542</v>
      </c>
      <c r="H78" s="34" t="s">
        <v>111</v>
      </c>
      <c r="I78" s="35">
        <f t="shared" si="22"/>
        <v>350</v>
      </c>
      <c r="J78" s="35">
        <f t="shared" si="22"/>
        <v>325</v>
      </c>
      <c r="K78" s="35">
        <f t="shared" si="22"/>
        <v>293</v>
      </c>
      <c r="L78" s="36">
        <f t="shared" si="21"/>
        <v>83.71428571428572</v>
      </c>
      <c r="M78" s="36">
        <f t="shared" si="2"/>
        <v>90.15384615384615</v>
      </c>
      <c r="N78" s="35">
        <f>K78-'[1]Oktobris'!K70</f>
        <v>28</v>
      </c>
    </row>
    <row r="79" spans="1:14" s="4" customFormat="1" ht="24">
      <c r="A79" s="38" t="s">
        <v>126</v>
      </c>
      <c r="B79" s="41">
        <f>B80+B83</f>
        <v>6643000</v>
      </c>
      <c r="C79" s="41">
        <f>C80+C83</f>
        <v>6643000</v>
      </c>
      <c r="D79" s="41">
        <f>D80+D83</f>
        <v>2809516</v>
      </c>
      <c r="E79" s="37">
        <f t="shared" si="19"/>
        <v>0.4229287972301671</v>
      </c>
      <c r="F79" s="37">
        <f t="shared" si="1"/>
        <v>0.4229287972301671</v>
      </c>
      <c r="G79" s="13">
        <f>D79-'[1]Oktobris'!D71</f>
        <v>2419026</v>
      </c>
      <c r="H79" s="38" t="s">
        <v>126</v>
      </c>
      <c r="I79" s="22">
        <f>I80+I83</f>
        <v>6643</v>
      </c>
      <c r="J79" s="22">
        <f>J80+J83</f>
        <v>6644</v>
      </c>
      <c r="K79" s="22">
        <f>K80+K83</f>
        <v>2809</v>
      </c>
      <c r="L79" s="23">
        <f t="shared" si="21"/>
        <v>42.28511214812585</v>
      </c>
      <c r="M79" s="23">
        <f t="shared" si="2"/>
        <v>42.2787477423239</v>
      </c>
      <c r="N79" s="22">
        <f>K79-'[1]Oktobris'!K71</f>
        <v>2418</v>
      </c>
    </row>
    <row r="80" spans="1:14" s="25" customFormat="1" ht="12.75">
      <c r="A80" s="31" t="s">
        <v>114</v>
      </c>
      <c r="B80" s="32">
        <f>SUM(B81:B82)</f>
        <v>6594400</v>
      </c>
      <c r="C80" s="32">
        <f>SUM(C81:C82)</f>
        <v>6594400</v>
      </c>
      <c r="D80" s="32">
        <f>SUM(D81:D82)</f>
        <v>2785237</v>
      </c>
      <c r="E80" s="21">
        <f t="shared" si="19"/>
        <v>0.42236397549435883</v>
      </c>
      <c r="F80" s="21">
        <f t="shared" si="1"/>
        <v>0.42236397549435883</v>
      </c>
      <c r="G80" s="13">
        <f>D80-'[1]Oktobris'!D72</f>
        <v>2408412</v>
      </c>
      <c r="H80" s="31" t="s">
        <v>114</v>
      </c>
      <c r="I80" s="32">
        <f>SUM(I81:I82)</f>
        <v>6594</v>
      </c>
      <c r="J80" s="32">
        <f>SUM(J81:J82)</f>
        <v>6595</v>
      </c>
      <c r="K80" s="32">
        <f>SUM(K81:K82)</f>
        <v>2785</v>
      </c>
      <c r="L80" s="33">
        <f t="shared" si="21"/>
        <v>42.23536548377313</v>
      </c>
      <c r="M80" s="33">
        <f t="shared" si="2"/>
        <v>42.2289613343442</v>
      </c>
      <c r="N80" s="32">
        <f>K80-'[1]Oktobris'!K72</f>
        <v>2408</v>
      </c>
    </row>
    <row r="81" spans="1:14" ht="12.75">
      <c r="A81" s="34" t="s">
        <v>110</v>
      </c>
      <c r="B81" s="35">
        <v>1335726</v>
      </c>
      <c r="C81" s="35">
        <v>1335726</v>
      </c>
      <c r="D81" s="35">
        <v>1108771</v>
      </c>
      <c r="E81" s="21">
        <f t="shared" si="19"/>
        <v>0.8300886559069749</v>
      </c>
      <c r="F81" s="21">
        <f aca="true" t="shared" si="23" ref="F81:F105">IF(ISERROR(D81/C81)," ",(D81/C81))</f>
        <v>0.8300886559069749</v>
      </c>
      <c r="G81" s="13">
        <f>D81-'[1]Oktobris'!D73</f>
        <v>732816</v>
      </c>
      <c r="H81" s="34" t="s">
        <v>110</v>
      </c>
      <c r="I81" s="35">
        <f aca="true" t="shared" si="24" ref="I81:K82">ROUND(B81/1000,0)</f>
        <v>1336</v>
      </c>
      <c r="J81" s="35">
        <f>ROUND(C81/1000,0)</f>
        <v>1336</v>
      </c>
      <c r="K81" s="35">
        <f>ROUND(D81/1000,0)</f>
        <v>1109</v>
      </c>
      <c r="L81" s="36">
        <f t="shared" si="21"/>
        <v>83.00898203592814</v>
      </c>
      <c r="M81" s="36">
        <f aca="true" t="shared" si="25" ref="M81:M105">IF(ISERROR(ROUND(K81,0)/ROUND(J81,0))," ",(ROUND(K81,)/ROUND(J81,)))*100</f>
        <v>83.00898203592814</v>
      </c>
      <c r="N81" s="35">
        <f>K81-'[1]Oktobris'!K73</f>
        <v>733</v>
      </c>
    </row>
    <row r="82" spans="1:14" ht="12.75">
      <c r="A82" s="42" t="s">
        <v>111</v>
      </c>
      <c r="B82" s="35">
        <v>5258674</v>
      </c>
      <c r="C82" s="35">
        <v>5258674</v>
      </c>
      <c r="D82" s="35">
        <v>1676466</v>
      </c>
      <c r="E82" s="21">
        <f t="shared" si="19"/>
        <v>0.31880013859007045</v>
      </c>
      <c r="F82" s="21">
        <f t="shared" si="23"/>
        <v>0.31880013859007045</v>
      </c>
      <c r="G82" s="13">
        <f>D82-'[1]Oktobris'!D74</f>
        <v>1675596</v>
      </c>
      <c r="H82" s="42" t="s">
        <v>111</v>
      </c>
      <c r="I82" s="35">
        <f>ROUND(B82/1000,0)-1</f>
        <v>5258</v>
      </c>
      <c r="J82" s="35">
        <f t="shared" si="24"/>
        <v>5259</v>
      </c>
      <c r="K82" s="35">
        <f t="shared" si="24"/>
        <v>1676</v>
      </c>
      <c r="L82" s="36">
        <f t="shared" si="21"/>
        <v>31.875237732978317</v>
      </c>
      <c r="M82" s="36">
        <f t="shared" si="25"/>
        <v>31.86917664955315</v>
      </c>
      <c r="N82" s="35">
        <f>K82-'[1]Oktobris'!K74</f>
        <v>1675</v>
      </c>
    </row>
    <row r="83" spans="1:14" s="25" customFormat="1" ht="12.75">
      <c r="A83" s="31" t="s">
        <v>116</v>
      </c>
      <c r="B83" s="32">
        <f>SUM(B84:B85)</f>
        <v>48600</v>
      </c>
      <c r="C83" s="32">
        <f>SUM(C84:C85)</f>
        <v>48600</v>
      </c>
      <c r="D83" s="32">
        <f>SUM(D84:D85)</f>
        <v>24279</v>
      </c>
      <c r="E83" s="21">
        <f t="shared" si="19"/>
        <v>0.4995679012345679</v>
      </c>
      <c r="F83" s="21">
        <f t="shared" si="23"/>
        <v>0.4995679012345679</v>
      </c>
      <c r="G83" s="13">
        <f>D83-'[1]Oktobris'!D75</f>
        <v>10614</v>
      </c>
      <c r="H83" s="31" t="s">
        <v>116</v>
      </c>
      <c r="I83" s="32">
        <f>SUM(I84:I85)</f>
        <v>49</v>
      </c>
      <c r="J83" s="32">
        <f>SUM(J84:J85)</f>
        <v>49</v>
      </c>
      <c r="K83" s="32">
        <f>SUM(K84:K85)</f>
        <v>24</v>
      </c>
      <c r="L83" s="33">
        <f t="shared" si="21"/>
        <v>48.97959183673469</v>
      </c>
      <c r="M83" s="33">
        <f t="shared" si="25"/>
        <v>48.97959183673469</v>
      </c>
      <c r="N83" s="32">
        <f>K83-'[1]Oktobris'!K75</f>
        <v>10</v>
      </c>
    </row>
    <row r="84" spans="1:14" ht="12.75">
      <c r="A84" s="34" t="s">
        <v>110</v>
      </c>
      <c r="B84" s="35">
        <v>48600</v>
      </c>
      <c r="C84" s="35">
        <v>48600</v>
      </c>
      <c r="D84" s="35">
        <v>24279</v>
      </c>
      <c r="E84" s="21">
        <f t="shared" si="19"/>
        <v>0.4995679012345679</v>
      </c>
      <c r="F84" s="21">
        <f t="shared" si="23"/>
        <v>0.4995679012345679</v>
      </c>
      <c r="G84" s="13">
        <f>D84-'[1]Oktobris'!D76</f>
        <v>10614</v>
      </c>
      <c r="H84" s="34" t="s">
        <v>110</v>
      </c>
      <c r="I84" s="35">
        <f aca="true" t="shared" si="26" ref="I84:K85">ROUND(B84/1000,0)</f>
        <v>49</v>
      </c>
      <c r="J84" s="35">
        <f t="shared" si="26"/>
        <v>49</v>
      </c>
      <c r="K84" s="35">
        <f t="shared" si="26"/>
        <v>24</v>
      </c>
      <c r="L84" s="36">
        <f t="shared" si="21"/>
        <v>48.97959183673469</v>
      </c>
      <c r="M84" s="36">
        <f t="shared" si="25"/>
        <v>48.97959183673469</v>
      </c>
      <c r="N84" s="35">
        <f>K84-'[1]Oktobris'!K76</f>
        <v>10</v>
      </c>
    </row>
    <row r="85" spans="1:14" ht="12.75" hidden="1">
      <c r="A85" s="34" t="s">
        <v>111</v>
      </c>
      <c r="B85" s="35"/>
      <c r="C85" s="35"/>
      <c r="D85" s="35"/>
      <c r="E85" s="21" t="str">
        <f t="shared" si="19"/>
        <v> </v>
      </c>
      <c r="F85" s="21" t="str">
        <f t="shared" si="23"/>
        <v> </v>
      </c>
      <c r="G85" s="13">
        <f>D85-'[1]Oktobris'!D77</f>
        <v>0</v>
      </c>
      <c r="H85" s="34" t="s">
        <v>111</v>
      </c>
      <c r="I85" s="35">
        <f t="shared" si="26"/>
        <v>0</v>
      </c>
      <c r="J85" s="35">
        <f t="shared" si="26"/>
        <v>0</v>
      </c>
      <c r="K85" s="35">
        <f t="shared" si="26"/>
        <v>0</v>
      </c>
      <c r="L85" s="36" t="e">
        <f t="shared" si="21"/>
        <v>#VALUE!</v>
      </c>
      <c r="M85" s="36" t="e">
        <f t="shared" si="25"/>
        <v>#VALUE!</v>
      </c>
      <c r="N85" s="35">
        <f>K85-'[1]Oktobris'!K77</f>
        <v>0</v>
      </c>
    </row>
    <row r="86" spans="1:14" s="4" customFormat="1" ht="36">
      <c r="A86" s="43" t="s">
        <v>127</v>
      </c>
      <c r="B86" s="41">
        <f>B87+B89</f>
        <v>2180697</v>
      </c>
      <c r="C86" s="41">
        <f>C87+C89</f>
        <v>2025332</v>
      </c>
      <c r="D86" s="41">
        <f>D87+D89</f>
        <v>620022</v>
      </c>
      <c r="E86" s="37">
        <f t="shared" si="19"/>
        <v>0.28432285640783656</v>
      </c>
      <c r="F86" s="37">
        <f t="shared" si="23"/>
        <v>0.3061335129252883</v>
      </c>
      <c r="G86" s="13">
        <f>D86-'[1]Oktobris'!D78</f>
        <v>185851</v>
      </c>
      <c r="H86" s="43" t="s">
        <v>127</v>
      </c>
      <c r="I86" s="22">
        <f>I87+I89</f>
        <v>2180</v>
      </c>
      <c r="J86" s="22">
        <f>J87+J89</f>
        <v>2025</v>
      </c>
      <c r="K86" s="22">
        <f>K87+K89</f>
        <v>621</v>
      </c>
      <c r="L86" s="23">
        <f t="shared" si="21"/>
        <v>28.486238532110093</v>
      </c>
      <c r="M86" s="23">
        <f t="shared" si="25"/>
        <v>30.666666666666664</v>
      </c>
      <c r="N86" s="22">
        <f>K86-'[1]Oktobris'!K78</f>
        <v>187</v>
      </c>
    </row>
    <row r="87" spans="1:14" s="25" customFormat="1" ht="12.75">
      <c r="A87" s="31" t="s">
        <v>114</v>
      </c>
      <c r="B87" s="32">
        <f>SUM(B88:B88)</f>
        <v>2052099</v>
      </c>
      <c r="C87" s="32">
        <f>SUM(C88:C88)</f>
        <v>1907467</v>
      </c>
      <c r="D87" s="32">
        <f>SUM(D88:D88)</f>
        <v>508504</v>
      </c>
      <c r="E87" s="21">
        <f t="shared" si="19"/>
        <v>0.24779701174261085</v>
      </c>
      <c r="F87" s="21">
        <f t="shared" si="23"/>
        <v>0.2665860012257093</v>
      </c>
      <c r="G87" s="13">
        <f>D87-'[1]Oktobris'!D79</f>
        <v>173627</v>
      </c>
      <c r="H87" s="31" t="s">
        <v>114</v>
      </c>
      <c r="I87" s="32">
        <f>I88</f>
        <v>2052</v>
      </c>
      <c r="J87" s="32">
        <f>J88</f>
        <v>1907</v>
      </c>
      <c r="K87" s="32">
        <f>K88</f>
        <v>509</v>
      </c>
      <c r="L87" s="33">
        <f t="shared" si="21"/>
        <v>24.80506822612086</v>
      </c>
      <c r="M87" s="33">
        <f t="shared" si="25"/>
        <v>26.69113791295228</v>
      </c>
      <c r="N87" s="32">
        <f>K87-'[1]Oktobris'!K79</f>
        <v>174</v>
      </c>
    </row>
    <row r="88" spans="1:14" ht="12.75">
      <c r="A88" s="34" t="s">
        <v>110</v>
      </c>
      <c r="B88" s="35">
        <v>2052099</v>
      </c>
      <c r="C88" s="35">
        <v>1907467</v>
      </c>
      <c r="D88" s="35">
        <v>508504</v>
      </c>
      <c r="E88" s="21">
        <f t="shared" si="19"/>
        <v>0.24779701174261085</v>
      </c>
      <c r="F88" s="21">
        <f t="shared" si="23"/>
        <v>0.2665860012257093</v>
      </c>
      <c r="G88" s="13">
        <f>D88-'[1]Oktobris'!D80</f>
        <v>173627</v>
      </c>
      <c r="H88" s="34" t="s">
        <v>110</v>
      </c>
      <c r="I88" s="35">
        <f>ROUND(B88/1000,0)</f>
        <v>2052</v>
      </c>
      <c r="J88" s="35">
        <f>ROUND(C88/1000,0)</f>
        <v>1907</v>
      </c>
      <c r="K88" s="35">
        <f>ROUND(D88/1000,0)</f>
        <v>509</v>
      </c>
      <c r="L88" s="36">
        <f t="shared" si="21"/>
        <v>24.80506822612086</v>
      </c>
      <c r="M88" s="36">
        <f t="shared" si="25"/>
        <v>26.69113791295228</v>
      </c>
      <c r="N88" s="35">
        <f>K88-'[1]Oktobris'!K80</f>
        <v>174</v>
      </c>
    </row>
    <row r="89" spans="1:14" s="25" customFormat="1" ht="12.75">
      <c r="A89" s="31" t="s">
        <v>116</v>
      </c>
      <c r="B89" s="32">
        <f>B90</f>
        <v>128598</v>
      </c>
      <c r="C89" s="32">
        <f>C90</f>
        <v>117865</v>
      </c>
      <c r="D89" s="32">
        <f>D90</f>
        <v>111518</v>
      </c>
      <c r="E89" s="21">
        <f t="shared" si="19"/>
        <v>0.8671830044013126</v>
      </c>
      <c r="F89" s="21">
        <f t="shared" si="23"/>
        <v>0.9461502566495567</v>
      </c>
      <c r="G89" s="13">
        <f>D89-'[1]Oktobris'!D81</f>
        <v>12224</v>
      </c>
      <c r="H89" s="31" t="s">
        <v>116</v>
      </c>
      <c r="I89" s="32">
        <f>I90</f>
        <v>128</v>
      </c>
      <c r="J89" s="32">
        <f>J90</f>
        <v>118</v>
      </c>
      <c r="K89" s="32">
        <f>K90</f>
        <v>112</v>
      </c>
      <c r="L89" s="33">
        <f t="shared" si="21"/>
        <v>87.5</v>
      </c>
      <c r="M89" s="33">
        <f t="shared" si="25"/>
        <v>94.91525423728814</v>
      </c>
      <c r="N89" s="32">
        <f>K89-'[1]Oktobris'!K81</f>
        <v>13</v>
      </c>
    </row>
    <row r="90" spans="1:14" ht="12.75">
      <c r="A90" s="34" t="s">
        <v>110</v>
      </c>
      <c r="B90" s="35">
        <v>128598</v>
      </c>
      <c r="C90" s="35">
        <v>117865</v>
      </c>
      <c r="D90" s="35">
        <v>111518</v>
      </c>
      <c r="E90" s="21">
        <f t="shared" si="19"/>
        <v>0.8671830044013126</v>
      </c>
      <c r="F90" s="21">
        <f t="shared" si="23"/>
        <v>0.9461502566495567</v>
      </c>
      <c r="G90" s="13">
        <f>D90-'[1]Oktobris'!D82</f>
        <v>12224</v>
      </c>
      <c r="H90" s="34" t="s">
        <v>110</v>
      </c>
      <c r="I90" s="35">
        <f>ROUND(B90/1000,0)-1</f>
        <v>128</v>
      </c>
      <c r="J90" s="35">
        <f>ROUND(C90/1000,0)</f>
        <v>118</v>
      </c>
      <c r="K90" s="35">
        <f>ROUND(D90/1000,0)</f>
        <v>112</v>
      </c>
      <c r="L90" s="36">
        <f t="shared" si="21"/>
        <v>87.5</v>
      </c>
      <c r="M90" s="36">
        <f t="shared" si="25"/>
        <v>94.91525423728814</v>
      </c>
      <c r="N90" s="35">
        <f>K90-'[1]Oktobris'!K82</f>
        <v>13</v>
      </c>
    </row>
    <row r="91" spans="1:14" s="4" customFormat="1" ht="36">
      <c r="A91" s="43" t="s">
        <v>128</v>
      </c>
      <c r="B91" s="22">
        <f aca="true" t="shared" si="27" ref="B91:D92">B92</f>
        <v>2140000</v>
      </c>
      <c r="C91" s="22">
        <f t="shared" si="27"/>
        <v>1828380</v>
      </c>
      <c r="D91" s="22">
        <f t="shared" si="27"/>
        <v>564218</v>
      </c>
      <c r="E91" s="37">
        <f t="shared" si="19"/>
        <v>0.2636532710280374</v>
      </c>
      <c r="F91" s="37">
        <f t="shared" si="23"/>
        <v>0.3085890241634671</v>
      </c>
      <c r="G91" s="13">
        <f>D91-'[1]Oktobris'!D83</f>
        <v>0</v>
      </c>
      <c r="H91" s="43" t="s">
        <v>128</v>
      </c>
      <c r="I91" s="22">
        <f aca="true" t="shared" si="28" ref="I91:K92">I92</f>
        <v>2140</v>
      </c>
      <c r="J91" s="22">
        <f t="shared" si="28"/>
        <v>1828</v>
      </c>
      <c r="K91" s="22">
        <f t="shared" si="28"/>
        <v>564</v>
      </c>
      <c r="L91" s="23">
        <f t="shared" si="21"/>
        <v>26.355140186915886</v>
      </c>
      <c r="M91" s="23">
        <f t="shared" si="25"/>
        <v>30.85339168490153</v>
      </c>
      <c r="N91" s="22">
        <f>K91-'[1]Oktobris'!K83</f>
        <v>0</v>
      </c>
    </row>
    <row r="92" spans="1:14" s="25" customFormat="1" ht="12.75">
      <c r="A92" s="31" t="s">
        <v>114</v>
      </c>
      <c r="B92" s="32">
        <f t="shared" si="27"/>
        <v>2140000</v>
      </c>
      <c r="C92" s="32">
        <f t="shared" si="27"/>
        <v>1828380</v>
      </c>
      <c r="D92" s="32">
        <f t="shared" si="27"/>
        <v>564218</v>
      </c>
      <c r="E92" s="21">
        <f t="shared" si="19"/>
        <v>0.2636532710280374</v>
      </c>
      <c r="F92" s="21">
        <f t="shared" si="23"/>
        <v>0.3085890241634671</v>
      </c>
      <c r="G92" s="13">
        <f>D92-'[1]Oktobris'!D84</f>
        <v>0</v>
      </c>
      <c r="H92" s="31" t="s">
        <v>114</v>
      </c>
      <c r="I92" s="32">
        <f t="shared" si="28"/>
        <v>2140</v>
      </c>
      <c r="J92" s="32">
        <f t="shared" si="28"/>
        <v>1828</v>
      </c>
      <c r="K92" s="32">
        <f t="shared" si="28"/>
        <v>564</v>
      </c>
      <c r="L92" s="33">
        <f t="shared" si="21"/>
        <v>26.355140186915886</v>
      </c>
      <c r="M92" s="33">
        <f t="shared" si="25"/>
        <v>30.85339168490153</v>
      </c>
      <c r="N92" s="32">
        <f>K92-'[1]Oktobris'!K84</f>
        <v>0</v>
      </c>
    </row>
    <row r="93" spans="1:14" ht="12.75">
      <c r="A93" s="34" t="s">
        <v>110</v>
      </c>
      <c r="B93" s="35">
        <v>2140000</v>
      </c>
      <c r="C93" s="35">
        <v>1828380</v>
      </c>
      <c r="D93" s="35">
        <v>564218</v>
      </c>
      <c r="E93" s="21">
        <f t="shared" si="19"/>
        <v>0.2636532710280374</v>
      </c>
      <c r="F93" s="21">
        <f t="shared" si="23"/>
        <v>0.3085890241634671</v>
      </c>
      <c r="G93" s="13">
        <f>D93-'[1]Oktobris'!D85</f>
        <v>0</v>
      </c>
      <c r="H93" s="34" t="s">
        <v>110</v>
      </c>
      <c r="I93" s="35">
        <f>ROUND(B93/1000,0)</f>
        <v>2140</v>
      </c>
      <c r="J93" s="35">
        <f>ROUND(C93/1000,0)</f>
        <v>1828</v>
      </c>
      <c r="K93" s="35">
        <f>ROUND(D93/1000,0)</f>
        <v>564</v>
      </c>
      <c r="L93" s="36">
        <f t="shared" si="21"/>
        <v>26.355140186915886</v>
      </c>
      <c r="M93" s="36">
        <f t="shared" si="25"/>
        <v>30.85339168490153</v>
      </c>
      <c r="N93" s="35">
        <f>K93-'[1]Oktobris'!K85</f>
        <v>0</v>
      </c>
    </row>
    <row r="94" spans="1:104" ht="38.25">
      <c r="A94" s="12" t="s">
        <v>129</v>
      </c>
      <c r="B94" s="44">
        <f>B95+B98</f>
        <v>3357093</v>
      </c>
      <c r="C94" s="44">
        <f>C95+C98</f>
        <v>3337765</v>
      </c>
      <c r="D94" s="44">
        <f>D95+D98</f>
        <v>1890343</v>
      </c>
      <c r="E94" s="14">
        <f t="shared" si="19"/>
        <v>0.5630892560915054</v>
      </c>
      <c r="F94" s="14">
        <f t="shared" si="23"/>
        <v>0.5663499377577511</v>
      </c>
      <c r="G94" s="13">
        <f>D94-'[1]Oktobris'!D86</f>
        <v>222699</v>
      </c>
      <c r="H94" s="12" t="s">
        <v>129</v>
      </c>
      <c r="I94" s="15">
        <f>I95+I98</f>
        <v>3357</v>
      </c>
      <c r="J94" s="15">
        <f>J95+J98</f>
        <v>3338</v>
      </c>
      <c r="K94" s="15">
        <f>K95+K98</f>
        <v>1890</v>
      </c>
      <c r="L94" s="16">
        <f t="shared" si="21"/>
        <v>56.30026809651475</v>
      </c>
      <c r="M94" s="16">
        <f t="shared" si="25"/>
        <v>56.620730976632714</v>
      </c>
      <c r="N94" s="15">
        <f>K94-'[1]Oktobris'!K86</f>
        <v>222</v>
      </c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</row>
    <row r="95" spans="1:104" s="46" customFormat="1" ht="15" customHeight="1">
      <c r="A95" s="17" t="s">
        <v>109</v>
      </c>
      <c r="B95" s="13">
        <f>B96+B97</f>
        <v>2109853</v>
      </c>
      <c r="C95" s="13">
        <f>C96+C97</f>
        <v>2109853</v>
      </c>
      <c r="D95" s="13">
        <f>D96+D97</f>
        <v>1133877</v>
      </c>
      <c r="E95" s="14">
        <f t="shared" si="19"/>
        <v>0.5374199055574014</v>
      </c>
      <c r="F95" s="14">
        <f t="shared" si="23"/>
        <v>0.5374199055574014</v>
      </c>
      <c r="G95" s="13">
        <f>D95-'[1]Oktobris'!D87</f>
        <v>119896</v>
      </c>
      <c r="H95" s="17" t="s">
        <v>109</v>
      </c>
      <c r="I95" s="45">
        <f>I96+I97</f>
        <v>2110</v>
      </c>
      <c r="J95" s="45">
        <f>J96+J97</f>
        <v>2110</v>
      </c>
      <c r="K95" s="45">
        <f>K96+K97</f>
        <v>1134</v>
      </c>
      <c r="L95" s="16">
        <f t="shared" si="21"/>
        <v>53.74407582938389</v>
      </c>
      <c r="M95" s="16">
        <f t="shared" si="25"/>
        <v>53.74407582938389</v>
      </c>
      <c r="N95" s="45">
        <f>K95-'[1]Oktobris'!K87</f>
        <v>120</v>
      </c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</row>
    <row r="96" spans="1:14" ht="12.75">
      <c r="A96" s="19" t="s">
        <v>110</v>
      </c>
      <c r="B96" s="41">
        <f aca="true" t="shared" si="29" ref="B96:D97">B102</f>
        <v>149864</v>
      </c>
      <c r="C96" s="41">
        <f t="shared" si="29"/>
        <v>149864</v>
      </c>
      <c r="D96" s="41">
        <f t="shared" si="29"/>
        <v>0</v>
      </c>
      <c r="E96" s="14">
        <f t="shared" si="19"/>
        <v>0</v>
      </c>
      <c r="F96" s="14">
        <f t="shared" si="23"/>
        <v>0</v>
      </c>
      <c r="G96" s="13">
        <f>D96</f>
        <v>0</v>
      </c>
      <c r="H96" s="19" t="s">
        <v>110</v>
      </c>
      <c r="I96" s="22">
        <f aca="true" t="shared" si="30" ref="I96:K97">I102</f>
        <v>150</v>
      </c>
      <c r="J96" s="22">
        <f t="shared" si="30"/>
        <v>150</v>
      </c>
      <c r="K96" s="22">
        <f t="shared" si="30"/>
        <v>0</v>
      </c>
      <c r="L96" s="16">
        <f t="shared" si="21"/>
        <v>0</v>
      </c>
      <c r="M96" s="16">
        <f t="shared" si="25"/>
        <v>0</v>
      </c>
      <c r="N96" s="22">
        <f>K96</f>
        <v>0</v>
      </c>
    </row>
    <row r="97" spans="1:14" ht="12.75">
      <c r="A97" s="19" t="s">
        <v>111</v>
      </c>
      <c r="B97" s="41">
        <f t="shared" si="29"/>
        <v>1959989</v>
      </c>
      <c r="C97" s="41">
        <f t="shared" si="29"/>
        <v>1959989</v>
      </c>
      <c r="D97" s="41">
        <f t="shared" si="29"/>
        <v>1133877</v>
      </c>
      <c r="E97" s="21">
        <f t="shared" si="19"/>
        <v>0.5785119202199605</v>
      </c>
      <c r="F97" s="21">
        <f t="shared" si="23"/>
        <v>0.5785119202199605</v>
      </c>
      <c r="G97" s="13">
        <f>D97-'[1]Oktobris'!D88</f>
        <v>119896</v>
      </c>
      <c r="H97" s="19" t="s">
        <v>111</v>
      </c>
      <c r="I97" s="22">
        <f t="shared" si="30"/>
        <v>1960</v>
      </c>
      <c r="J97" s="29">
        <f t="shared" si="30"/>
        <v>1960</v>
      </c>
      <c r="K97" s="29">
        <f t="shared" si="30"/>
        <v>1134</v>
      </c>
      <c r="L97" s="23">
        <f t="shared" si="21"/>
        <v>57.85714285714286</v>
      </c>
      <c r="M97" s="23">
        <f t="shared" si="25"/>
        <v>57.85714285714286</v>
      </c>
      <c r="N97" s="29">
        <f>K97-'[1]Oktobris'!K88</f>
        <v>120</v>
      </c>
    </row>
    <row r="98" spans="1:104" s="46" customFormat="1" ht="15" customHeight="1">
      <c r="A98" s="17" t="s">
        <v>130</v>
      </c>
      <c r="B98" s="13">
        <f>B99</f>
        <v>1247240</v>
      </c>
      <c r="C98" s="13">
        <f>C99</f>
        <v>1227912</v>
      </c>
      <c r="D98" s="13">
        <f>D99</f>
        <v>756466</v>
      </c>
      <c r="E98" s="14">
        <f t="shared" si="19"/>
        <v>0.6065119784484141</v>
      </c>
      <c r="F98" s="14">
        <f t="shared" si="23"/>
        <v>0.6160588055170078</v>
      </c>
      <c r="G98" s="13">
        <f>D98-'[1]Oktobris'!D89</f>
        <v>102803</v>
      </c>
      <c r="H98" s="17" t="s">
        <v>130</v>
      </c>
      <c r="I98" s="15">
        <f>I99</f>
        <v>1247</v>
      </c>
      <c r="J98" s="15">
        <f>J99</f>
        <v>1228</v>
      </c>
      <c r="K98" s="15">
        <f>K99</f>
        <v>756</v>
      </c>
      <c r="L98" s="16">
        <f t="shared" si="21"/>
        <v>60.62550120288693</v>
      </c>
      <c r="M98" s="16">
        <f t="shared" si="25"/>
        <v>61.563517915309454</v>
      </c>
      <c r="N98" s="15">
        <f>K98-'[1]Oktobris'!K89</f>
        <v>102</v>
      </c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</row>
    <row r="99" spans="1:14" ht="12.75">
      <c r="A99" s="19" t="s">
        <v>111</v>
      </c>
      <c r="B99" s="41">
        <f>B105</f>
        <v>1247240</v>
      </c>
      <c r="C99" s="41">
        <f>C105</f>
        <v>1227912</v>
      </c>
      <c r="D99" s="41">
        <f>D105</f>
        <v>756466</v>
      </c>
      <c r="E99" s="21">
        <f t="shared" si="19"/>
        <v>0.6065119784484141</v>
      </c>
      <c r="F99" s="21">
        <f t="shared" si="23"/>
        <v>0.6160588055170078</v>
      </c>
      <c r="G99" s="13">
        <f>D99-'[1]Oktobris'!D90</f>
        <v>102803</v>
      </c>
      <c r="H99" s="19" t="s">
        <v>111</v>
      </c>
      <c r="I99" s="22">
        <f>I105</f>
        <v>1247</v>
      </c>
      <c r="J99" s="22">
        <f>J105</f>
        <v>1228</v>
      </c>
      <c r="K99" s="29">
        <f>K105</f>
        <v>756</v>
      </c>
      <c r="L99" s="23">
        <f t="shared" si="21"/>
        <v>60.62550120288693</v>
      </c>
      <c r="M99" s="23">
        <f t="shared" si="25"/>
        <v>61.563517915309454</v>
      </c>
      <c r="N99" s="29">
        <f>K99-'[1]Oktobris'!K90</f>
        <v>102</v>
      </c>
    </row>
    <row r="100" spans="1:14" s="4" customFormat="1" ht="12.75">
      <c r="A100" s="43" t="s">
        <v>123</v>
      </c>
      <c r="B100" s="22">
        <f>B101+B104</f>
        <v>3357093</v>
      </c>
      <c r="C100" s="22">
        <f>C101+C104</f>
        <v>3337765</v>
      </c>
      <c r="D100" s="22">
        <f>D101+D104</f>
        <v>1890343</v>
      </c>
      <c r="E100" s="37">
        <f t="shared" si="19"/>
        <v>0.5630892560915054</v>
      </c>
      <c r="F100" s="37">
        <f t="shared" si="23"/>
        <v>0.5663499377577511</v>
      </c>
      <c r="G100" s="13">
        <f>D100-'[1]Oktobris'!D91</f>
        <v>222699</v>
      </c>
      <c r="H100" s="43" t="s">
        <v>123</v>
      </c>
      <c r="I100" s="22">
        <f>I101+I104</f>
        <v>3357</v>
      </c>
      <c r="J100" s="22">
        <f>J101+J104</f>
        <v>3338</v>
      </c>
      <c r="K100" s="22">
        <f>K101+K104</f>
        <v>1890</v>
      </c>
      <c r="L100" s="23">
        <f t="shared" si="21"/>
        <v>56.30026809651475</v>
      </c>
      <c r="M100" s="23">
        <f t="shared" si="25"/>
        <v>56.620730976632714</v>
      </c>
      <c r="N100" s="22">
        <f>K100-'[1]Oktobris'!K91</f>
        <v>222</v>
      </c>
    </row>
    <row r="101" spans="1:14" s="25" customFormat="1" ht="12.75">
      <c r="A101" s="31" t="s">
        <v>114</v>
      </c>
      <c r="B101" s="32">
        <f>B102+B103</f>
        <v>2109853</v>
      </c>
      <c r="C101" s="32">
        <f>C102+C103</f>
        <v>2109853</v>
      </c>
      <c r="D101" s="32">
        <f>D102+D103</f>
        <v>1133877</v>
      </c>
      <c r="E101" s="21">
        <f t="shared" si="19"/>
        <v>0.5374199055574014</v>
      </c>
      <c r="F101" s="21">
        <f t="shared" si="23"/>
        <v>0.5374199055574014</v>
      </c>
      <c r="G101" s="13">
        <f>D101-'[1]Oktobris'!D92</f>
        <v>119896</v>
      </c>
      <c r="H101" s="31" t="s">
        <v>114</v>
      </c>
      <c r="I101" s="32">
        <f>I103+I102</f>
        <v>2110</v>
      </c>
      <c r="J101" s="32">
        <f>J103+J102</f>
        <v>2110</v>
      </c>
      <c r="K101" s="32">
        <f>K103</f>
        <v>1134</v>
      </c>
      <c r="L101" s="33">
        <f t="shared" si="21"/>
        <v>53.74407582938389</v>
      </c>
      <c r="M101" s="33">
        <f t="shared" si="25"/>
        <v>53.74407582938389</v>
      </c>
      <c r="N101" s="32">
        <f>K101-'[1]Oktobris'!K92</f>
        <v>120</v>
      </c>
    </row>
    <row r="102" spans="1:14" ht="12.75">
      <c r="A102" s="34" t="s">
        <v>110</v>
      </c>
      <c r="B102" s="35">
        <v>149864</v>
      </c>
      <c r="C102" s="35">
        <v>149864</v>
      </c>
      <c r="D102" s="35"/>
      <c r="E102" s="21">
        <f t="shared" si="19"/>
        <v>0</v>
      </c>
      <c r="F102" s="21"/>
      <c r="G102" s="13">
        <f>D102</f>
        <v>0</v>
      </c>
      <c r="H102" s="34" t="s">
        <v>110</v>
      </c>
      <c r="I102" s="35">
        <f aca="true" t="shared" si="31" ref="I102:K103">ROUND(B102/1000,0)</f>
        <v>150</v>
      </c>
      <c r="J102" s="35">
        <f t="shared" si="31"/>
        <v>150</v>
      </c>
      <c r="K102" s="35">
        <f t="shared" si="31"/>
        <v>0</v>
      </c>
      <c r="L102" s="36">
        <f t="shared" si="21"/>
        <v>0</v>
      </c>
      <c r="M102" s="36">
        <f t="shared" si="25"/>
        <v>0</v>
      </c>
      <c r="N102" s="35">
        <f>K102</f>
        <v>0</v>
      </c>
    </row>
    <row r="103" spans="1:104" s="28" customFormat="1" ht="12.75">
      <c r="A103" s="34" t="s">
        <v>111</v>
      </c>
      <c r="B103" s="35">
        <v>1959989</v>
      </c>
      <c r="C103" s="35">
        <v>1959989</v>
      </c>
      <c r="D103" s="35">
        <v>1133877</v>
      </c>
      <c r="E103" s="21">
        <f t="shared" si="19"/>
        <v>0.5785119202199605</v>
      </c>
      <c r="F103" s="21">
        <f t="shared" si="23"/>
        <v>0.5785119202199605</v>
      </c>
      <c r="G103" s="13">
        <f>D103-'[1]Oktobris'!D93</f>
        <v>119896</v>
      </c>
      <c r="H103" s="34" t="s">
        <v>111</v>
      </c>
      <c r="I103" s="35">
        <f t="shared" si="31"/>
        <v>1960</v>
      </c>
      <c r="J103" s="35">
        <f t="shared" si="31"/>
        <v>1960</v>
      </c>
      <c r="K103" s="35">
        <f t="shared" si="31"/>
        <v>1134</v>
      </c>
      <c r="L103" s="36">
        <f t="shared" si="21"/>
        <v>57.85714285714286</v>
      </c>
      <c r="M103" s="36">
        <f t="shared" si="25"/>
        <v>57.85714285714286</v>
      </c>
      <c r="N103" s="35">
        <f>K103-'[1]Oktobris'!K93</f>
        <v>120</v>
      </c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</row>
    <row r="104" spans="1:14" s="25" customFormat="1" ht="12.75">
      <c r="A104" s="31" t="s">
        <v>131</v>
      </c>
      <c r="B104" s="32">
        <f>B105</f>
        <v>1247240</v>
      </c>
      <c r="C104" s="32">
        <f>C105</f>
        <v>1227912</v>
      </c>
      <c r="D104" s="32">
        <f>D105</f>
        <v>756466</v>
      </c>
      <c r="E104" s="21">
        <f t="shared" si="19"/>
        <v>0.6065119784484141</v>
      </c>
      <c r="F104" s="21">
        <f t="shared" si="23"/>
        <v>0.6160588055170078</v>
      </c>
      <c r="G104" s="13">
        <f>D104-'[1]Oktobris'!D94</f>
        <v>102803</v>
      </c>
      <c r="H104" s="31" t="s">
        <v>131</v>
      </c>
      <c r="I104" s="32">
        <f>I105</f>
        <v>1247</v>
      </c>
      <c r="J104" s="32">
        <f>J105</f>
        <v>1228</v>
      </c>
      <c r="K104" s="32">
        <f>K105</f>
        <v>756</v>
      </c>
      <c r="L104" s="33">
        <f t="shared" si="21"/>
        <v>60.62550120288693</v>
      </c>
      <c r="M104" s="33">
        <f t="shared" si="25"/>
        <v>61.563517915309454</v>
      </c>
      <c r="N104" s="32">
        <f>K104-'[1]Oktobris'!K94</f>
        <v>102</v>
      </c>
    </row>
    <row r="105" spans="1:104" s="28" customFormat="1" ht="12.75">
      <c r="A105" s="34" t="s">
        <v>111</v>
      </c>
      <c r="B105" s="35">
        <v>1247240</v>
      </c>
      <c r="C105" s="35">
        <v>1227912</v>
      </c>
      <c r="D105" s="35">
        <v>756466</v>
      </c>
      <c r="E105" s="21">
        <f t="shared" si="19"/>
        <v>0.6065119784484141</v>
      </c>
      <c r="F105" s="21">
        <f t="shared" si="23"/>
        <v>0.6160588055170078</v>
      </c>
      <c r="G105" s="13">
        <f>D105-'[1]Oktobris'!D95</f>
        <v>102803</v>
      </c>
      <c r="H105" s="34" t="s">
        <v>111</v>
      </c>
      <c r="I105" s="35">
        <f>ROUND(B105/1000,0)</f>
        <v>1247</v>
      </c>
      <c r="J105" s="35">
        <f>ROUND(C105/1000,0)</f>
        <v>1228</v>
      </c>
      <c r="K105" s="35">
        <f>ROUND(D105/1000,0)</f>
        <v>756</v>
      </c>
      <c r="L105" s="36">
        <f t="shared" si="21"/>
        <v>60.62550120288693</v>
      </c>
      <c r="M105" s="36">
        <f t="shared" si="25"/>
        <v>61.563517915309454</v>
      </c>
      <c r="N105" s="35">
        <f>K105-'[1]Oktobris'!K95</f>
        <v>102</v>
      </c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</row>
    <row r="106" spans="1:104" s="46" customFormat="1" ht="15" customHeight="1">
      <c r="A106" s="17" t="s">
        <v>132</v>
      </c>
      <c r="B106" s="47" t="s">
        <v>133</v>
      </c>
      <c r="C106" s="47" t="s">
        <v>133</v>
      </c>
      <c r="D106" s="13">
        <f>D107+D108</f>
        <v>185955</v>
      </c>
      <c r="E106" s="48" t="s">
        <v>133</v>
      </c>
      <c r="F106" s="48" t="s">
        <v>133</v>
      </c>
      <c r="G106" s="13">
        <f>D106-'[1]Oktobris'!D96</f>
        <v>-7909233</v>
      </c>
      <c r="H106" s="17" t="s">
        <v>134</v>
      </c>
      <c r="I106" s="47" t="s">
        <v>133</v>
      </c>
      <c r="J106" s="47" t="s">
        <v>133</v>
      </c>
      <c r="K106" s="15">
        <f>K107+K108</f>
        <v>186</v>
      </c>
      <c r="L106" s="47" t="s">
        <v>133</v>
      </c>
      <c r="M106" s="47" t="s">
        <v>133</v>
      </c>
      <c r="N106" s="15">
        <f>K106</f>
        <v>186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</row>
    <row r="107" spans="1:104" s="28" customFormat="1" ht="12.75">
      <c r="A107" s="34" t="s">
        <v>110</v>
      </c>
      <c r="B107" s="35"/>
      <c r="C107" s="35"/>
      <c r="D107" s="35">
        <v>29150</v>
      </c>
      <c r="E107" s="21"/>
      <c r="F107" s="21"/>
      <c r="G107" s="13">
        <f>D107-'[1]Oktobris'!D97</f>
        <v>-4656343</v>
      </c>
      <c r="H107" s="34" t="s">
        <v>110</v>
      </c>
      <c r="I107" s="49" t="s">
        <v>133</v>
      </c>
      <c r="J107" s="49" t="s">
        <v>133</v>
      </c>
      <c r="K107" s="35">
        <f>ROUND(D107/1000,0)</f>
        <v>29</v>
      </c>
      <c r="L107" s="49" t="s">
        <v>133</v>
      </c>
      <c r="M107" s="49" t="s">
        <v>133</v>
      </c>
      <c r="N107" s="35">
        <f>K107</f>
        <v>29</v>
      </c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</row>
    <row r="108" spans="1:104" s="28" customFormat="1" ht="12.75">
      <c r="A108" s="34" t="s">
        <v>111</v>
      </c>
      <c r="B108" s="35"/>
      <c r="C108" s="35"/>
      <c r="D108" s="35">
        <v>156805</v>
      </c>
      <c r="E108" s="21"/>
      <c r="F108" s="21"/>
      <c r="G108" s="13">
        <f>D108-'[1]Oktobris'!D98</f>
        <v>-3252890</v>
      </c>
      <c r="H108" s="34" t="s">
        <v>111</v>
      </c>
      <c r="I108" s="49" t="s">
        <v>133</v>
      </c>
      <c r="J108" s="49" t="s">
        <v>133</v>
      </c>
      <c r="K108" s="35">
        <f>ROUND(D108/1000,0)</f>
        <v>157</v>
      </c>
      <c r="L108" s="49" t="s">
        <v>133</v>
      </c>
      <c r="M108" s="49" t="s">
        <v>133</v>
      </c>
      <c r="N108" s="35">
        <f>K108</f>
        <v>157</v>
      </c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</row>
    <row r="109" spans="1:14" ht="12.75">
      <c r="A109" s="50" t="s">
        <v>135</v>
      </c>
      <c r="G109" s="4"/>
      <c r="H109" s="50" t="s">
        <v>135</v>
      </c>
      <c r="I109" s="4"/>
      <c r="J109" s="4"/>
      <c r="K109" s="4"/>
      <c r="L109" s="4"/>
      <c r="M109" s="4"/>
      <c r="N109" s="4"/>
    </row>
    <row r="110" spans="7:14" ht="12.75">
      <c r="G110" s="4"/>
      <c r="H110" s="4"/>
      <c r="I110" s="4"/>
      <c r="J110" s="4"/>
      <c r="K110" s="4"/>
      <c r="L110" s="4"/>
      <c r="M110" s="4"/>
      <c r="N110" s="4"/>
    </row>
    <row r="111" spans="7:14" ht="12.75">
      <c r="G111" s="4"/>
      <c r="H111" s="4"/>
      <c r="I111" s="4"/>
      <c r="J111" s="4"/>
      <c r="K111" s="4"/>
      <c r="L111" s="4"/>
      <c r="M111" s="4"/>
      <c r="N111" s="4"/>
    </row>
    <row r="112" spans="1:14" ht="12.75">
      <c r="A112" s="2"/>
      <c r="B112" s="51"/>
      <c r="C112" s="52"/>
      <c r="D112" s="53"/>
      <c r="E112" s="53"/>
      <c r="F112" s="54"/>
      <c r="G112" s="4"/>
      <c r="H112" s="2"/>
      <c r="I112" s="51"/>
      <c r="J112" s="52"/>
      <c r="K112" s="53"/>
      <c r="L112" s="53"/>
      <c r="M112" s="54"/>
      <c r="N112" s="4"/>
    </row>
    <row r="114" spans="1:14" ht="12.75">
      <c r="A114" s="4"/>
      <c r="B114" s="55"/>
      <c r="C114" s="56"/>
      <c r="D114" s="56"/>
      <c r="E114" s="57"/>
      <c r="F114" s="58"/>
      <c r="G114" s="4"/>
      <c r="H114" s="4"/>
      <c r="M114" s="54"/>
      <c r="N114" s="4"/>
    </row>
    <row r="115" spans="1:14" ht="12.75">
      <c r="A115" s="4"/>
      <c r="B115" s="55"/>
      <c r="C115" s="56"/>
      <c r="D115" s="56"/>
      <c r="E115" s="57"/>
      <c r="F115" s="58"/>
      <c r="G115" s="4"/>
      <c r="H115" s="4"/>
      <c r="I115" s="55"/>
      <c r="J115" s="56"/>
      <c r="K115" s="56"/>
      <c r="L115" s="57"/>
      <c r="M115" s="58"/>
      <c r="N115" s="4"/>
    </row>
    <row r="116" spans="1:14" ht="12.75">
      <c r="A116" s="50"/>
      <c r="B116" s="59"/>
      <c r="C116" s="56"/>
      <c r="D116" s="60"/>
      <c r="E116" s="61"/>
      <c r="F116" s="62"/>
      <c r="G116" s="4"/>
      <c r="H116" s="732" t="s">
        <v>136</v>
      </c>
      <c r="I116" s="732"/>
      <c r="J116" s="732"/>
      <c r="K116" s="732"/>
      <c r="L116" s="732"/>
      <c r="M116" s="732"/>
      <c r="N116" s="732"/>
    </row>
    <row r="118" spans="7:14" ht="12.75">
      <c r="G118" s="4"/>
      <c r="H118" s="4"/>
      <c r="I118" s="4"/>
      <c r="J118" s="4"/>
      <c r="K118" s="4"/>
      <c r="L118" s="4"/>
      <c r="M118" s="4"/>
      <c r="N118" s="4"/>
    </row>
    <row r="119" spans="7:14" ht="12.75">
      <c r="G119" s="4"/>
      <c r="H119" s="4"/>
      <c r="I119" s="4"/>
      <c r="J119" s="4"/>
      <c r="K119" s="4"/>
      <c r="L119" s="4"/>
      <c r="M119" s="4"/>
      <c r="N119" s="4"/>
    </row>
    <row r="120" spans="7:14" ht="12.75">
      <c r="G120" s="4"/>
      <c r="H120" s="4"/>
      <c r="I120" s="4"/>
      <c r="J120" s="4"/>
      <c r="K120" s="4"/>
      <c r="L120" s="4"/>
      <c r="M120" s="4"/>
      <c r="N120" s="4"/>
    </row>
    <row r="121" spans="7:14" ht="12.75">
      <c r="G121" s="4"/>
      <c r="H121" s="4"/>
      <c r="I121" s="4"/>
      <c r="J121" s="4"/>
      <c r="K121" s="4"/>
      <c r="L121" s="4"/>
      <c r="M121" s="4"/>
      <c r="N121" s="4"/>
    </row>
    <row r="122" spans="7:14" ht="12.75">
      <c r="G122" s="4"/>
      <c r="I122" s="4"/>
      <c r="J122" s="4"/>
      <c r="K122" s="4"/>
      <c r="L122" s="4"/>
      <c r="M122" s="4"/>
      <c r="N122" s="4"/>
    </row>
    <row r="123" spans="7:14" ht="12.75">
      <c r="G123" s="4"/>
      <c r="I123" s="4"/>
      <c r="J123" s="4"/>
      <c r="K123" s="4"/>
      <c r="L123" s="4"/>
      <c r="M123" s="4"/>
      <c r="N123" s="4"/>
    </row>
    <row r="124" spans="7:14" ht="12.75">
      <c r="G124" s="4"/>
      <c r="H124" s="4"/>
      <c r="I124" s="4"/>
      <c r="J124" s="4"/>
      <c r="K124" s="4"/>
      <c r="L124" s="4"/>
      <c r="M124" s="4"/>
      <c r="N124" s="4"/>
    </row>
    <row r="125" spans="7:14" ht="12.75">
      <c r="G125" s="4"/>
      <c r="H125" s="4"/>
      <c r="I125" s="4"/>
      <c r="J125" s="4"/>
      <c r="K125" s="4"/>
      <c r="L125" s="4"/>
      <c r="M125" s="4"/>
      <c r="N125" s="4"/>
    </row>
    <row r="126" spans="7:14" ht="12.75">
      <c r="G126" s="4"/>
      <c r="H126" s="4"/>
      <c r="I126" s="4"/>
      <c r="J126" s="4"/>
      <c r="K126" s="4"/>
      <c r="L126" s="4"/>
      <c r="M126" s="4"/>
      <c r="N126" s="4"/>
    </row>
    <row r="127" spans="7:14" ht="12.75">
      <c r="G127" s="4"/>
      <c r="I127" s="4"/>
      <c r="J127" s="4"/>
      <c r="K127" s="4"/>
      <c r="L127" s="4"/>
      <c r="M127" s="4"/>
      <c r="N127" s="4"/>
    </row>
    <row r="128" spans="7:14" ht="12.75">
      <c r="G128" s="4"/>
      <c r="I128" s="4"/>
      <c r="J128" s="4"/>
      <c r="K128" s="4"/>
      <c r="L128" s="4"/>
      <c r="M128" s="4"/>
      <c r="N128" s="4"/>
    </row>
    <row r="129" spans="7:14" ht="12.75">
      <c r="G129" s="4"/>
      <c r="I129" s="4"/>
      <c r="J129" s="4"/>
      <c r="K129" s="4"/>
      <c r="L129" s="4"/>
      <c r="M129" s="4"/>
      <c r="N129" s="4"/>
    </row>
    <row r="130" spans="7:14" ht="12.75">
      <c r="G130" s="4"/>
      <c r="I130" s="4"/>
      <c r="J130" s="4"/>
      <c r="K130" s="4"/>
      <c r="L130" s="4"/>
      <c r="M130" s="4"/>
      <c r="N130" s="4"/>
    </row>
    <row r="131" spans="7:14" ht="12.75">
      <c r="G131" s="4"/>
      <c r="H131" s="4"/>
      <c r="I131" s="4"/>
      <c r="J131" s="4"/>
      <c r="K131" s="4"/>
      <c r="L131" s="4"/>
      <c r="M131" s="4"/>
      <c r="N131" s="4"/>
    </row>
    <row r="132" spans="7:14" ht="12.75">
      <c r="G132" s="4"/>
      <c r="H132" s="4"/>
      <c r="I132" s="4"/>
      <c r="J132" s="4"/>
      <c r="K132" s="4"/>
      <c r="L132" s="4"/>
      <c r="M132" s="4"/>
      <c r="N132" s="4"/>
    </row>
    <row r="133" spans="7:14" ht="12.75">
      <c r="G133" s="4"/>
      <c r="H133" s="4"/>
      <c r="I133" s="4"/>
      <c r="J133" s="4"/>
      <c r="K133" s="4"/>
      <c r="L133" s="4"/>
      <c r="M133" s="4"/>
      <c r="N133" s="4"/>
    </row>
    <row r="134" spans="7:14" ht="12.75">
      <c r="G134" s="4"/>
      <c r="H134" s="4"/>
      <c r="I134" s="4"/>
      <c r="J134" s="4"/>
      <c r="K134" s="4"/>
      <c r="L134" s="4"/>
      <c r="M134" s="4"/>
      <c r="N134" s="4"/>
    </row>
    <row r="135" spans="7:14" ht="12.75">
      <c r="G135" s="4"/>
      <c r="H135" s="4"/>
      <c r="I135" s="4"/>
      <c r="J135" s="4"/>
      <c r="K135" s="4"/>
      <c r="L135" s="4"/>
      <c r="M135" s="4"/>
      <c r="N135" s="4"/>
    </row>
    <row r="136" spans="7:14" ht="12.75">
      <c r="G136" s="4"/>
      <c r="H136" s="4"/>
      <c r="I136" s="4"/>
      <c r="J136" s="4"/>
      <c r="K136" s="4"/>
      <c r="L136" s="4"/>
      <c r="M136" s="4"/>
      <c r="N136" s="4"/>
    </row>
    <row r="137" spans="7:14" ht="12.75">
      <c r="G137" s="4"/>
      <c r="H137" s="4" t="s">
        <v>137</v>
      </c>
      <c r="I137" s="4"/>
      <c r="J137" s="4"/>
      <c r="K137" s="4"/>
      <c r="L137" s="4"/>
      <c r="M137" s="4"/>
      <c r="N137" s="4"/>
    </row>
    <row r="138" spans="7:14" ht="12.75">
      <c r="G138" s="4"/>
      <c r="H138" s="4" t="s">
        <v>138</v>
      </c>
      <c r="I138" s="4"/>
      <c r="J138" s="4"/>
      <c r="K138" s="4"/>
      <c r="L138" s="4"/>
      <c r="M138" s="4"/>
      <c r="N138" s="4"/>
    </row>
    <row r="139" spans="7:14" ht="12.75">
      <c r="G139" s="4"/>
      <c r="H139" s="4"/>
      <c r="I139" s="4"/>
      <c r="J139" s="4"/>
      <c r="K139" s="4"/>
      <c r="L139" s="4"/>
      <c r="M139" s="4"/>
      <c r="N139" s="4"/>
    </row>
    <row r="140" spans="7:14" ht="12.75">
      <c r="G140" s="4"/>
      <c r="H140" s="4"/>
      <c r="I140" s="4"/>
      <c r="J140" s="4"/>
      <c r="K140" s="4"/>
      <c r="L140" s="4"/>
      <c r="M140" s="4"/>
      <c r="N140" s="4"/>
    </row>
    <row r="141" spans="7:14" ht="12.75">
      <c r="G141" s="4"/>
      <c r="H141" s="4"/>
      <c r="I141" s="4"/>
      <c r="J141" s="4"/>
      <c r="K141" s="4"/>
      <c r="L141" s="4"/>
      <c r="M141" s="4"/>
      <c r="N141" s="4"/>
    </row>
    <row r="142" spans="7:14" ht="12.75">
      <c r="G142" s="4"/>
      <c r="H142" s="4"/>
      <c r="I142" s="4"/>
      <c r="J142" s="4"/>
      <c r="K142" s="4"/>
      <c r="L142" s="4"/>
      <c r="M142" s="4"/>
      <c r="N142" s="4"/>
    </row>
    <row r="143" spans="7:14" ht="12.75">
      <c r="G143" s="4"/>
      <c r="H143" s="4"/>
      <c r="I143" s="4"/>
      <c r="J143" s="4"/>
      <c r="K143" s="4"/>
      <c r="L143" s="4"/>
      <c r="M143" s="4"/>
      <c r="N143" s="4"/>
    </row>
    <row r="144" spans="7:14" ht="12.75">
      <c r="G144" s="4"/>
      <c r="H144" s="4"/>
      <c r="I144" s="4"/>
      <c r="J144" s="4"/>
      <c r="K144" s="4"/>
      <c r="L144" s="4"/>
      <c r="M144" s="4"/>
      <c r="N144" s="4"/>
    </row>
    <row r="145" spans="7:14" ht="12.75">
      <c r="G145" s="4"/>
      <c r="H145" s="4"/>
      <c r="I145" s="4"/>
      <c r="J145" s="4"/>
      <c r="K145" s="4"/>
      <c r="L145" s="4"/>
      <c r="M145" s="4"/>
      <c r="N145" s="4"/>
    </row>
    <row r="146" spans="7:14" ht="12.75">
      <c r="G146" s="4"/>
      <c r="H146" s="4"/>
      <c r="I146" s="4"/>
      <c r="J146" s="4"/>
      <c r="K146" s="4"/>
      <c r="L146" s="4"/>
      <c r="M146" s="4"/>
      <c r="N146" s="4"/>
    </row>
    <row r="147" spans="7:14" ht="12.75">
      <c r="G147" s="4"/>
      <c r="H147" s="4"/>
      <c r="I147" s="4"/>
      <c r="J147" s="4"/>
      <c r="K147" s="4"/>
      <c r="L147" s="4"/>
      <c r="M147" s="4"/>
      <c r="N147" s="4"/>
    </row>
    <row r="148" spans="7:14" ht="12.75">
      <c r="G148" s="4"/>
      <c r="H148" s="4"/>
      <c r="I148" s="4"/>
      <c r="J148" s="4"/>
      <c r="K148" s="4"/>
      <c r="L148" s="4"/>
      <c r="M148" s="4"/>
      <c r="N148" s="4"/>
    </row>
    <row r="149" spans="7:14" ht="12.75">
      <c r="G149" s="4"/>
      <c r="H149" s="4"/>
      <c r="I149" s="4"/>
      <c r="J149" s="4"/>
      <c r="K149" s="4"/>
      <c r="L149" s="4"/>
      <c r="M149" s="4"/>
      <c r="N149" s="4"/>
    </row>
    <row r="150" spans="7:14" ht="12.75">
      <c r="G150" s="4"/>
      <c r="H150" s="4"/>
      <c r="I150" s="4"/>
      <c r="J150" s="4"/>
      <c r="K150" s="4"/>
      <c r="L150" s="4"/>
      <c r="M150" s="4"/>
      <c r="N150" s="4"/>
    </row>
    <row r="151" spans="7:14" ht="12.75">
      <c r="G151" s="4"/>
      <c r="H151" s="4"/>
      <c r="I151" s="4"/>
      <c r="J151" s="4"/>
      <c r="K151" s="4"/>
      <c r="L151" s="4"/>
      <c r="M151" s="4"/>
      <c r="N151" s="4"/>
    </row>
    <row r="152" spans="7:14" ht="12.75">
      <c r="G152" s="4"/>
      <c r="H152" s="4"/>
      <c r="I152" s="4"/>
      <c r="J152" s="4"/>
      <c r="K152" s="4"/>
      <c r="L152" s="4"/>
      <c r="M152" s="4"/>
      <c r="N152" s="4"/>
    </row>
    <row r="153" spans="7:14" ht="12.75">
      <c r="G153" s="4"/>
      <c r="H153" s="4"/>
      <c r="I153" s="4"/>
      <c r="J153" s="4"/>
      <c r="K153" s="4"/>
      <c r="L153" s="4"/>
      <c r="M153" s="4"/>
      <c r="N153" s="4"/>
    </row>
    <row r="154" spans="7:14" ht="12.75">
      <c r="G154" s="4"/>
      <c r="H154" s="4"/>
      <c r="I154" s="4"/>
      <c r="J154" s="4"/>
      <c r="K154" s="4"/>
      <c r="L154" s="4"/>
      <c r="M154" s="4"/>
      <c r="N154" s="4"/>
    </row>
    <row r="155" spans="7:14" ht="12.75">
      <c r="G155" s="4"/>
      <c r="H155" s="4"/>
      <c r="I155" s="4"/>
      <c r="J155" s="4"/>
      <c r="K155" s="4"/>
      <c r="L155" s="4"/>
      <c r="M155" s="4"/>
      <c r="N155" s="4"/>
    </row>
    <row r="156" spans="7:14" ht="12.75">
      <c r="G156" s="4"/>
      <c r="H156" s="4"/>
      <c r="I156" s="4"/>
      <c r="J156" s="4"/>
      <c r="K156" s="4"/>
      <c r="L156" s="4"/>
      <c r="M156" s="4"/>
      <c r="N156" s="4"/>
    </row>
    <row r="157" spans="7:14" ht="12.75">
      <c r="G157" s="4"/>
      <c r="H157" s="4"/>
      <c r="I157" s="4"/>
      <c r="J157" s="4"/>
      <c r="K157" s="4"/>
      <c r="L157" s="4"/>
      <c r="M157" s="4"/>
      <c r="N157" s="4"/>
    </row>
    <row r="158" spans="7:14" ht="12.75">
      <c r="G158" s="4"/>
      <c r="H158" s="4"/>
      <c r="I158" s="4"/>
      <c r="J158" s="4"/>
      <c r="K158" s="4"/>
      <c r="L158" s="4"/>
      <c r="M158" s="4"/>
      <c r="N158" s="4"/>
    </row>
    <row r="159" spans="7:14" ht="12.75">
      <c r="G159" s="4"/>
      <c r="H159" s="4"/>
      <c r="I159" s="4"/>
      <c r="J159" s="4"/>
      <c r="K159" s="4"/>
      <c r="L159" s="4"/>
      <c r="M159" s="4"/>
      <c r="N159" s="4"/>
    </row>
    <row r="160" spans="7:14" ht="12.75">
      <c r="G160" s="4"/>
      <c r="H160" s="4"/>
      <c r="I160" s="4"/>
      <c r="J160" s="4"/>
      <c r="K160" s="4"/>
      <c r="L160" s="4"/>
      <c r="M160" s="4"/>
      <c r="N160" s="4"/>
    </row>
    <row r="161" spans="7:14" ht="12.75">
      <c r="G161" s="4"/>
      <c r="H161" s="4"/>
      <c r="I161" s="4"/>
      <c r="J161" s="4"/>
      <c r="K161" s="4"/>
      <c r="L161" s="4"/>
      <c r="M161" s="4"/>
      <c r="N161" s="4"/>
    </row>
    <row r="162" spans="7:14" ht="12.75">
      <c r="G162" s="4"/>
      <c r="H162" s="4"/>
      <c r="I162" s="4"/>
      <c r="J162" s="4"/>
      <c r="K162" s="4"/>
      <c r="L162" s="4"/>
      <c r="M162" s="4"/>
      <c r="N162" s="4"/>
    </row>
    <row r="163" spans="7:14" ht="12.75">
      <c r="G163" s="4"/>
      <c r="H163" s="4"/>
      <c r="I163" s="4"/>
      <c r="J163" s="4"/>
      <c r="K163" s="4"/>
      <c r="L163" s="4"/>
      <c r="M163" s="4"/>
      <c r="N163" s="4"/>
    </row>
    <row r="164" spans="7:14" ht="12.75">
      <c r="G164" s="4"/>
      <c r="H164" s="4"/>
      <c r="I164" s="4"/>
      <c r="J164" s="4"/>
      <c r="K164" s="4"/>
      <c r="L164" s="4"/>
      <c r="M164" s="4"/>
      <c r="N164" s="4"/>
    </row>
    <row r="165" spans="7:14" ht="12.75">
      <c r="G165" s="4"/>
      <c r="H165" s="4"/>
      <c r="I165" s="4"/>
      <c r="J165" s="4"/>
      <c r="K165" s="4"/>
      <c r="L165" s="4"/>
      <c r="M165" s="4"/>
      <c r="N165" s="4"/>
    </row>
    <row r="166" spans="7:14" ht="12.75">
      <c r="G166" s="4"/>
      <c r="H166" s="4"/>
      <c r="I166" s="4"/>
      <c r="J166" s="4"/>
      <c r="K166" s="4"/>
      <c r="L166" s="4"/>
      <c r="M166" s="4"/>
      <c r="N166" s="4"/>
    </row>
    <row r="167" spans="7:14" ht="12.75">
      <c r="G167" s="4"/>
      <c r="H167" s="4"/>
      <c r="I167" s="4"/>
      <c r="J167" s="4"/>
      <c r="K167" s="4"/>
      <c r="L167" s="4"/>
      <c r="M167" s="4"/>
      <c r="N167" s="4"/>
    </row>
    <row r="168" spans="7:14" ht="12.75">
      <c r="G168" s="4"/>
      <c r="H168" s="4"/>
      <c r="I168" s="4"/>
      <c r="J168" s="4"/>
      <c r="K168" s="4"/>
      <c r="L168" s="4"/>
      <c r="M168" s="4"/>
      <c r="N168" s="4"/>
    </row>
    <row r="169" spans="7:14" ht="12.75">
      <c r="G169" s="4"/>
      <c r="H169" s="4"/>
      <c r="I169" s="4"/>
      <c r="J169" s="4"/>
      <c r="K169" s="4"/>
      <c r="L169" s="4"/>
      <c r="M169" s="4"/>
      <c r="N169" s="4"/>
    </row>
    <row r="170" spans="7:14" ht="12.75">
      <c r="G170" s="4"/>
      <c r="H170" s="4"/>
      <c r="I170" s="4"/>
      <c r="J170" s="4"/>
      <c r="K170" s="4"/>
      <c r="L170" s="4"/>
      <c r="M170" s="4"/>
      <c r="N170" s="4"/>
    </row>
    <row r="171" spans="7:14" ht="12.75">
      <c r="G171" s="4"/>
      <c r="H171" s="4"/>
      <c r="I171" s="4"/>
      <c r="J171" s="4"/>
      <c r="K171" s="4"/>
      <c r="L171" s="4"/>
      <c r="M171" s="4"/>
      <c r="N171" s="4"/>
    </row>
    <row r="172" spans="7:14" ht="12.75">
      <c r="G172" s="4"/>
      <c r="H172" s="4"/>
      <c r="I172" s="4"/>
      <c r="J172" s="4"/>
      <c r="K172" s="4"/>
      <c r="L172" s="4"/>
      <c r="M172" s="4"/>
      <c r="N172" s="4"/>
    </row>
    <row r="173" spans="7:14" ht="12.75">
      <c r="G173" s="4"/>
      <c r="H173" s="4"/>
      <c r="I173" s="4"/>
      <c r="J173" s="4"/>
      <c r="K173" s="4"/>
      <c r="L173" s="4"/>
      <c r="M173" s="4"/>
      <c r="N173" s="4"/>
    </row>
    <row r="174" spans="7:14" ht="12.75">
      <c r="G174" s="4"/>
      <c r="H174" s="4"/>
      <c r="I174" s="4"/>
      <c r="J174" s="4"/>
      <c r="K174" s="4"/>
      <c r="L174" s="4"/>
      <c r="M174" s="4"/>
      <c r="N174" s="4"/>
    </row>
    <row r="175" spans="7:14" ht="12.75">
      <c r="G175" s="4"/>
      <c r="H175" s="4"/>
      <c r="I175" s="4"/>
      <c r="J175" s="4"/>
      <c r="K175" s="4"/>
      <c r="L175" s="4"/>
      <c r="M175" s="4"/>
      <c r="N175" s="4"/>
    </row>
    <row r="176" spans="7:14" ht="12.75">
      <c r="G176" s="4"/>
      <c r="H176" s="4"/>
      <c r="I176" s="4"/>
      <c r="J176" s="4"/>
      <c r="K176" s="4"/>
      <c r="L176" s="4"/>
      <c r="M176" s="4"/>
      <c r="N176" s="4"/>
    </row>
    <row r="177" spans="7:14" ht="12.75">
      <c r="G177" s="4"/>
      <c r="H177" s="4"/>
      <c r="I177" s="4"/>
      <c r="J177" s="4"/>
      <c r="K177" s="4"/>
      <c r="L177" s="4"/>
      <c r="M177" s="4"/>
      <c r="N177" s="4"/>
    </row>
    <row r="178" spans="7:14" ht="12.75">
      <c r="G178" s="4"/>
      <c r="H178" s="4"/>
      <c r="I178" s="4"/>
      <c r="J178" s="4"/>
      <c r="K178" s="4"/>
      <c r="L178" s="4"/>
      <c r="M178" s="4"/>
      <c r="N178" s="4"/>
    </row>
    <row r="179" spans="7:14" ht="12.75">
      <c r="G179" s="4"/>
      <c r="H179" s="4"/>
      <c r="I179" s="4"/>
      <c r="J179" s="4"/>
      <c r="K179" s="4"/>
      <c r="L179" s="4"/>
      <c r="M179" s="4"/>
      <c r="N179" s="4"/>
    </row>
    <row r="180" spans="7:14" ht="12.75">
      <c r="G180" s="4"/>
      <c r="H180" s="4"/>
      <c r="I180" s="4"/>
      <c r="J180" s="4"/>
      <c r="K180" s="4"/>
      <c r="L180" s="4"/>
      <c r="M180" s="4"/>
      <c r="N180" s="4"/>
    </row>
    <row r="181" spans="7:14" ht="12.75">
      <c r="G181" s="4"/>
      <c r="H181" s="4"/>
      <c r="I181" s="4"/>
      <c r="J181" s="4"/>
      <c r="K181" s="4"/>
      <c r="L181" s="4"/>
      <c r="M181" s="4"/>
      <c r="N181" s="4"/>
    </row>
    <row r="182" spans="7:14" ht="12.75">
      <c r="G182" s="4"/>
      <c r="H182" s="4"/>
      <c r="I182" s="4"/>
      <c r="J182" s="4"/>
      <c r="K182" s="4"/>
      <c r="L182" s="4"/>
      <c r="M182" s="4"/>
      <c r="N182" s="4"/>
    </row>
    <row r="183" spans="7:14" ht="12.75">
      <c r="G183" s="4"/>
      <c r="H183" s="4"/>
      <c r="I183" s="4"/>
      <c r="J183" s="4"/>
      <c r="K183" s="4"/>
      <c r="L183" s="4"/>
      <c r="M183" s="4"/>
      <c r="N183" s="4"/>
    </row>
    <row r="184" spans="7:14" ht="12.75">
      <c r="G184" s="4"/>
      <c r="H184" s="4"/>
      <c r="I184" s="4"/>
      <c r="J184" s="4"/>
      <c r="K184" s="4"/>
      <c r="L184" s="4"/>
      <c r="M184" s="4"/>
      <c r="N184" s="4"/>
    </row>
    <row r="185" spans="7:14" ht="12.75">
      <c r="G185" s="4"/>
      <c r="H185" s="4"/>
      <c r="I185" s="4"/>
      <c r="J185" s="4"/>
      <c r="K185" s="4"/>
      <c r="L185" s="4"/>
      <c r="M185" s="4"/>
      <c r="N185" s="4"/>
    </row>
    <row r="186" spans="7:14" ht="12.75">
      <c r="G186" s="4"/>
      <c r="H186" s="4"/>
      <c r="I186" s="4"/>
      <c r="J186" s="4"/>
      <c r="K186" s="4"/>
      <c r="L186" s="4"/>
      <c r="M186" s="4"/>
      <c r="N186" s="4"/>
    </row>
    <row r="187" spans="7:14" ht="12.75">
      <c r="G187" s="4"/>
      <c r="H187" s="4"/>
      <c r="I187" s="4"/>
      <c r="J187" s="4"/>
      <c r="K187" s="4"/>
      <c r="L187" s="4"/>
      <c r="M187" s="4"/>
      <c r="N187" s="4"/>
    </row>
    <row r="188" spans="7:14" ht="12.75">
      <c r="G188" s="4"/>
      <c r="H188" s="4"/>
      <c r="I188" s="4"/>
      <c r="J188" s="4"/>
      <c r="K188" s="4"/>
      <c r="L188" s="4"/>
      <c r="M188" s="4"/>
      <c r="N188" s="4"/>
    </row>
    <row r="189" spans="7:14" ht="12.75">
      <c r="G189" s="4"/>
      <c r="H189" s="4"/>
      <c r="I189" s="4"/>
      <c r="J189" s="4"/>
      <c r="K189" s="4"/>
      <c r="L189" s="4"/>
      <c r="M189" s="4"/>
      <c r="N189" s="4"/>
    </row>
    <row r="190" spans="7:14" ht="12.75">
      <c r="G190" s="4"/>
      <c r="H190" s="4"/>
      <c r="I190" s="4"/>
      <c r="J190" s="4"/>
      <c r="K190" s="4"/>
      <c r="L190" s="4"/>
      <c r="M190" s="4"/>
      <c r="N190" s="4"/>
    </row>
    <row r="191" spans="7:14" ht="12.75">
      <c r="G191" s="4"/>
      <c r="H191" s="4"/>
      <c r="I191" s="4"/>
      <c r="J191" s="4"/>
      <c r="K191" s="4"/>
      <c r="L191" s="4"/>
      <c r="M191" s="4"/>
      <c r="N191" s="4"/>
    </row>
    <row r="192" spans="7:14" ht="12.75">
      <c r="G192" s="4"/>
      <c r="H192" s="4"/>
      <c r="I192" s="4"/>
      <c r="J192" s="4"/>
      <c r="K192" s="4"/>
      <c r="L192" s="4"/>
      <c r="M192" s="4"/>
      <c r="N192" s="4"/>
    </row>
    <row r="193" spans="7:14" ht="12.75">
      <c r="G193" s="4"/>
      <c r="H193" s="4"/>
      <c r="I193" s="4"/>
      <c r="J193" s="4"/>
      <c r="K193" s="4"/>
      <c r="L193" s="4"/>
      <c r="M193" s="4"/>
      <c r="N193" s="4"/>
    </row>
    <row r="194" spans="7:14" ht="12.75">
      <c r="G194" s="4"/>
      <c r="H194" s="4"/>
      <c r="I194" s="4"/>
      <c r="J194" s="4"/>
      <c r="K194" s="4"/>
      <c r="L194" s="4"/>
      <c r="M194" s="4"/>
      <c r="N194" s="4"/>
    </row>
    <row r="195" spans="7:14" ht="12.75">
      <c r="G195" s="4"/>
      <c r="H195" s="4"/>
      <c r="I195" s="4"/>
      <c r="J195" s="4"/>
      <c r="K195" s="4"/>
      <c r="L195" s="4"/>
      <c r="M195" s="4"/>
      <c r="N195" s="4"/>
    </row>
    <row r="196" spans="7:14" ht="12.75">
      <c r="G196" s="4"/>
      <c r="H196" s="4"/>
      <c r="I196" s="4"/>
      <c r="J196" s="4"/>
      <c r="K196" s="4"/>
      <c r="L196" s="4"/>
      <c r="M196" s="4"/>
      <c r="N196" s="4"/>
    </row>
    <row r="197" spans="7:14" ht="12.75">
      <c r="G197" s="4"/>
      <c r="H197" s="4"/>
      <c r="I197" s="4"/>
      <c r="J197" s="4"/>
      <c r="K197" s="4"/>
      <c r="L197" s="4"/>
      <c r="M197" s="4"/>
      <c r="N197" s="4"/>
    </row>
    <row r="198" spans="7:14" ht="12.75">
      <c r="G198" s="4"/>
      <c r="H198" s="4"/>
      <c r="I198" s="4"/>
      <c r="J198" s="4"/>
      <c r="K198" s="4"/>
      <c r="L198" s="4"/>
      <c r="M198" s="4"/>
      <c r="N198" s="4"/>
    </row>
    <row r="199" spans="7:14" ht="12.75">
      <c r="G199" s="4"/>
      <c r="H199" s="4"/>
      <c r="I199" s="4"/>
      <c r="J199" s="4"/>
      <c r="K199" s="4"/>
      <c r="L199" s="4"/>
      <c r="M199" s="4"/>
      <c r="N199" s="4"/>
    </row>
    <row r="200" spans="7:14" ht="12.75">
      <c r="G200" s="4"/>
      <c r="H200" s="4"/>
      <c r="I200" s="4"/>
      <c r="J200" s="4"/>
      <c r="K200" s="4"/>
      <c r="L200" s="4"/>
      <c r="M200" s="4"/>
      <c r="N200" s="4"/>
    </row>
    <row r="201" spans="1:14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</sheetData>
  <mergeCells count="1">
    <mergeCell ref="H116:N116"/>
  </mergeCells>
  <printOptions/>
  <pageMargins left="0.75" right="0.45" top="1" bottom="0.61" header="0.5" footer="0.16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"/>
  <dimension ref="A1:AU125"/>
  <sheetViews>
    <sheetView showGridLines="0" showZeros="0" workbookViewId="0" topLeftCell="A1">
      <selection activeCell="A15" sqref="A15"/>
    </sheetView>
  </sheetViews>
  <sheetFormatPr defaultColWidth="9.140625" defaultRowHeight="12.75"/>
  <cols>
    <col min="1" max="1" width="58.57421875" style="458" customWidth="1"/>
    <col min="2" max="2" width="9.8515625" style="458" customWidth="1"/>
    <col min="3" max="3" width="11.00390625" style="458" customWidth="1"/>
    <col min="4" max="4" width="10.421875" style="458" customWidth="1"/>
    <col min="5" max="5" width="10.7109375" style="458" customWidth="1"/>
    <col min="6" max="16384" width="8.00390625" style="458" customWidth="1"/>
  </cols>
  <sheetData>
    <row r="1" spans="1:5" ht="12.75">
      <c r="A1" s="456" t="s">
        <v>182</v>
      </c>
      <c r="B1" s="456"/>
      <c r="C1" s="456"/>
      <c r="D1" s="456"/>
      <c r="E1" s="457" t="s">
        <v>606</v>
      </c>
    </row>
    <row r="2" spans="1:5" ht="12.75">
      <c r="A2" s="459"/>
      <c r="B2" s="459"/>
      <c r="C2" s="459"/>
      <c r="D2" s="459"/>
      <c r="E2" s="459"/>
    </row>
    <row r="3" spans="1:5" ht="18">
      <c r="A3" s="460" t="s">
        <v>607</v>
      </c>
      <c r="B3" s="461"/>
      <c r="C3" s="456"/>
      <c r="D3" s="456"/>
      <c r="E3" s="456"/>
    </row>
    <row r="4" spans="1:5" ht="18">
      <c r="A4" s="460" t="s">
        <v>608</v>
      </c>
      <c r="B4" s="461"/>
      <c r="C4" s="456"/>
      <c r="D4" s="456"/>
      <c r="E4" s="456"/>
    </row>
    <row r="5" spans="1:5" ht="18">
      <c r="A5" s="462"/>
      <c r="B5" s="462"/>
      <c r="C5" s="463"/>
      <c r="D5" s="464"/>
      <c r="E5" s="464" t="s">
        <v>100</v>
      </c>
    </row>
    <row r="6" spans="1:5" ht="35.25" customHeight="1">
      <c r="A6" s="453" t="s">
        <v>101</v>
      </c>
      <c r="B6" s="454" t="s">
        <v>609</v>
      </c>
      <c r="C6" s="454" t="s">
        <v>104</v>
      </c>
      <c r="D6" s="454" t="s">
        <v>186</v>
      </c>
      <c r="E6" s="455" t="s">
        <v>357</v>
      </c>
    </row>
    <row r="7" spans="1:5" s="468" customFormat="1" ht="12.75" customHeight="1">
      <c r="A7" s="465">
        <v>1</v>
      </c>
      <c r="B7" s="466">
        <v>2</v>
      </c>
      <c r="C7" s="466">
        <v>3</v>
      </c>
      <c r="D7" s="466">
        <v>4</v>
      </c>
      <c r="E7" s="467">
        <v>5</v>
      </c>
    </row>
    <row r="8" spans="1:5" ht="16.5" customHeight="1">
      <c r="A8" s="469" t="s">
        <v>610</v>
      </c>
      <c r="B8" s="470">
        <f>B16+B20</f>
        <v>427159</v>
      </c>
      <c r="C8" s="470">
        <f>C16+C20</f>
        <v>402526</v>
      </c>
      <c r="D8" s="471">
        <f aca="true" t="shared" si="0" ref="D8:D50">C8/B8*100</f>
        <v>94.23329486210052</v>
      </c>
      <c r="E8" s="472">
        <f>E16+E20</f>
        <v>41901</v>
      </c>
    </row>
    <row r="9" spans="1:5" ht="12">
      <c r="A9" s="479" t="s">
        <v>611</v>
      </c>
      <c r="B9" s="470">
        <f>SUM(B10:B13)</f>
        <v>407244</v>
      </c>
      <c r="C9" s="470">
        <f>SUM(C10:C13)</f>
        <v>382618</v>
      </c>
      <c r="D9" s="471">
        <f t="shared" si="0"/>
        <v>93.95301097130958</v>
      </c>
      <c r="E9" s="472">
        <f>SUM(E10:E13)</f>
        <v>39738</v>
      </c>
    </row>
    <row r="10" spans="1:5" ht="12">
      <c r="A10" s="479" t="s">
        <v>612</v>
      </c>
      <c r="B10" s="470">
        <v>224211</v>
      </c>
      <c r="C10" s="470">
        <v>210310</v>
      </c>
      <c r="D10" s="471">
        <f t="shared" si="0"/>
        <v>93.80003657269269</v>
      </c>
      <c r="E10" s="472">
        <v>21812</v>
      </c>
    </row>
    <row r="11" spans="1:5" ht="12">
      <c r="A11" s="479" t="s">
        <v>613</v>
      </c>
      <c r="B11" s="470">
        <v>17991</v>
      </c>
      <c r="C11" s="470">
        <v>16447</v>
      </c>
      <c r="D11" s="471">
        <f t="shared" si="0"/>
        <v>91.41793118781612</v>
      </c>
      <c r="E11" s="472">
        <v>1506</v>
      </c>
    </row>
    <row r="12" spans="1:5" ht="12">
      <c r="A12" s="479" t="s">
        <v>614</v>
      </c>
      <c r="B12" s="470">
        <v>25388</v>
      </c>
      <c r="C12" s="470">
        <v>23701</v>
      </c>
      <c r="D12" s="471">
        <f t="shared" si="0"/>
        <v>93.35512840712148</v>
      </c>
      <c r="E12" s="472">
        <v>3056</v>
      </c>
    </row>
    <row r="13" spans="1:5" ht="12">
      <c r="A13" s="479" t="s">
        <v>615</v>
      </c>
      <c r="B13" s="470">
        <v>139654</v>
      </c>
      <c r="C13" s="470">
        <v>132160</v>
      </c>
      <c r="D13" s="471">
        <f t="shared" si="0"/>
        <v>94.63388087702465</v>
      </c>
      <c r="E13" s="472">
        <v>13364</v>
      </c>
    </row>
    <row r="14" spans="1:5" ht="12">
      <c r="A14" s="480" t="s">
        <v>616</v>
      </c>
      <c r="B14" s="470">
        <v>8344</v>
      </c>
      <c r="C14" s="470">
        <v>7620</v>
      </c>
      <c r="D14" s="471">
        <f t="shared" si="0"/>
        <v>91.32310642377757</v>
      </c>
      <c r="E14" s="472">
        <v>949</v>
      </c>
    </row>
    <row r="15" spans="1:5" ht="22.5">
      <c r="A15" s="480" t="s">
        <v>617</v>
      </c>
      <c r="B15" s="470">
        <v>24575</v>
      </c>
      <c r="C15" s="470">
        <v>22500</v>
      </c>
      <c r="D15" s="471">
        <f t="shared" si="0"/>
        <v>91.55645981688708</v>
      </c>
      <c r="E15" s="472">
        <v>2074</v>
      </c>
    </row>
    <row r="16" spans="1:5" ht="16.5" customHeight="1">
      <c r="A16" s="469" t="s">
        <v>618</v>
      </c>
      <c r="B16" s="470">
        <f>B9-B14-B15</f>
        <v>374325</v>
      </c>
      <c r="C16" s="470">
        <f>C9-C14-C15</f>
        <v>352498</v>
      </c>
      <c r="D16" s="471">
        <f t="shared" si="0"/>
        <v>94.16897081413211</v>
      </c>
      <c r="E16" s="472">
        <f>E9-E14-E15</f>
        <v>36715</v>
      </c>
    </row>
    <row r="17" spans="1:5" ht="12">
      <c r="A17" s="479" t="s">
        <v>619</v>
      </c>
      <c r="B17" s="470">
        <f>SUM(B18:B19)</f>
        <v>52834</v>
      </c>
      <c r="C17" s="470">
        <f>SUM(C18:C19)</f>
        <v>50028</v>
      </c>
      <c r="D17" s="471">
        <f t="shared" si="0"/>
        <v>94.68902600598099</v>
      </c>
      <c r="E17" s="472">
        <f>SUM(E18:E19)</f>
        <v>5186</v>
      </c>
    </row>
    <row r="18" spans="1:5" ht="12">
      <c r="A18" s="479" t="s">
        <v>620</v>
      </c>
      <c r="B18" s="470">
        <v>47957</v>
      </c>
      <c r="C18" s="470">
        <v>44151</v>
      </c>
      <c r="D18" s="471">
        <f t="shared" si="0"/>
        <v>92.0637237525283</v>
      </c>
      <c r="E18" s="472">
        <v>4109</v>
      </c>
    </row>
    <row r="19" spans="1:5" ht="12">
      <c r="A19" s="479" t="s">
        <v>621</v>
      </c>
      <c r="B19" s="470">
        <v>4877</v>
      </c>
      <c r="C19" s="470">
        <v>5877</v>
      </c>
      <c r="D19" s="471">
        <f t="shared" si="0"/>
        <v>120.50440844781629</v>
      </c>
      <c r="E19" s="472">
        <v>1077</v>
      </c>
    </row>
    <row r="20" spans="1:5" ht="16.5" customHeight="1">
      <c r="A20" s="469" t="s">
        <v>622</v>
      </c>
      <c r="B20" s="470">
        <v>52834</v>
      </c>
      <c r="C20" s="470">
        <v>50028</v>
      </c>
      <c r="D20" s="471">
        <f t="shared" si="0"/>
        <v>94.68902600598099</v>
      </c>
      <c r="E20" s="472">
        <v>5186</v>
      </c>
    </row>
    <row r="21" spans="1:5" ht="28.5" customHeight="1">
      <c r="A21" s="469" t="s">
        <v>623</v>
      </c>
      <c r="B21" s="470">
        <f>SUM(B22:B24)</f>
        <v>431984</v>
      </c>
      <c r="C21" s="470">
        <f>SUM(C22:C24)</f>
        <v>405544</v>
      </c>
      <c r="D21" s="471">
        <f t="shared" si="0"/>
        <v>93.87940294084967</v>
      </c>
      <c r="E21" s="472">
        <f>SUM(E22:E24)</f>
        <v>39588</v>
      </c>
    </row>
    <row r="22" spans="1:5" ht="21" customHeight="1">
      <c r="A22" s="481" t="s">
        <v>624</v>
      </c>
      <c r="B22" s="470">
        <f aca="true" t="shared" si="1" ref="B22:C24">B34+B43</f>
        <v>375317</v>
      </c>
      <c r="C22" s="470">
        <f t="shared" si="1"/>
        <v>324912</v>
      </c>
      <c r="D22" s="471">
        <f t="shared" si="0"/>
        <v>86.5700194768689</v>
      </c>
      <c r="E22" s="472">
        <f>E34+E43</f>
        <v>31773</v>
      </c>
    </row>
    <row r="23" spans="1:5" ht="21" customHeight="1">
      <c r="A23" s="481" t="s">
        <v>625</v>
      </c>
      <c r="B23" s="470">
        <f t="shared" si="1"/>
        <v>37201</v>
      </c>
      <c r="C23" s="470">
        <f t="shared" si="1"/>
        <v>34848</v>
      </c>
      <c r="D23" s="471">
        <f t="shared" si="0"/>
        <v>93.67490121233301</v>
      </c>
      <c r="E23" s="472">
        <f>E35+E44</f>
        <v>3188</v>
      </c>
    </row>
    <row r="24" spans="1:5" ht="21" customHeight="1">
      <c r="A24" s="481" t="s">
        <v>626</v>
      </c>
      <c r="B24" s="470">
        <f t="shared" si="1"/>
        <v>19466</v>
      </c>
      <c r="C24" s="470">
        <f t="shared" si="1"/>
        <v>45784</v>
      </c>
      <c r="D24" s="471">
        <f t="shared" si="0"/>
        <v>235.19983561080858</v>
      </c>
      <c r="E24" s="472">
        <f>E36+E45</f>
        <v>4627</v>
      </c>
    </row>
    <row r="25" spans="1:5" ht="28.5" customHeight="1">
      <c r="A25" s="469" t="s">
        <v>627</v>
      </c>
      <c r="B25" s="470">
        <f>B8-B21</f>
        <v>-4825</v>
      </c>
      <c r="C25" s="470">
        <f>C8-C21</f>
        <v>-3018</v>
      </c>
      <c r="D25" s="471">
        <f t="shared" si="0"/>
        <v>62.54922279792746</v>
      </c>
      <c r="E25" s="472">
        <f>E8-E21</f>
        <v>2313</v>
      </c>
    </row>
    <row r="26" spans="1:5" ht="16.5" customHeight="1">
      <c r="A26" s="469" t="s">
        <v>628</v>
      </c>
      <c r="B26" s="470">
        <f>B38+B47</f>
        <v>-2824</v>
      </c>
      <c r="C26" s="470">
        <f>C38+C47</f>
        <v>-1148</v>
      </c>
      <c r="D26" s="471">
        <f t="shared" si="0"/>
        <v>40.65155807365439</v>
      </c>
      <c r="E26" s="472">
        <f>E38+E47</f>
        <v>274</v>
      </c>
    </row>
    <row r="27" spans="1:5" ht="28.5" customHeight="1">
      <c r="A27" s="469" t="s">
        <v>629</v>
      </c>
      <c r="B27" s="470">
        <f>B21+B26</f>
        <v>429160</v>
      </c>
      <c r="C27" s="470">
        <f>C21+C26</f>
        <v>404396</v>
      </c>
      <c r="D27" s="471">
        <f t="shared" si="0"/>
        <v>94.22965793643397</v>
      </c>
      <c r="E27" s="472">
        <f>E21+E26</f>
        <v>39862</v>
      </c>
    </row>
    <row r="28" spans="1:5" ht="28.5" customHeight="1">
      <c r="A28" s="469" t="s">
        <v>630</v>
      </c>
      <c r="B28" s="470">
        <f>B25-B26</f>
        <v>-2001</v>
      </c>
      <c r="C28" s="470">
        <f>C25-C26</f>
        <v>-1870</v>
      </c>
      <c r="D28" s="471">
        <f t="shared" si="0"/>
        <v>93.45327336331835</v>
      </c>
      <c r="E28" s="472">
        <f>E25-E26</f>
        <v>2039</v>
      </c>
    </row>
    <row r="29" spans="1:5" ht="16.5" customHeight="1">
      <c r="A29" s="469" t="s">
        <v>631</v>
      </c>
      <c r="B29" s="470">
        <v>406064</v>
      </c>
      <c r="C29" s="470">
        <v>391544</v>
      </c>
      <c r="D29" s="471">
        <f t="shared" si="0"/>
        <v>96.42420899168604</v>
      </c>
      <c r="E29" s="472">
        <v>39025</v>
      </c>
    </row>
    <row r="30" spans="1:5" ht="12">
      <c r="A30" s="480" t="s">
        <v>632</v>
      </c>
      <c r="B30" s="470">
        <v>32919</v>
      </c>
      <c r="C30" s="470">
        <v>30120</v>
      </c>
      <c r="D30" s="471">
        <f t="shared" si="0"/>
        <v>91.4973115829764</v>
      </c>
      <c r="E30" s="472">
        <v>3023</v>
      </c>
    </row>
    <row r="31" spans="1:5" ht="16.5" customHeight="1">
      <c r="A31" s="469" t="s">
        <v>633</v>
      </c>
      <c r="B31" s="470">
        <f>B29-B30</f>
        <v>373145</v>
      </c>
      <c r="C31" s="470">
        <f>C29-C30</f>
        <v>361424</v>
      </c>
      <c r="D31" s="471">
        <f t="shared" si="0"/>
        <v>96.85886183655148</v>
      </c>
      <c r="E31" s="472">
        <f>E29-E30</f>
        <v>36002</v>
      </c>
    </row>
    <row r="32" spans="1:5" ht="15.75" customHeight="1">
      <c r="A32" s="482" t="s">
        <v>634</v>
      </c>
      <c r="B32" s="470">
        <v>367395</v>
      </c>
      <c r="C32" s="470">
        <v>325442</v>
      </c>
      <c r="D32" s="471">
        <f t="shared" si="0"/>
        <v>88.58095510281849</v>
      </c>
      <c r="E32" s="472">
        <v>32146</v>
      </c>
    </row>
    <row r="33" spans="1:5" ht="12">
      <c r="A33" s="483" t="s">
        <v>632</v>
      </c>
      <c r="B33" s="470">
        <v>32919</v>
      </c>
      <c r="C33" s="470">
        <v>30120</v>
      </c>
      <c r="D33" s="471">
        <f t="shared" si="0"/>
        <v>91.4973115829764</v>
      </c>
      <c r="E33" s="472">
        <v>3023</v>
      </c>
    </row>
    <row r="34" spans="1:47" s="482" customFormat="1" ht="12">
      <c r="A34" s="484" t="s">
        <v>635</v>
      </c>
      <c r="B34" s="470">
        <f>B32-B33</f>
        <v>334476</v>
      </c>
      <c r="C34" s="470">
        <f>C32-C33</f>
        <v>295322</v>
      </c>
      <c r="D34" s="471">
        <f t="shared" si="0"/>
        <v>88.29392841339887</v>
      </c>
      <c r="E34" s="472">
        <f>E32-E33</f>
        <v>29123</v>
      </c>
      <c r="F34" s="458"/>
      <c r="G34" s="458"/>
      <c r="H34" s="458"/>
      <c r="I34" s="458"/>
      <c r="J34" s="458"/>
      <c r="K34" s="458"/>
      <c r="L34" s="458"/>
      <c r="M34" s="458"/>
      <c r="N34" s="458"/>
      <c r="O34" s="458"/>
      <c r="P34" s="458"/>
      <c r="Q34" s="458"/>
      <c r="R34" s="458"/>
      <c r="S34" s="458"/>
      <c r="T34" s="458"/>
      <c r="U34" s="458"/>
      <c r="V34" s="458"/>
      <c r="W34" s="458"/>
      <c r="X34" s="458"/>
      <c r="Y34" s="458"/>
      <c r="Z34" s="458"/>
      <c r="AA34" s="458"/>
      <c r="AB34" s="458"/>
      <c r="AC34" s="458"/>
      <c r="AD34" s="458"/>
      <c r="AE34" s="458"/>
      <c r="AF34" s="458"/>
      <c r="AG34" s="458"/>
      <c r="AH34" s="458"/>
      <c r="AI34" s="458"/>
      <c r="AJ34" s="458"/>
      <c r="AK34" s="458"/>
      <c r="AL34" s="458"/>
      <c r="AM34" s="458"/>
      <c r="AN34" s="458"/>
      <c r="AO34" s="458"/>
      <c r="AP34" s="458"/>
      <c r="AQ34" s="458"/>
      <c r="AR34" s="458"/>
      <c r="AS34" s="458"/>
      <c r="AT34" s="458"/>
      <c r="AU34" s="458"/>
    </row>
    <row r="35" spans="1:47" s="482" customFormat="1" ht="12">
      <c r="A35" s="484" t="s">
        <v>636</v>
      </c>
      <c r="B35" s="470">
        <v>21075</v>
      </c>
      <c r="C35" s="470">
        <v>20869</v>
      </c>
      <c r="D35" s="471">
        <f t="shared" si="0"/>
        <v>99.02253855278767</v>
      </c>
      <c r="E35" s="472">
        <v>2280</v>
      </c>
      <c r="F35" s="458"/>
      <c r="G35" s="458"/>
      <c r="H35" s="458"/>
      <c r="I35" s="458"/>
      <c r="J35" s="458"/>
      <c r="K35" s="458"/>
      <c r="L35" s="458"/>
      <c r="M35" s="458"/>
      <c r="N35" s="458"/>
      <c r="O35" s="458"/>
      <c r="P35" s="458"/>
      <c r="Q35" s="458"/>
      <c r="R35" s="458"/>
      <c r="S35" s="458"/>
      <c r="T35" s="458"/>
      <c r="U35" s="458"/>
      <c r="V35" s="458"/>
      <c r="W35" s="458"/>
      <c r="X35" s="458"/>
      <c r="Y35" s="458"/>
      <c r="Z35" s="458"/>
      <c r="AA35" s="458"/>
      <c r="AB35" s="458"/>
      <c r="AC35" s="458"/>
      <c r="AD35" s="458"/>
      <c r="AE35" s="458"/>
      <c r="AF35" s="458"/>
      <c r="AG35" s="458"/>
      <c r="AH35" s="458"/>
      <c r="AI35" s="458"/>
      <c r="AJ35" s="458"/>
      <c r="AK35" s="458"/>
      <c r="AL35" s="458"/>
      <c r="AM35" s="458"/>
      <c r="AN35" s="458"/>
      <c r="AO35" s="458"/>
      <c r="AP35" s="458"/>
      <c r="AQ35" s="458"/>
      <c r="AR35" s="458"/>
      <c r="AS35" s="458"/>
      <c r="AT35" s="458"/>
      <c r="AU35" s="458"/>
    </row>
    <row r="36" spans="1:47" s="482" customFormat="1" ht="12">
      <c r="A36" s="485" t="s">
        <v>637</v>
      </c>
      <c r="B36" s="470">
        <v>17594</v>
      </c>
      <c r="C36" s="470">
        <v>45233</v>
      </c>
      <c r="D36" s="471">
        <f t="shared" si="0"/>
        <v>257.09332727066044</v>
      </c>
      <c r="E36" s="472">
        <v>4599</v>
      </c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458"/>
      <c r="Q36" s="458"/>
      <c r="R36" s="458"/>
      <c r="S36" s="458"/>
      <c r="T36" s="458"/>
      <c r="U36" s="458"/>
      <c r="V36" s="458"/>
      <c r="W36" s="458"/>
      <c r="X36" s="458"/>
      <c r="Y36" s="458"/>
      <c r="Z36" s="458"/>
      <c r="AA36" s="458"/>
      <c r="AB36" s="458"/>
      <c r="AC36" s="458"/>
      <c r="AD36" s="458"/>
      <c r="AE36" s="458"/>
      <c r="AF36" s="458"/>
      <c r="AG36" s="458"/>
      <c r="AH36" s="458"/>
      <c r="AI36" s="458"/>
      <c r="AJ36" s="458"/>
      <c r="AK36" s="458"/>
      <c r="AL36" s="458"/>
      <c r="AM36" s="458"/>
      <c r="AN36" s="458"/>
      <c r="AO36" s="458"/>
      <c r="AP36" s="458"/>
      <c r="AQ36" s="458"/>
      <c r="AR36" s="458"/>
      <c r="AS36" s="458"/>
      <c r="AT36" s="458"/>
      <c r="AU36" s="458"/>
    </row>
    <row r="37" spans="1:47" s="487" customFormat="1" ht="28.5" customHeight="1">
      <c r="A37" s="486" t="s">
        <v>638</v>
      </c>
      <c r="B37" s="470">
        <f>B16-B31</f>
        <v>1180</v>
      </c>
      <c r="C37" s="470">
        <f>C16-C31</f>
        <v>-8926</v>
      </c>
      <c r="D37" s="471">
        <f t="shared" si="0"/>
        <v>-756.4406779661017</v>
      </c>
      <c r="E37" s="472">
        <f>E16-E31</f>
        <v>713</v>
      </c>
      <c r="F37" s="458"/>
      <c r="G37" s="458"/>
      <c r="H37" s="458"/>
      <c r="I37" s="458"/>
      <c r="J37" s="458"/>
      <c r="K37" s="458"/>
      <c r="L37" s="458"/>
      <c r="M37" s="458"/>
      <c r="N37" s="458"/>
      <c r="O37" s="458"/>
      <c r="P37" s="458"/>
      <c r="Q37" s="458"/>
      <c r="R37" s="458"/>
      <c r="S37" s="458"/>
      <c r="T37" s="458"/>
      <c r="U37" s="458"/>
      <c r="V37" s="458"/>
      <c r="W37" s="458"/>
      <c r="X37" s="458"/>
      <c r="Y37" s="458"/>
      <c r="Z37" s="458"/>
      <c r="AA37" s="458"/>
      <c r="AB37" s="458"/>
      <c r="AC37" s="458"/>
      <c r="AD37" s="458"/>
      <c r="AE37" s="458"/>
      <c r="AF37" s="458"/>
      <c r="AG37" s="458"/>
      <c r="AH37" s="458"/>
      <c r="AI37" s="458"/>
      <c r="AJ37" s="458"/>
      <c r="AK37" s="458"/>
      <c r="AL37" s="458"/>
      <c r="AM37" s="458"/>
      <c r="AN37" s="458"/>
      <c r="AO37" s="458"/>
      <c r="AP37" s="458"/>
      <c r="AQ37" s="458"/>
      <c r="AR37" s="458"/>
      <c r="AS37" s="458"/>
      <c r="AT37" s="458"/>
      <c r="AU37" s="458"/>
    </row>
    <row r="38" spans="1:5" ht="16.5" customHeight="1">
      <c r="A38" s="469" t="s">
        <v>639</v>
      </c>
      <c r="B38" s="470">
        <f>B39-B40</f>
        <v>-508</v>
      </c>
      <c r="C38" s="470">
        <f>C39-C40</f>
        <v>-193</v>
      </c>
      <c r="D38" s="471">
        <f t="shared" si="0"/>
        <v>37.99212598425197</v>
      </c>
      <c r="E38" s="472">
        <f>E39-E40</f>
        <v>-280</v>
      </c>
    </row>
    <row r="39" spans="1:47" s="487" customFormat="1" ht="15" customHeight="1">
      <c r="A39" s="482" t="s">
        <v>640</v>
      </c>
      <c r="B39" s="470">
        <v>78</v>
      </c>
      <c r="C39" s="470">
        <v>828</v>
      </c>
      <c r="D39" s="471">
        <f t="shared" si="0"/>
        <v>1061.5384615384614</v>
      </c>
      <c r="E39" s="472">
        <v>75</v>
      </c>
      <c r="F39" s="458"/>
      <c r="G39" s="458"/>
      <c r="H39" s="458"/>
      <c r="I39" s="458"/>
      <c r="J39" s="458"/>
      <c r="K39" s="458"/>
      <c r="L39" s="458"/>
      <c r="M39" s="458"/>
      <c r="N39" s="458"/>
      <c r="O39" s="458"/>
      <c r="P39" s="458"/>
      <c r="Q39" s="458"/>
      <c r="R39" s="458"/>
      <c r="S39" s="458"/>
      <c r="T39" s="458"/>
      <c r="U39" s="458"/>
      <c r="V39" s="458"/>
      <c r="W39" s="458"/>
      <c r="X39" s="458"/>
      <c r="Y39" s="458"/>
      <c r="Z39" s="458"/>
      <c r="AA39" s="458"/>
      <c r="AB39" s="458"/>
      <c r="AC39" s="458"/>
      <c r="AD39" s="458"/>
      <c r="AE39" s="458"/>
      <c r="AF39" s="458"/>
      <c r="AG39" s="458"/>
      <c r="AH39" s="458"/>
      <c r="AI39" s="458"/>
      <c r="AJ39" s="458"/>
      <c r="AK39" s="458"/>
      <c r="AL39" s="458"/>
      <c r="AM39" s="458"/>
      <c r="AN39" s="458"/>
      <c r="AO39" s="458"/>
      <c r="AP39" s="458"/>
      <c r="AQ39" s="458"/>
      <c r="AR39" s="458"/>
      <c r="AS39" s="458"/>
      <c r="AT39" s="458"/>
      <c r="AU39" s="458"/>
    </row>
    <row r="40" spans="1:47" s="487" customFormat="1" ht="15" customHeight="1">
      <c r="A40" s="482" t="s">
        <v>641</v>
      </c>
      <c r="B40" s="470">
        <v>586</v>
      </c>
      <c r="C40" s="470">
        <v>1021</v>
      </c>
      <c r="D40" s="471">
        <f t="shared" si="0"/>
        <v>174.2320819112628</v>
      </c>
      <c r="E40" s="472">
        <v>355</v>
      </c>
      <c r="F40" s="458"/>
      <c r="G40" s="458"/>
      <c r="H40" s="458"/>
      <c r="I40" s="458"/>
      <c r="J40" s="458"/>
      <c r="K40" s="458"/>
      <c r="L40" s="458"/>
      <c r="M40" s="458"/>
      <c r="N40" s="458"/>
      <c r="O40" s="458"/>
      <c r="P40" s="458"/>
      <c r="Q40" s="458"/>
      <c r="R40" s="458"/>
      <c r="S40" s="458"/>
      <c r="T40" s="458"/>
      <c r="U40" s="458"/>
      <c r="V40" s="458"/>
      <c r="W40" s="458"/>
      <c r="X40" s="458"/>
      <c r="Y40" s="458"/>
      <c r="Z40" s="458"/>
      <c r="AA40" s="458"/>
      <c r="AB40" s="458"/>
      <c r="AC40" s="458"/>
      <c r="AD40" s="458"/>
      <c r="AE40" s="458"/>
      <c r="AF40" s="458"/>
      <c r="AG40" s="458"/>
      <c r="AH40" s="458"/>
      <c r="AI40" s="458"/>
      <c r="AJ40" s="458"/>
      <c r="AK40" s="458"/>
      <c r="AL40" s="458"/>
      <c r="AM40" s="458"/>
      <c r="AN40" s="458"/>
      <c r="AO40" s="458"/>
      <c r="AP40" s="458"/>
      <c r="AQ40" s="458"/>
      <c r="AR40" s="458"/>
      <c r="AS40" s="458"/>
      <c r="AT40" s="458"/>
      <c r="AU40" s="458"/>
    </row>
    <row r="41" spans="1:47" s="488" customFormat="1" ht="28.5" customHeight="1">
      <c r="A41" s="486" t="s">
        <v>642</v>
      </c>
      <c r="B41" s="470">
        <f>B37-B38</f>
        <v>1688</v>
      </c>
      <c r="C41" s="470">
        <f>C37-C38</f>
        <v>-8733</v>
      </c>
      <c r="D41" s="471">
        <f t="shared" si="0"/>
        <v>-517.3578199052133</v>
      </c>
      <c r="E41" s="472">
        <f>E37-E38</f>
        <v>993</v>
      </c>
      <c r="F41" s="458"/>
      <c r="G41" s="458"/>
      <c r="H41" s="458"/>
      <c r="I41" s="458"/>
      <c r="J41" s="458"/>
      <c r="K41" s="458"/>
      <c r="L41" s="458"/>
      <c r="M41" s="458"/>
      <c r="N41" s="458"/>
      <c r="O41" s="458"/>
      <c r="P41" s="458"/>
      <c r="Q41" s="458"/>
      <c r="R41" s="458"/>
      <c r="S41" s="458"/>
      <c r="T41" s="458"/>
      <c r="U41" s="458"/>
      <c r="V41" s="458"/>
      <c r="W41" s="458"/>
      <c r="X41" s="458"/>
      <c r="Y41" s="458"/>
      <c r="Z41" s="458"/>
      <c r="AA41" s="458"/>
      <c r="AB41" s="458"/>
      <c r="AC41" s="458"/>
      <c r="AD41" s="458"/>
      <c r="AE41" s="458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8"/>
      <c r="AT41" s="458"/>
      <c r="AU41" s="458"/>
    </row>
    <row r="42" spans="1:5" ht="16.5" customHeight="1">
      <c r="A42" s="469" t="s">
        <v>643</v>
      </c>
      <c r="B42" s="470">
        <f>SUM(B43:B45)</f>
        <v>58839</v>
      </c>
      <c r="C42" s="470">
        <f>SUM(C43:C45)</f>
        <v>44120</v>
      </c>
      <c r="D42" s="471">
        <f t="shared" si="0"/>
        <v>74.98427913458761</v>
      </c>
      <c r="E42" s="472">
        <f>SUM(E43:E45)</f>
        <v>3586</v>
      </c>
    </row>
    <row r="43" spans="1:47" s="482" customFormat="1" ht="12">
      <c r="A43" s="484" t="s">
        <v>644</v>
      </c>
      <c r="B43" s="470">
        <v>40841</v>
      </c>
      <c r="C43" s="470">
        <v>29590</v>
      </c>
      <c r="D43" s="471">
        <f t="shared" si="0"/>
        <v>72.45170294556941</v>
      </c>
      <c r="E43" s="472">
        <v>2650</v>
      </c>
      <c r="F43" s="458"/>
      <c r="G43" s="458"/>
      <c r="H43" s="458"/>
      <c r="I43" s="458"/>
      <c r="J43" s="458"/>
      <c r="K43" s="458"/>
      <c r="L43" s="458"/>
      <c r="M43" s="458"/>
      <c r="N43" s="458"/>
      <c r="O43" s="458"/>
      <c r="P43" s="458"/>
      <c r="Q43" s="458"/>
      <c r="R43" s="458"/>
      <c r="S43" s="458"/>
      <c r="T43" s="458"/>
      <c r="U43" s="458"/>
      <c r="V43" s="458"/>
      <c r="W43" s="458"/>
      <c r="X43" s="458"/>
      <c r="Y43" s="458"/>
      <c r="Z43" s="458"/>
      <c r="AA43" s="458"/>
      <c r="AB43" s="458"/>
      <c r="AC43" s="458"/>
      <c r="AD43" s="458"/>
      <c r="AE43" s="458"/>
      <c r="AF43" s="458"/>
      <c r="AG43" s="458"/>
      <c r="AH43" s="458"/>
      <c r="AI43" s="458"/>
      <c r="AJ43" s="458"/>
      <c r="AK43" s="458"/>
      <c r="AL43" s="458"/>
      <c r="AM43" s="458"/>
      <c r="AN43" s="458"/>
      <c r="AO43" s="458"/>
      <c r="AP43" s="458"/>
      <c r="AQ43" s="458"/>
      <c r="AR43" s="458"/>
      <c r="AS43" s="458"/>
      <c r="AT43" s="458"/>
      <c r="AU43" s="458"/>
    </row>
    <row r="44" spans="1:47" s="482" customFormat="1" ht="12">
      <c r="A44" s="484" t="s">
        <v>645</v>
      </c>
      <c r="B44" s="470">
        <v>16126</v>
      </c>
      <c r="C44" s="470">
        <v>13979</v>
      </c>
      <c r="D44" s="471">
        <f t="shared" si="0"/>
        <v>86.68609698623341</v>
      </c>
      <c r="E44" s="472">
        <v>908</v>
      </c>
      <c r="F44" s="458"/>
      <c r="G44" s="458"/>
      <c r="H44" s="458"/>
      <c r="I44" s="458"/>
      <c r="J44" s="458"/>
      <c r="K44" s="458"/>
      <c r="L44" s="458"/>
      <c r="M44" s="458"/>
      <c r="N44" s="458"/>
      <c r="O44" s="458"/>
      <c r="P44" s="458"/>
      <c r="Q44" s="458"/>
      <c r="R44" s="458"/>
      <c r="S44" s="458"/>
      <c r="T44" s="458"/>
      <c r="U44" s="458"/>
      <c r="V44" s="458"/>
      <c r="W44" s="458"/>
      <c r="X44" s="458"/>
      <c r="Y44" s="458"/>
      <c r="Z44" s="458"/>
      <c r="AA44" s="458"/>
      <c r="AB44" s="458"/>
      <c r="AC44" s="458"/>
      <c r="AD44" s="458"/>
      <c r="AE44" s="458"/>
      <c r="AF44" s="458"/>
      <c r="AG44" s="458"/>
      <c r="AH44" s="458"/>
      <c r="AI44" s="458"/>
      <c r="AJ44" s="458"/>
      <c r="AK44" s="458"/>
      <c r="AL44" s="458"/>
      <c r="AM44" s="458"/>
      <c r="AN44" s="458"/>
      <c r="AO44" s="458"/>
      <c r="AP44" s="458"/>
      <c r="AQ44" s="458"/>
      <c r="AR44" s="458"/>
      <c r="AS44" s="458"/>
      <c r="AT44" s="458"/>
      <c r="AU44" s="458"/>
    </row>
    <row r="45" spans="1:47" s="482" customFormat="1" ht="12">
      <c r="A45" s="470" t="s">
        <v>646</v>
      </c>
      <c r="B45" s="470">
        <v>1872</v>
      </c>
      <c r="C45" s="470">
        <v>551</v>
      </c>
      <c r="D45" s="471">
        <f t="shared" si="0"/>
        <v>29.433760683760685</v>
      </c>
      <c r="E45" s="472">
        <v>28</v>
      </c>
      <c r="F45" s="458"/>
      <c r="G45" s="458"/>
      <c r="H45" s="458"/>
      <c r="I45" s="458"/>
      <c r="J45" s="458"/>
      <c r="K45" s="458"/>
      <c r="L45" s="458"/>
      <c r="M45" s="458"/>
      <c r="N45" s="458"/>
      <c r="O45" s="458"/>
      <c r="P45" s="458"/>
      <c r="Q45" s="458"/>
      <c r="R45" s="458"/>
      <c r="S45" s="458"/>
      <c r="T45" s="458"/>
      <c r="U45" s="458"/>
      <c r="V45" s="458"/>
      <c r="W45" s="458"/>
      <c r="X45" s="458"/>
      <c r="Y45" s="458"/>
      <c r="Z45" s="458"/>
      <c r="AA45" s="458"/>
      <c r="AB45" s="458"/>
      <c r="AC45" s="458"/>
      <c r="AD45" s="458"/>
      <c r="AE45" s="458"/>
      <c r="AF45" s="458"/>
      <c r="AG45" s="458"/>
      <c r="AH45" s="458"/>
      <c r="AI45" s="458"/>
      <c r="AJ45" s="458"/>
      <c r="AK45" s="458"/>
      <c r="AL45" s="458"/>
      <c r="AM45" s="458"/>
      <c r="AN45" s="458"/>
      <c r="AO45" s="458"/>
      <c r="AP45" s="458"/>
      <c r="AQ45" s="458"/>
      <c r="AR45" s="458"/>
      <c r="AS45" s="458"/>
      <c r="AT45" s="458"/>
      <c r="AU45" s="458"/>
    </row>
    <row r="46" spans="1:47" s="488" customFormat="1" ht="28.5" customHeight="1">
      <c r="A46" s="489" t="s">
        <v>647</v>
      </c>
      <c r="B46" s="470">
        <f>SUM(B20-B42)</f>
        <v>-6005</v>
      </c>
      <c r="C46" s="470">
        <f>SUM(C20-C42)</f>
        <v>5908</v>
      </c>
      <c r="D46" s="471">
        <f t="shared" si="0"/>
        <v>-98.38467943380516</v>
      </c>
      <c r="E46" s="472">
        <f>SUM(E20-E42)</f>
        <v>1600</v>
      </c>
      <c r="F46" s="458"/>
      <c r="G46" s="458"/>
      <c r="H46" s="458"/>
      <c r="I46" s="458"/>
      <c r="J46" s="458"/>
      <c r="K46" s="458"/>
      <c r="L46" s="458"/>
      <c r="M46" s="458"/>
      <c r="N46" s="458"/>
      <c r="O46" s="458"/>
      <c r="P46" s="458"/>
      <c r="Q46" s="458"/>
      <c r="R46" s="458"/>
      <c r="S46" s="458"/>
      <c r="T46" s="458"/>
      <c r="U46" s="458"/>
      <c r="V46" s="458"/>
      <c r="W46" s="458"/>
      <c r="X46" s="458"/>
      <c r="Y46" s="458"/>
      <c r="Z46" s="458"/>
      <c r="AA46" s="458"/>
      <c r="AB46" s="458"/>
      <c r="AC46" s="458"/>
      <c r="AD46" s="458"/>
      <c r="AE46" s="458"/>
      <c r="AF46" s="458"/>
      <c r="AG46" s="458"/>
      <c r="AH46" s="458"/>
      <c r="AI46" s="458"/>
      <c r="AJ46" s="458"/>
      <c r="AK46" s="458"/>
      <c r="AL46" s="458"/>
      <c r="AM46" s="458"/>
      <c r="AN46" s="458"/>
      <c r="AO46" s="458"/>
      <c r="AP46" s="458"/>
      <c r="AQ46" s="458"/>
      <c r="AR46" s="458"/>
      <c r="AS46" s="458"/>
      <c r="AT46" s="458"/>
      <c r="AU46" s="458"/>
    </row>
    <row r="47" spans="1:5" ht="16.5" customHeight="1">
      <c r="A47" s="469" t="s">
        <v>648</v>
      </c>
      <c r="B47" s="470">
        <f>B48-B49</f>
        <v>-2316</v>
      </c>
      <c r="C47" s="470">
        <f>C48-C49</f>
        <v>-955</v>
      </c>
      <c r="D47" s="471">
        <f t="shared" si="0"/>
        <v>41.23488773747841</v>
      </c>
      <c r="E47" s="472">
        <f>E48-E49</f>
        <v>554</v>
      </c>
    </row>
    <row r="48" spans="1:6" s="487" customFormat="1" ht="15" customHeight="1">
      <c r="A48" s="482" t="s">
        <v>649</v>
      </c>
      <c r="B48" s="470">
        <v>3889</v>
      </c>
      <c r="C48" s="470">
        <v>4109</v>
      </c>
      <c r="D48" s="471">
        <f t="shared" si="0"/>
        <v>105.65698122910774</v>
      </c>
      <c r="E48" s="472">
        <v>649</v>
      </c>
      <c r="F48" s="490"/>
    </row>
    <row r="49" spans="1:6" s="487" customFormat="1" ht="15" customHeight="1">
      <c r="A49" s="482" t="s">
        <v>650</v>
      </c>
      <c r="B49" s="470">
        <v>6205</v>
      </c>
      <c r="C49" s="470">
        <v>5064</v>
      </c>
      <c r="D49" s="471">
        <f t="shared" si="0"/>
        <v>81.6116035455278</v>
      </c>
      <c r="E49" s="472">
        <v>95</v>
      </c>
      <c r="F49" s="490"/>
    </row>
    <row r="50" spans="1:6" s="487" customFormat="1" ht="28.5" customHeight="1">
      <c r="A50" s="491" t="s">
        <v>651</v>
      </c>
      <c r="B50" s="492">
        <f>SUM(B46-B47)</f>
        <v>-3689</v>
      </c>
      <c r="C50" s="492">
        <f>SUM(C46-C47)</f>
        <v>6863</v>
      </c>
      <c r="D50" s="493">
        <f t="shared" si="0"/>
        <v>-186.03957712117105</v>
      </c>
      <c r="E50" s="494">
        <f>SUM(E46-E47)</f>
        <v>1046</v>
      </c>
      <c r="F50" s="490"/>
    </row>
    <row r="51" s="459" customFormat="1" ht="12.75">
      <c r="A51" s="495"/>
    </row>
    <row r="52" s="459" customFormat="1" ht="12.75">
      <c r="A52" s="495"/>
    </row>
    <row r="53" s="459" customFormat="1" ht="12.75">
      <c r="A53" s="495"/>
    </row>
    <row r="54" s="459" customFormat="1" ht="12.75">
      <c r="A54" s="495"/>
    </row>
    <row r="55" s="459" customFormat="1" ht="12.75">
      <c r="A55" s="495"/>
    </row>
    <row r="56" s="459" customFormat="1" ht="12.75">
      <c r="A56" s="495"/>
    </row>
    <row r="57" spans="1:4" s="459" customFormat="1" ht="12.75">
      <c r="A57" s="496" t="s">
        <v>652</v>
      </c>
      <c r="B57" s="497"/>
      <c r="C57" s="498"/>
      <c r="D57" s="498" t="s">
        <v>653</v>
      </c>
    </row>
    <row r="58" s="459" customFormat="1" ht="12.75">
      <c r="A58" s="495"/>
    </row>
    <row r="59" s="459" customFormat="1" ht="12.75">
      <c r="A59" s="495"/>
    </row>
    <row r="60" s="459" customFormat="1" ht="12.75">
      <c r="A60" s="495"/>
    </row>
    <row r="61" s="459" customFormat="1" ht="12.75">
      <c r="A61" s="495"/>
    </row>
    <row r="62" s="459" customFormat="1" ht="12.75">
      <c r="A62" s="495"/>
    </row>
    <row r="63" s="459" customFormat="1" ht="12.75">
      <c r="A63" s="495"/>
    </row>
    <row r="64" s="459" customFormat="1" ht="12.75">
      <c r="A64" s="495"/>
    </row>
    <row r="65" s="459" customFormat="1" ht="12.75">
      <c r="A65" s="499" t="s">
        <v>654</v>
      </c>
    </row>
    <row r="66" s="459" customFormat="1" ht="12.75">
      <c r="A66" s="499" t="s">
        <v>655</v>
      </c>
    </row>
    <row r="67" s="459" customFormat="1" ht="12.75">
      <c r="A67" s="495"/>
    </row>
    <row r="68" s="459" customFormat="1" ht="12.75">
      <c r="A68" s="495"/>
    </row>
    <row r="69" s="459" customFormat="1" ht="12.75">
      <c r="A69" s="499"/>
    </row>
    <row r="72" s="459" customFormat="1" ht="12.75">
      <c r="A72" s="495"/>
    </row>
    <row r="73" s="459" customFormat="1" ht="12.75">
      <c r="A73" s="495"/>
    </row>
    <row r="74" s="459" customFormat="1" ht="12.75">
      <c r="A74" s="495"/>
    </row>
    <row r="75" s="459" customFormat="1" ht="12.75">
      <c r="A75" s="495"/>
    </row>
    <row r="76" s="459" customFormat="1" ht="12.75">
      <c r="A76" s="495"/>
    </row>
    <row r="77" s="459" customFormat="1" ht="12.75">
      <c r="A77" s="495"/>
    </row>
    <row r="78" s="459" customFormat="1" ht="12.75">
      <c r="A78" s="495"/>
    </row>
    <row r="79" ht="11.25">
      <c r="A79" s="500"/>
    </row>
    <row r="80" ht="11.25">
      <c r="A80" s="500"/>
    </row>
    <row r="81" ht="11.25">
      <c r="A81" s="500"/>
    </row>
    <row r="82" ht="11.25">
      <c r="A82" s="500"/>
    </row>
    <row r="83" ht="11.25">
      <c r="A83" s="500"/>
    </row>
    <row r="84" ht="11.25">
      <c r="A84" s="500"/>
    </row>
    <row r="85" ht="11.25">
      <c r="A85" s="500"/>
    </row>
    <row r="86" ht="11.25">
      <c r="A86" s="500"/>
    </row>
    <row r="87" ht="11.25">
      <c r="A87" s="500"/>
    </row>
    <row r="88" ht="11.25">
      <c r="A88" s="500"/>
    </row>
    <row r="89" ht="11.25">
      <c r="A89" s="500"/>
    </row>
    <row r="90" ht="11.25">
      <c r="A90" s="500"/>
    </row>
    <row r="91" ht="11.25">
      <c r="A91" s="500"/>
    </row>
    <row r="92" ht="11.25">
      <c r="A92" s="500"/>
    </row>
    <row r="93" ht="11.25">
      <c r="A93" s="500"/>
    </row>
    <row r="94" ht="11.25">
      <c r="A94" s="500"/>
    </row>
    <row r="95" ht="11.25">
      <c r="A95" s="500"/>
    </row>
    <row r="96" ht="11.25">
      <c r="A96" s="500"/>
    </row>
    <row r="97" ht="11.25">
      <c r="A97" s="500"/>
    </row>
    <row r="98" ht="11.25">
      <c r="A98" s="500"/>
    </row>
    <row r="99" ht="11.25">
      <c r="A99" s="500"/>
    </row>
    <row r="100" ht="11.25">
      <c r="A100" s="500"/>
    </row>
    <row r="101" ht="11.25">
      <c r="A101" s="500"/>
    </row>
    <row r="102" ht="11.25">
      <c r="A102" s="500"/>
    </row>
    <row r="103" ht="11.25">
      <c r="A103" s="500"/>
    </row>
    <row r="104" ht="11.25">
      <c r="A104" s="500"/>
    </row>
    <row r="105" ht="11.25">
      <c r="A105" s="500"/>
    </row>
    <row r="106" ht="11.25">
      <c r="A106" s="500"/>
    </row>
    <row r="107" ht="11.25">
      <c r="A107" s="500"/>
    </row>
    <row r="108" ht="11.25">
      <c r="A108" s="500"/>
    </row>
    <row r="109" ht="11.25">
      <c r="A109" s="500"/>
    </row>
    <row r="110" ht="11.25">
      <c r="A110" s="500"/>
    </row>
    <row r="111" ht="11.25">
      <c r="A111" s="500"/>
    </row>
    <row r="112" ht="11.25">
      <c r="A112" s="500"/>
    </row>
    <row r="113" ht="11.25">
      <c r="A113" s="500"/>
    </row>
    <row r="114" ht="11.25">
      <c r="A114" s="500"/>
    </row>
    <row r="115" ht="11.25">
      <c r="A115" s="500"/>
    </row>
    <row r="116" ht="11.25">
      <c r="A116" s="500"/>
    </row>
    <row r="117" ht="11.25">
      <c r="A117" s="500"/>
    </row>
    <row r="118" ht="11.25">
      <c r="A118" s="500"/>
    </row>
    <row r="119" ht="11.25">
      <c r="A119" s="500"/>
    </row>
    <row r="120" ht="11.25">
      <c r="A120" s="500"/>
    </row>
    <row r="121" ht="11.25">
      <c r="A121" s="500"/>
    </row>
    <row r="122" ht="11.25">
      <c r="A122" s="500"/>
    </row>
    <row r="123" ht="11.25">
      <c r="A123" s="500"/>
    </row>
    <row r="124" ht="11.25">
      <c r="A124" s="500"/>
    </row>
    <row r="125" ht="11.25">
      <c r="A125" s="500"/>
    </row>
  </sheetData>
  <printOptions/>
  <pageMargins left="0.5511811023622047" right="0.15748031496062992" top="0.984251968503937" bottom="0.984251968503937" header="0" footer="0"/>
  <pageSetup horizontalDpi="600" verticalDpi="600" orientation="portrait" paperSize="9" r:id="rId1"/>
  <headerFooter alignWithMargins="0">
    <oddFooter>&amp;L&amp;"RimHelvetica,Roman"&amp;8Valsts kase / Pārskatu departaments
Sastādīšanas datums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"/>
  <dimension ref="A1:I59"/>
  <sheetViews>
    <sheetView showGridLines="0" showZeros="0" workbookViewId="0" topLeftCell="A1">
      <selection activeCell="A15" sqref="A15"/>
    </sheetView>
  </sheetViews>
  <sheetFormatPr defaultColWidth="9.140625" defaultRowHeight="12.75"/>
  <cols>
    <col min="1" max="1" width="37.57421875" style="507" customWidth="1"/>
    <col min="2" max="5" width="12.7109375" style="458" customWidth="1"/>
    <col min="6" max="16384" width="7.421875" style="458" customWidth="1"/>
  </cols>
  <sheetData>
    <row r="1" spans="1:5" ht="12.75">
      <c r="A1" s="501" t="s">
        <v>656</v>
      </c>
      <c r="B1" s="501"/>
      <c r="C1" s="456"/>
      <c r="D1" s="456"/>
      <c r="E1" s="456" t="s">
        <v>657</v>
      </c>
    </row>
    <row r="2" spans="1:7" s="456" customFormat="1" ht="12.75">
      <c r="A2" s="501"/>
      <c r="B2" s="501"/>
      <c r="E2" s="502"/>
      <c r="G2" s="501" t="s">
        <v>658</v>
      </c>
    </row>
    <row r="4" spans="1:6" s="506" customFormat="1" ht="15.75">
      <c r="A4" s="503" t="s">
        <v>659</v>
      </c>
      <c r="B4" s="504"/>
      <c r="C4" s="505"/>
      <c r="D4" s="505"/>
      <c r="E4" s="505"/>
      <c r="F4" s="505"/>
    </row>
    <row r="5" spans="1:6" s="506" customFormat="1" ht="15.75">
      <c r="A5" s="503" t="s">
        <v>660</v>
      </c>
      <c r="B5" s="504"/>
      <c r="C5" s="505"/>
      <c r="D5" s="505"/>
      <c r="E5" s="505"/>
      <c r="F5" s="505"/>
    </row>
    <row r="6" spans="2:4" ht="11.25">
      <c r="B6" s="508"/>
      <c r="C6" s="508"/>
      <c r="D6" s="508"/>
    </row>
    <row r="7" spans="3:9" ht="12.75" customHeight="1">
      <c r="C7" s="508"/>
      <c r="D7" s="508"/>
      <c r="E7" s="508"/>
      <c r="F7" s="509"/>
      <c r="G7" s="509"/>
      <c r="H7" s="509"/>
      <c r="I7" s="509"/>
    </row>
    <row r="8" spans="1:5" s="509" customFormat="1" ht="12.75" customHeight="1">
      <c r="A8" s="510"/>
      <c r="B8" s="510"/>
      <c r="C8" s="511"/>
      <c r="D8" s="511"/>
      <c r="E8" s="511" t="s">
        <v>185</v>
      </c>
    </row>
    <row r="9" spans="1:8" s="509" customFormat="1" ht="40.5" customHeight="1">
      <c r="A9" s="512" t="s">
        <v>101</v>
      </c>
      <c r="B9" s="513" t="s">
        <v>609</v>
      </c>
      <c r="C9" s="513" t="s">
        <v>104</v>
      </c>
      <c r="D9" s="513" t="s">
        <v>661</v>
      </c>
      <c r="E9" s="514" t="s">
        <v>357</v>
      </c>
      <c r="F9" s="459"/>
      <c r="G9" s="459"/>
      <c r="H9" s="459"/>
    </row>
    <row r="10" spans="1:8" s="509" customFormat="1" ht="12.75">
      <c r="A10" s="515" t="s">
        <v>662</v>
      </c>
      <c r="B10" s="516">
        <v>2</v>
      </c>
      <c r="C10" s="516">
        <v>3</v>
      </c>
      <c r="D10" s="516">
        <v>4</v>
      </c>
      <c r="E10" s="517" t="s">
        <v>663</v>
      </c>
      <c r="F10" s="459"/>
      <c r="G10" s="459"/>
      <c r="H10" s="459"/>
    </row>
    <row r="11" spans="1:6" s="459" customFormat="1" ht="12.75">
      <c r="A11" s="518" t="s">
        <v>664</v>
      </c>
      <c r="B11" s="519">
        <v>407244</v>
      </c>
      <c r="C11" s="519">
        <v>382618</v>
      </c>
      <c r="D11" s="520">
        <f>C11/B11*100</f>
        <v>93.95301097130958</v>
      </c>
      <c r="E11" s="521">
        <v>39738</v>
      </c>
      <c r="F11" s="458"/>
    </row>
    <row r="12" spans="1:7" ht="25.5">
      <c r="A12" s="522" t="s">
        <v>665</v>
      </c>
      <c r="B12" s="519">
        <f>B13+B21+B28</f>
        <v>267590</v>
      </c>
      <c r="C12" s="519">
        <f>C13+C21+C28</f>
        <v>250458</v>
      </c>
      <c r="D12" s="520">
        <f>C12/B12*100</f>
        <v>93.59766807429276</v>
      </c>
      <c r="E12" s="519">
        <f>E13+E21+E28</f>
        <v>26374</v>
      </c>
      <c r="F12" s="459"/>
      <c r="G12" s="459"/>
    </row>
    <row r="13" spans="1:5" s="459" customFormat="1" ht="12.75">
      <c r="A13" s="523" t="s">
        <v>666</v>
      </c>
      <c r="B13" s="519">
        <f>B14+B19</f>
        <v>224211</v>
      </c>
      <c r="C13" s="519">
        <v>210310</v>
      </c>
      <c r="D13" s="520">
        <f>C13/B13*100</f>
        <v>93.80003657269269</v>
      </c>
      <c r="E13" s="521">
        <v>21812</v>
      </c>
    </row>
    <row r="14" spans="1:6" s="459" customFormat="1" ht="12.75">
      <c r="A14" s="524" t="s">
        <v>267</v>
      </c>
      <c r="B14" s="519">
        <f>SUM(B15:B18)</f>
        <v>223213</v>
      </c>
      <c r="C14" s="519">
        <f>SUM(C15:C18)</f>
        <v>209207</v>
      </c>
      <c r="D14" s="520"/>
      <c r="E14" s="519">
        <f>SUM(E15:E18)</f>
        <v>21701</v>
      </c>
      <c r="F14" s="458"/>
    </row>
    <row r="15" spans="1:6" s="509" customFormat="1" ht="12">
      <c r="A15" s="525" t="s">
        <v>667</v>
      </c>
      <c r="B15" s="519">
        <v>186277</v>
      </c>
      <c r="C15" s="519">
        <v>168384</v>
      </c>
      <c r="D15" s="520">
        <f aca="true" t="shared" si="0" ref="D15:D35">C15/B15*100</f>
        <v>90.39441262206284</v>
      </c>
      <c r="E15" s="521">
        <v>16137</v>
      </c>
      <c r="F15" s="458"/>
    </row>
    <row r="16" spans="1:6" s="509" customFormat="1" ht="12">
      <c r="A16" s="525" t="s">
        <v>668</v>
      </c>
      <c r="B16" s="519">
        <v>31135</v>
      </c>
      <c r="C16" s="519">
        <v>31830</v>
      </c>
      <c r="D16" s="520">
        <f t="shared" si="0"/>
        <v>102.23221454954232</v>
      </c>
      <c r="E16" s="521">
        <v>4250</v>
      </c>
      <c r="F16" s="458"/>
    </row>
    <row r="17" spans="1:6" s="509" customFormat="1" ht="12">
      <c r="A17" s="525" t="s">
        <v>669</v>
      </c>
      <c r="B17" s="519">
        <v>4924</v>
      </c>
      <c r="C17" s="519">
        <v>7836</v>
      </c>
      <c r="D17" s="520">
        <f t="shared" si="0"/>
        <v>159.13891145410236</v>
      </c>
      <c r="E17" s="521">
        <v>1185</v>
      </c>
      <c r="F17" s="458"/>
    </row>
    <row r="18" spans="1:6" s="509" customFormat="1" ht="12">
      <c r="A18" s="525" t="s">
        <v>670</v>
      </c>
      <c r="B18" s="519">
        <v>877</v>
      </c>
      <c r="C18" s="519">
        <v>1157</v>
      </c>
      <c r="D18" s="520">
        <f t="shared" si="0"/>
        <v>131.92702394526796</v>
      </c>
      <c r="E18" s="521">
        <v>129</v>
      </c>
      <c r="F18" s="458"/>
    </row>
    <row r="19" spans="1:6" s="459" customFormat="1" ht="12.75">
      <c r="A19" s="524" t="s">
        <v>269</v>
      </c>
      <c r="B19" s="519">
        <v>998</v>
      </c>
      <c r="C19" s="519">
        <v>1103</v>
      </c>
      <c r="D19" s="520">
        <f t="shared" si="0"/>
        <v>110.52104208416833</v>
      </c>
      <c r="E19" s="521">
        <v>111</v>
      </c>
      <c r="F19" s="458"/>
    </row>
    <row r="20" spans="1:5" ht="12">
      <c r="A20" s="525" t="s">
        <v>671</v>
      </c>
      <c r="B20" s="519">
        <v>998</v>
      </c>
      <c r="C20" s="519">
        <v>1103</v>
      </c>
      <c r="D20" s="520">
        <f t="shared" si="0"/>
        <v>110.52104208416833</v>
      </c>
      <c r="E20" s="521">
        <v>111</v>
      </c>
    </row>
    <row r="21" spans="1:5" s="459" customFormat="1" ht="12.75">
      <c r="A21" s="523" t="s">
        <v>672</v>
      </c>
      <c r="B21" s="519">
        <f>SUM(B22:B27)</f>
        <v>17991</v>
      </c>
      <c r="C21" s="519">
        <f>SUM(C22:C27)</f>
        <v>16447</v>
      </c>
      <c r="D21" s="520">
        <f t="shared" si="0"/>
        <v>91.41793118781612</v>
      </c>
      <c r="E21" s="519">
        <f>SUM(E22:E27)</f>
        <v>1506</v>
      </c>
    </row>
    <row r="22" spans="1:7" ht="12.75">
      <c r="A22" s="525" t="s">
        <v>673</v>
      </c>
      <c r="B22" s="519">
        <v>388</v>
      </c>
      <c r="C22" s="519">
        <v>364</v>
      </c>
      <c r="D22" s="520">
        <f t="shared" si="0"/>
        <v>93.81443298969072</v>
      </c>
      <c r="E22" s="521">
        <v>22</v>
      </c>
      <c r="F22" s="459"/>
      <c r="G22" s="459"/>
    </row>
    <row r="23" spans="1:7" ht="12.75">
      <c r="A23" s="525" t="s">
        <v>674</v>
      </c>
      <c r="B23" s="519">
        <v>3276</v>
      </c>
      <c r="C23" s="519">
        <v>3325</v>
      </c>
      <c r="D23" s="520">
        <f t="shared" si="0"/>
        <v>101.49572649572649</v>
      </c>
      <c r="E23" s="521">
        <v>303</v>
      </c>
      <c r="F23" s="459"/>
      <c r="G23" s="459"/>
    </row>
    <row r="24" spans="1:7" ht="12.75">
      <c r="A24" s="525" t="s">
        <v>675</v>
      </c>
      <c r="B24" s="519">
        <v>251</v>
      </c>
      <c r="C24" s="519">
        <v>241</v>
      </c>
      <c r="D24" s="520">
        <f t="shared" si="0"/>
        <v>96.01593625498009</v>
      </c>
      <c r="E24" s="521">
        <v>38</v>
      </c>
      <c r="F24" s="459"/>
      <c r="G24" s="459"/>
    </row>
    <row r="25" spans="1:7" ht="12.75">
      <c r="A25" s="525" t="s">
        <v>676</v>
      </c>
      <c r="B25" s="519">
        <v>13443</v>
      </c>
      <c r="C25" s="519">
        <v>11873</v>
      </c>
      <c r="D25" s="520">
        <f t="shared" si="0"/>
        <v>88.32105928736145</v>
      </c>
      <c r="E25" s="521">
        <v>1070</v>
      </c>
      <c r="F25" s="459"/>
      <c r="G25" s="459"/>
    </row>
    <row r="26" spans="1:7" ht="22.5">
      <c r="A26" s="526" t="s">
        <v>677</v>
      </c>
      <c r="B26" s="519">
        <v>468</v>
      </c>
      <c r="C26" s="519">
        <v>501</v>
      </c>
      <c r="D26" s="520">
        <f t="shared" si="0"/>
        <v>107.05128205128204</v>
      </c>
      <c r="E26" s="521">
        <v>62</v>
      </c>
      <c r="F26" s="459"/>
      <c r="G26" s="459"/>
    </row>
    <row r="27" spans="1:7" ht="12.75">
      <c r="A27" s="525" t="s">
        <v>678</v>
      </c>
      <c r="B27" s="519">
        <v>165</v>
      </c>
      <c r="C27" s="519">
        <v>143</v>
      </c>
      <c r="D27" s="520">
        <f t="shared" si="0"/>
        <v>86.66666666666667</v>
      </c>
      <c r="E27" s="521">
        <v>11</v>
      </c>
      <c r="F27" s="459"/>
      <c r="G27" s="459"/>
    </row>
    <row r="28" spans="1:7" ht="38.25">
      <c r="A28" s="527" t="s">
        <v>679</v>
      </c>
      <c r="B28" s="519">
        <v>25388</v>
      </c>
      <c r="C28" s="519">
        <v>23701</v>
      </c>
      <c r="D28" s="520">
        <f t="shared" si="0"/>
        <v>93.35512840712148</v>
      </c>
      <c r="E28" s="521">
        <v>3056</v>
      </c>
      <c r="F28" s="459"/>
      <c r="G28" s="459"/>
    </row>
    <row r="29" spans="1:7" ht="12.75">
      <c r="A29" s="523" t="s">
        <v>680</v>
      </c>
      <c r="B29" s="519">
        <f>B30+B34+B39+B43</f>
        <v>139654</v>
      </c>
      <c r="C29" s="519">
        <f>C30+C34+C39+C43</f>
        <v>132160</v>
      </c>
      <c r="D29" s="520">
        <f t="shared" si="0"/>
        <v>94.63388087702465</v>
      </c>
      <c r="E29" s="519">
        <f>E30+E34+E39+E43</f>
        <v>13364</v>
      </c>
      <c r="F29" s="459"/>
      <c r="G29" s="459"/>
    </row>
    <row r="30" spans="1:7" ht="12.75">
      <c r="A30" s="528" t="s">
        <v>681</v>
      </c>
      <c r="B30" s="519">
        <f>SUM(B31:B33)</f>
        <v>8344</v>
      </c>
      <c r="C30" s="519">
        <f>SUM(C31:C33)</f>
        <v>7620</v>
      </c>
      <c r="D30" s="520">
        <f t="shared" si="0"/>
        <v>91.32310642377757</v>
      </c>
      <c r="E30" s="519">
        <f>SUM(E31:E33)</f>
        <v>949</v>
      </c>
      <c r="F30" s="459"/>
      <c r="G30" s="459"/>
    </row>
    <row r="31" spans="1:7" ht="22.5">
      <c r="A31" s="526" t="s">
        <v>682</v>
      </c>
      <c r="B31" s="519">
        <v>6599</v>
      </c>
      <c r="C31" s="519">
        <v>5957</v>
      </c>
      <c r="D31" s="520">
        <f t="shared" si="0"/>
        <v>90.27125322018487</v>
      </c>
      <c r="E31" s="521">
        <v>821</v>
      </c>
      <c r="F31" s="459"/>
      <c r="G31" s="459"/>
    </row>
    <row r="32" spans="1:7" ht="22.5">
      <c r="A32" s="526" t="s">
        <v>683</v>
      </c>
      <c r="B32" s="519">
        <v>386</v>
      </c>
      <c r="C32" s="519">
        <v>355</v>
      </c>
      <c r="D32" s="520">
        <f t="shared" si="0"/>
        <v>91.96891191709845</v>
      </c>
      <c r="E32" s="521">
        <v>39</v>
      </c>
      <c r="F32" s="459"/>
      <c r="G32" s="459"/>
    </row>
    <row r="33" spans="1:7" ht="12.75">
      <c r="A33" s="525" t="s">
        <v>684</v>
      </c>
      <c r="B33" s="519">
        <v>1359</v>
      </c>
      <c r="C33" s="519">
        <v>1308</v>
      </c>
      <c r="D33" s="520">
        <f t="shared" si="0"/>
        <v>96.24724061810154</v>
      </c>
      <c r="E33" s="521">
        <v>89</v>
      </c>
      <c r="F33" s="459"/>
      <c r="G33" s="459"/>
    </row>
    <row r="34" spans="1:7" ht="12.75">
      <c r="A34" s="528" t="s">
        <v>685</v>
      </c>
      <c r="B34" s="519">
        <f>SUM(B35:B37)</f>
        <v>98703</v>
      </c>
      <c r="C34" s="519">
        <f>SUM(C35:C37)</f>
        <v>94151</v>
      </c>
      <c r="D34" s="520">
        <f t="shared" si="0"/>
        <v>95.38818475628908</v>
      </c>
      <c r="E34" s="519">
        <f>SUM(E35:E37)</f>
        <v>9304</v>
      </c>
      <c r="F34" s="459"/>
      <c r="G34" s="459"/>
    </row>
    <row r="35" spans="1:7" ht="12.75">
      <c r="A35" s="525" t="s">
        <v>686</v>
      </c>
      <c r="B35" s="519">
        <v>82</v>
      </c>
      <c r="C35" s="519">
        <v>154</v>
      </c>
      <c r="D35" s="520">
        <f t="shared" si="0"/>
        <v>187.80487804878047</v>
      </c>
      <c r="E35" s="521">
        <v>80</v>
      </c>
      <c r="F35" s="459"/>
      <c r="G35" s="459"/>
    </row>
    <row r="36" spans="1:5" ht="12">
      <c r="A36" s="525" t="s">
        <v>687</v>
      </c>
      <c r="B36" s="519">
        <v>0</v>
      </c>
      <c r="C36" s="519">
        <v>0</v>
      </c>
      <c r="D36" s="520"/>
      <c r="E36" s="521">
        <v>0</v>
      </c>
    </row>
    <row r="37" spans="1:5" ht="12">
      <c r="A37" s="525" t="s">
        <v>688</v>
      </c>
      <c r="B37" s="519">
        <v>98621</v>
      </c>
      <c r="C37" s="519">
        <v>93997</v>
      </c>
      <c r="D37" s="520">
        <f>C37/B37*100</f>
        <v>95.31134342584237</v>
      </c>
      <c r="E37" s="521">
        <v>9224</v>
      </c>
    </row>
    <row r="38" spans="1:5" ht="33.75">
      <c r="A38" s="529" t="s">
        <v>689</v>
      </c>
      <c r="B38" s="519">
        <v>0</v>
      </c>
      <c r="C38" s="519">
        <v>0</v>
      </c>
      <c r="D38" s="520"/>
      <c r="E38" s="521">
        <v>0</v>
      </c>
    </row>
    <row r="39" spans="1:5" ht="22.5">
      <c r="A39" s="530" t="s">
        <v>690</v>
      </c>
      <c r="B39" s="519">
        <v>31482</v>
      </c>
      <c r="C39" s="519">
        <v>28855</v>
      </c>
      <c r="D39" s="520">
        <f>C39/B39*100</f>
        <v>91.65554920271902</v>
      </c>
      <c r="E39" s="521">
        <v>2623</v>
      </c>
    </row>
    <row r="40" spans="1:5" ht="12">
      <c r="A40" s="525" t="s">
        <v>686</v>
      </c>
      <c r="B40" s="519">
        <v>31482</v>
      </c>
      <c r="C40" s="519">
        <v>28855</v>
      </c>
      <c r="D40" s="520">
        <f>C40/B40*100</f>
        <v>91.65554920271902</v>
      </c>
      <c r="E40" s="521">
        <v>2623</v>
      </c>
    </row>
    <row r="41" spans="1:5" ht="12">
      <c r="A41" s="525" t="s">
        <v>691</v>
      </c>
      <c r="B41" s="519">
        <v>0</v>
      </c>
      <c r="C41" s="519">
        <v>0</v>
      </c>
      <c r="D41" s="520"/>
      <c r="E41" s="521">
        <v>0</v>
      </c>
    </row>
    <row r="42" spans="1:5" ht="22.5">
      <c r="A42" s="526" t="s">
        <v>692</v>
      </c>
      <c r="B42" s="519">
        <v>0</v>
      </c>
      <c r="C42" s="519">
        <v>0</v>
      </c>
      <c r="D42" s="520"/>
      <c r="E42" s="521">
        <v>0</v>
      </c>
    </row>
    <row r="43" spans="1:5" ht="12">
      <c r="A43" s="531" t="s">
        <v>693</v>
      </c>
      <c r="B43" s="532">
        <v>1125</v>
      </c>
      <c r="C43" s="532">
        <v>1534</v>
      </c>
      <c r="D43" s="533">
        <f>C43/B43*100</f>
        <v>136.35555555555555</v>
      </c>
      <c r="E43" s="534">
        <v>488</v>
      </c>
    </row>
    <row r="44" spans="1:5" ht="12">
      <c r="A44" s="535" t="s">
        <v>694</v>
      </c>
      <c r="B44" s="536"/>
      <c r="C44" s="537"/>
      <c r="D44" s="538"/>
      <c r="E44" s="539"/>
    </row>
    <row r="45" spans="1:5" ht="12.75">
      <c r="A45" s="535"/>
      <c r="B45" s="540"/>
      <c r="C45" s="540"/>
      <c r="D45" s="540"/>
      <c r="E45" s="539"/>
    </row>
    <row r="46" spans="1:5" ht="12.75">
      <c r="A46" s="535"/>
      <c r="B46" s="540"/>
      <c r="C46" s="540"/>
      <c r="D46" s="540"/>
      <c r="E46" s="539"/>
    </row>
    <row r="47" spans="1:5" s="543" customFormat="1" ht="15.75" customHeight="1">
      <c r="A47" s="541" t="s">
        <v>695</v>
      </c>
      <c r="B47" s="541"/>
      <c r="C47" s="542"/>
      <c r="D47" s="542"/>
      <c r="E47" s="498" t="s">
        <v>653</v>
      </c>
    </row>
    <row r="48" spans="1:4" s="538" customFormat="1" ht="12" hidden="1">
      <c r="A48" s="544"/>
      <c r="B48" s="539"/>
      <c r="C48" s="537"/>
      <c r="D48" s="537"/>
    </row>
    <row r="49" spans="1:5" s="543" customFormat="1" ht="15.75" customHeight="1">
      <c r="A49" s="541"/>
      <c r="B49" s="540"/>
      <c r="C49" s="540"/>
      <c r="D49" s="540"/>
      <c r="E49" s="498"/>
    </row>
    <row r="50" spans="1:4" ht="12.75">
      <c r="A50" s="540"/>
      <c r="B50" s="540"/>
      <c r="C50" s="540"/>
      <c r="D50" s="540"/>
    </row>
    <row r="51" spans="1:4" s="538" customFormat="1" ht="13.5" customHeight="1">
      <c r="A51" s="545"/>
      <c r="C51" s="546"/>
      <c r="D51" s="458"/>
    </row>
    <row r="52" spans="1:4" ht="12.75">
      <c r="A52" s="540"/>
      <c r="B52" s="538"/>
      <c r="C52" s="538"/>
      <c r="D52" s="538"/>
    </row>
    <row r="53" spans="1:4" s="538" customFormat="1" ht="11.25">
      <c r="A53" s="545"/>
      <c r="C53" s="546"/>
      <c r="D53" s="458"/>
    </row>
    <row r="54" spans="1:4" ht="13.5" customHeight="1">
      <c r="A54" s="540"/>
      <c r="B54" s="538"/>
      <c r="C54" s="538"/>
      <c r="D54" s="538"/>
    </row>
    <row r="55" spans="1:3" ht="12">
      <c r="A55" s="541"/>
      <c r="B55" s="547"/>
      <c r="C55" s="546"/>
    </row>
    <row r="56" spans="1:3" ht="12">
      <c r="A56" s="541"/>
      <c r="B56" s="547"/>
      <c r="C56" s="509"/>
    </row>
    <row r="58" spans="1:3" ht="12">
      <c r="A58" s="548"/>
      <c r="B58" s="547"/>
      <c r="C58" s="543"/>
    </row>
    <row r="59" spans="1:3" ht="12">
      <c r="A59" s="541"/>
      <c r="B59" s="547"/>
      <c r="C59" s="543"/>
    </row>
  </sheetData>
  <printOptions/>
  <pageMargins left="1.05" right="0.38" top="0.49" bottom="0.24" header="0.25" footer="0.31"/>
  <pageSetup firstPageNumber="26" useFirstPageNumber="1" horizontalDpi="600" verticalDpi="600" orientation="portrait" paperSize="9" r:id="rId1"/>
  <headerFooter alignWithMargins="0">
    <oddFooter>&amp;L&amp;"Arial,Regular"&amp;8          Valsts kase / Pārskatu departaments    
          15.12.00.
           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6"/>
  <dimension ref="A1:I66"/>
  <sheetViews>
    <sheetView showGridLines="0" showZeros="0" workbookViewId="0" topLeftCell="A1">
      <selection activeCell="A15" sqref="A15"/>
    </sheetView>
  </sheetViews>
  <sheetFormatPr defaultColWidth="9.140625" defaultRowHeight="12.75"/>
  <cols>
    <col min="1" max="1" width="41.00390625" style="507" customWidth="1"/>
    <col min="2" max="2" width="13.140625" style="572" customWidth="1"/>
    <col min="3" max="5" width="13.140625" style="458" customWidth="1"/>
    <col min="6" max="6" width="11.28125" style="458" customWidth="1"/>
    <col min="7" max="16384" width="8.00390625" style="458" customWidth="1"/>
  </cols>
  <sheetData>
    <row r="1" spans="1:6" ht="12.75">
      <c r="A1" s="501" t="s">
        <v>696</v>
      </c>
      <c r="B1" s="501"/>
      <c r="C1" s="456"/>
      <c r="D1" s="456"/>
      <c r="E1" s="456" t="s">
        <v>697</v>
      </c>
      <c r="F1" s="540" t="s">
        <v>309</v>
      </c>
    </row>
    <row r="2" spans="1:6" ht="12.75">
      <c r="A2" s="501"/>
      <c r="B2" s="501"/>
      <c r="C2" s="456"/>
      <c r="D2" s="456"/>
      <c r="E2" s="456"/>
      <c r="F2" s="540"/>
    </row>
    <row r="3" spans="1:6" ht="12.75">
      <c r="A3" s="501"/>
      <c r="B3" s="501"/>
      <c r="C3" s="456"/>
      <c r="D3" s="456"/>
      <c r="E3" s="456"/>
      <c r="F3" s="540"/>
    </row>
    <row r="4" spans="1:5" s="509" customFormat="1" ht="11.25">
      <c r="A4" s="549"/>
      <c r="B4" s="549"/>
      <c r="C4" s="550"/>
      <c r="D4" s="550"/>
      <c r="E4" s="550"/>
    </row>
    <row r="5" spans="1:6" ht="15.75">
      <c r="A5" s="503" t="s">
        <v>698</v>
      </c>
      <c r="B5" s="504"/>
      <c r="C5" s="505"/>
      <c r="D5" s="505"/>
      <c r="E5" s="505"/>
      <c r="F5" s="505"/>
    </row>
    <row r="6" spans="1:6" s="506" customFormat="1" ht="15.75">
      <c r="A6" s="503" t="s">
        <v>699</v>
      </c>
      <c r="B6" s="504"/>
      <c r="C6" s="505"/>
      <c r="D6" s="505"/>
      <c r="E6" s="505"/>
      <c r="F6" s="505"/>
    </row>
    <row r="7" spans="1:6" s="506" customFormat="1" ht="15">
      <c r="A7" s="507"/>
      <c r="B7" s="551"/>
      <c r="C7" s="508"/>
      <c r="D7" s="508"/>
      <c r="E7" s="508"/>
      <c r="F7" s="458"/>
    </row>
    <row r="8" spans="1:6" ht="11.25">
      <c r="A8" s="548"/>
      <c r="B8" s="552"/>
      <c r="C8" s="509"/>
      <c r="D8" s="550" t="s">
        <v>700</v>
      </c>
      <c r="E8" s="550"/>
      <c r="F8" s="553"/>
    </row>
    <row r="9" spans="1:5" s="509" customFormat="1" ht="43.5" customHeight="1">
      <c r="A9" s="554" t="s">
        <v>101</v>
      </c>
      <c r="B9" s="555" t="s">
        <v>609</v>
      </c>
      <c r="C9" s="555" t="s">
        <v>104</v>
      </c>
      <c r="D9" s="555" t="s">
        <v>661</v>
      </c>
      <c r="E9" s="514" t="s">
        <v>357</v>
      </c>
    </row>
    <row r="10" spans="1:5" ht="11.25">
      <c r="A10" s="515" t="s">
        <v>662</v>
      </c>
      <c r="B10" s="516" t="s">
        <v>701</v>
      </c>
      <c r="C10" s="516" t="s">
        <v>702</v>
      </c>
      <c r="D10" s="516" t="s">
        <v>703</v>
      </c>
      <c r="E10" s="517" t="s">
        <v>663</v>
      </c>
    </row>
    <row r="11" spans="1:5" ht="12.75">
      <c r="A11" s="522" t="s">
        <v>704</v>
      </c>
      <c r="B11" s="519">
        <f>B12+B30</f>
        <v>405556</v>
      </c>
      <c r="C11" s="519">
        <f>C12+C30</f>
        <v>391351</v>
      </c>
      <c r="D11" s="520">
        <f aca="true" t="shared" si="0" ref="D11:D36">C11/B11*100</f>
        <v>96.49740109873852</v>
      </c>
      <c r="E11" s="519">
        <f>E12+E30</f>
        <v>38745</v>
      </c>
    </row>
    <row r="12" spans="1:5" s="459" customFormat="1" ht="12.75">
      <c r="A12" s="556" t="s">
        <v>705</v>
      </c>
      <c r="B12" s="519">
        <f>SUM(B13:B29)</f>
        <v>372156</v>
      </c>
      <c r="C12" s="519">
        <f>SUM(C13:C29)</f>
        <v>361120</v>
      </c>
      <c r="D12" s="520">
        <f t="shared" si="0"/>
        <v>97.03457689786003</v>
      </c>
      <c r="E12" s="519">
        <f>SUM(E13:E29)</f>
        <v>35608</v>
      </c>
    </row>
    <row r="13" spans="1:5" s="543" customFormat="1" ht="12">
      <c r="A13" s="526" t="s">
        <v>706</v>
      </c>
      <c r="B13" s="519">
        <v>43047</v>
      </c>
      <c r="C13" s="519">
        <v>39625</v>
      </c>
      <c r="D13" s="520">
        <f t="shared" si="0"/>
        <v>92.05054939949358</v>
      </c>
      <c r="E13" s="521">
        <v>4412</v>
      </c>
    </row>
    <row r="14" spans="1:5" s="543" customFormat="1" ht="12">
      <c r="A14" s="526" t="s">
        <v>574</v>
      </c>
      <c r="B14" s="519">
        <v>128</v>
      </c>
      <c r="C14" s="519">
        <v>280</v>
      </c>
      <c r="D14" s="520">
        <f t="shared" si="0"/>
        <v>218.75</v>
      </c>
      <c r="E14" s="521">
        <v>191</v>
      </c>
    </row>
    <row r="15" spans="1:5" s="543" customFormat="1" ht="12">
      <c r="A15" s="526" t="s">
        <v>575</v>
      </c>
      <c r="B15" s="519">
        <v>5970</v>
      </c>
      <c r="C15" s="519">
        <v>5235</v>
      </c>
      <c r="D15" s="520">
        <f t="shared" si="0"/>
        <v>87.68844221105527</v>
      </c>
      <c r="E15" s="521">
        <v>489</v>
      </c>
    </row>
    <row r="16" spans="1:9" s="543" customFormat="1" ht="12">
      <c r="A16" s="526" t="s">
        <v>576</v>
      </c>
      <c r="B16" s="519">
        <v>192902</v>
      </c>
      <c r="C16" s="519">
        <v>176572</v>
      </c>
      <c r="D16" s="520">
        <f t="shared" si="0"/>
        <v>91.53456159085961</v>
      </c>
      <c r="E16" s="521">
        <v>16739</v>
      </c>
      <c r="I16" s="543" t="s">
        <v>309</v>
      </c>
    </row>
    <row r="17" spans="1:5" s="543" customFormat="1" ht="12">
      <c r="A17" s="526" t="s">
        <v>577</v>
      </c>
      <c r="B17" s="519">
        <v>4873</v>
      </c>
      <c r="C17" s="519">
        <v>5556</v>
      </c>
      <c r="D17" s="520">
        <f t="shared" si="0"/>
        <v>114.01600656679662</v>
      </c>
      <c r="E17" s="521">
        <v>66</v>
      </c>
    </row>
    <row r="18" spans="1:5" s="543" customFormat="1" ht="12">
      <c r="A18" s="526" t="s">
        <v>578</v>
      </c>
      <c r="B18" s="519">
        <v>33865</v>
      </c>
      <c r="C18" s="519">
        <v>29897</v>
      </c>
      <c r="D18" s="520">
        <f t="shared" si="0"/>
        <v>88.28288793739848</v>
      </c>
      <c r="E18" s="521">
        <v>3601</v>
      </c>
    </row>
    <row r="19" spans="1:5" s="543" customFormat="1" ht="12">
      <c r="A19" s="526" t="s">
        <v>579</v>
      </c>
      <c r="B19" s="519">
        <v>51891</v>
      </c>
      <c r="C19" s="519">
        <v>60842</v>
      </c>
      <c r="D19" s="520">
        <f t="shared" si="0"/>
        <v>117.2496193945</v>
      </c>
      <c r="E19" s="521">
        <v>6180</v>
      </c>
    </row>
    <row r="20" spans="1:5" s="543" customFormat="1" ht="12">
      <c r="A20" s="526" t="s">
        <v>707</v>
      </c>
      <c r="B20" s="519">
        <v>23855</v>
      </c>
      <c r="C20" s="519">
        <v>25477</v>
      </c>
      <c r="D20" s="520">
        <f t="shared" si="0"/>
        <v>106.79941312093901</v>
      </c>
      <c r="E20" s="521">
        <v>2430</v>
      </c>
    </row>
    <row r="21" spans="1:5" s="543" customFormat="1" ht="12">
      <c r="A21" s="526" t="s">
        <v>581</v>
      </c>
      <c r="B21" s="519">
        <v>1420</v>
      </c>
      <c r="C21" s="519">
        <v>1435</v>
      </c>
      <c r="D21" s="520">
        <f t="shared" si="0"/>
        <v>101.05633802816902</v>
      </c>
      <c r="E21" s="521">
        <v>200</v>
      </c>
    </row>
    <row r="22" spans="1:5" s="543" customFormat="1" ht="12">
      <c r="A22" s="526" t="s">
        <v>708</v>
      </c>
      <c r="B22" s="519">
        <v>1545</v>
      </c>
      <c r="C22" s="519">
        <v>1160</v>
      </c>
      <c r="D22" s="520">
        <f t="shared" si="0"/>
        <v>75.08090614886731</v>
      </c>
      <c r="E22" s="521">
        <v>127</v>
      </c>
    </row>
    <row r="23" spans="1:5" s="543" customFormat="1" ht="22.5">
      <c r="A23" s="526" t="s">
        <v>583</v>
      </c>
      <c r="B23" s="519">
        <v>27</v>
      </c>
      <c r="C23" s="519">
        <v>59</v>
      </c>
      <c r="D23" s="520">
        <f t="shared" si="0"/>
        <v>218.5185185185185</v>
      </c>
      <c r="E23" s="521">
        <v>0</v>
      </c>
    </row>
    <row r="24" spans="1:5" s="543" customFormat="1" ht="12">
      <c r="A24" s="526" t="s">
        <v>709</v>
      </c>
      <c r="B24" s="543">
        <v>4632</v>
      </c>
      <c r="C24" s="519">
        <v>9706</v>
      </c>
      <c r="D24" s="520">
        <f t="shared" si="0"/>
        <v>209.54231433506044</v>
      </c>
      <c r="E24" s="557">
        <v>626</v>
      </c>
    </row>
    <row r="25" spans="1:5" s="543" customFormat="1" ht="12">
      <c r="A25" s="526" t="s">
        <v>585</v>
      </c>
      <c r="B25" s="519">
        <v>1155</v>
      </c>
      <c r="C25" s="519">
        <v>1053</v>
      </c>
      <c r="D25" s="520">
        <f t="shared" si="0"/>
        <v>91.16883116883116</v>
      </c>
      <c r="E25" s="521">
        <v>161</v>
      </c>
    </row>
    <row r="26" spans="1:5" s="543" customFormat="1" ht="12">
      <c r="A26" s="526" t="s">
        <v>710</v>
      </c>
      <c r="B26" s="519">
        <v>3134</v>
      </c>
      <c r="C26" s="519">
        <v>2863</v>
      </c>
      <c r="D26" s="520">
        <f t="shared" si="0"/>
        <v>91.35290363752392</v>
      </c>
      <c r="E26" s="521">
        <v>138</v>
      </c>
    </row>
    <row r="27" spans="1:5" s="543" customFormat="1" ht="12">
      <c r="A27" s="526" t="s">
        <v>711</v>
      </c>
      <c r="B27" s="519">
        <v>643</v>
      </c>
      <c r="C27" s="519">
        <v>454</v>
      </c>
      <c r="D27" s="520">
        <f t="shared" si="0"/>
        <v>70.60653188180405</v>
      </c>
      <c r="E27" s="521">
        <v>48</v>
      </c>
    </row>
    <row r="28" spans="1:5" s="543" customFormat="1" ht="12">
      <c r="A28" s="526" t="s">
        <v>712</v>
      </c>
      <c r="B28" s="519">
        <v>2347</v>
      </c>
      <c r="C28" s="519">
        <v>52</v>
      </c>
      <c r="D28" s="520">
        <f t="shared" si="0"/>
        <v>2.2155943757988923</v>
      </c>
      <c r="E28" s="521">
        <v>32</v>
      </c>
    </row>
    <row r="29" spans="1:5" s="543" customFormat="1" ht="12">
      <c r="A29" s="526" t="s">
        <v>713</v>
      </c>
      <c r="B29" s="519">
        <v>722</v>
      </c>
      <c r="C29" s="519">
        <v>854</v>
      </c>
      <c r="D29" s="520">
        <f t="shared" si="0"/>
        <v>118.2825484764543</v>
      </c>
      <c r="E29" s="521">
        <v>168</v>
      </c>
    </row>
    <row r="30" spans="1:5" s="543" customFormat="1" ht="12.75" customHeight="1">
      <c r="A30" s="556" t="s">
        <v>714</v>
      </c>
      <c r="B30" s="519">
        <f>B31+B35</f>
        <v>33400</v>
      </c>
      <c r="C30" s="519">
        <f>C31+C35</f>
        <v>30231</v>
      </c>
      <c r="D30" s="520">
        <f t="shared" si="0"/>
        <v>90.5119760479042</v>
      </c>
      <c r="E30" s="519">
        <f>E31+E35</f>
        <v>3137</v>
      </c>
    </row>
    <row r="31" spans="1:5" s="543" customFormat="1" ht="12">
      <c r="A31" s="558" t="s">
        <v>681</v>
      </c>
      <c r="B31" s="519">
        <f>SUM(B32:B34)</f>
        <v>8825</v>
      </c>
      <c r="C31" s="519">
        <f>SUM(C32:C34)</f>
        <v>7731</v>
      </c>
      <c r="D31" s="520">
        <f t="shared" si="0"/>
        <v>87.60339943342777</v>
      </c>
      <c r="E31" s="519">
        <f>SUM(E32:E34)</f>
        <v>1063</v>
      </c>
    </row>
    <row r="32" spans="1:5" s="543" customFormat="1" ht="22.5">
      <c r="A32" s="559" t="s">
        <v>715</v>
      </c>
      <c r="B32" s="519">
        <v>7612</v>
      </c>
      <c r="C32" s="519">
        <v>6667</v>
      </c>
      <c r="D32" s="520">
        <f t="shared" si="0"/>
        <v>87.58539148712559</v>
      </c>
      <c r="E32" s="521">
        <v>958</v>
      </c>
    </row>
    <row r="33" spans="1:5" s="543" customFormat="1" ht="22.5">
      <c r="A33" s="559" t="s">
        <v>716</v>
      </c>
      <c r="B33" s="519">
        <v>569</v>
      </c>
      <c r="C33" s="519">
        <v>488</v>
      </c>
      <c r="D33" s="520">
        <f t="shared" si="0"/>
        <v>85.76449912126537</v>
      </c>
      <c r="E33" s="521">
        <v>56</v>
      </c>
    </row>
    <row r="34" spans="1:5" s="543" customFormat="1" ht="12">
      <c r="A34" s="559" t="s">
        <v>684</v>
      </c>
      <c r="B34" s="519">
        <v>644</v>
      </c>
      <c r="C34" s="560">
        <v>576</v>
      </c>
      <c r="D34" s="520">
        <f t="shared" si="0"/>
        <v>89.44099378881988</v>
      </c>
      <c r="E34" s="521">
        <v>49</v>
      </c>
    </row>
    <row r="35" spans="1:5" s="543" customFormat="1" ht="22.5">
      <c r="A35" s="558" t="s">
        <v>717</v>
      </c>
      <c r="B35" s="519">
        <v>24575</v>
      </c>
      <c r="C35" s="560">
        <v>22500</v>
      </c>
      <c r="D35" s="520">
        <f t="shared" si="0"/>
        <v>91.55645981688708</v>
      </c>
      <c r="E35" s="521">
        <v>2074</v>
      </c>
    </row>
    <row r="36" spans="1:5" s="543" customFormat="1" ht="12">
      <c r="A36" s="561" t="s">
        <v>718</v>
      </c>
      <c r="B36" s="519">
        <v>24575</v>
      </c>
      <c r="C36" s="560">
        <v>22500</v>
      </c>
      <c r="D36" s="520">
        <f t="shared" si="0"/>
        <v>91.55645981688708</v>
      </c>
      <c r="E36" s="521">
        <v>2074</v>
      </c>
    </row>
    <row r="37" spans="1:5" s="496" customFormat="1" ht="12">
      <c r="A37" s="562" t="s">
        <v>719</v>
      </c>
      <c r="B37" s="563"/>
      <c r="C37" s="563"/>
      <c r="D37" s="564"/>
      <c r="E37" s="565"/>
    </row>
    <row r="38" spans="1:5" s="496" customFormat="1" ht="12">
      <c r="A38" s="566"/>
      <c r="B38" s="567"/>
      <c r="C38" s="567"/>
      <c r="D38" s="567"/>
      <c r="E38" s="567"/>
    </row>
    <row r="39" spans="1:8" s="543" customFormat="1" ht="12">
      <c r="A39" s="509" t="s">
        <v>720</v>
      </c>
      <c r="C39" s="568"/>
      <c r="E39" s="458"/>
      <c r="F39" s="458"/>
      <c r="G39" s="458"/>
      <c r="H39" s="458"/>
    </row>
    <row r="40" spans="1:8" s="543" customFormat="1" ht="12">
      <c r="A40" s="569"/>
      <c r="B40" s="570"/>
      <c r="C40" s="568"/>
      <c r="D40" s="567"/>
      <c r="E40" s="458"/>
      <c r="F40" s="458"/>
      <c r="G40" s="458"/>
      <c r="H40" s="458"/>
    </row>
    <row r="41" spans="1:8" s="543" customFormat="1" ht="12">
      <c r="A41" s="569"/>
      <c r="B41" s="570"/>
      <c r="C41" s="568"/>
      <c r="D41" s="567"/>
      <c r="E41" s="458"/>
      <c r="F41" s="458"/>
      <c r="G41" s="458"/>
      <c r="H41" s="458"/>
    </row>
    <row r="42" spans="1:8" s="543" customFormat="1" ht="12">
      <c r="A42" s="541"/>
      <c r="B42" s="568"/>
      <c r="C42" s="567"/>
      <c r="E42" s="458"/>
      <c r="F42" s="458"/>
      <c r="G42" s="458"/>
      <c r="H42" s="458"/>
    </row>
    <row r="43" spans="1:8" s="543" customFormat="1" ht="12">
      <c r="A43" s="541" t="s">
        <v>695</v>
      </c>
      <c r="B43" s="541"/>
      <c r="C43" s="542"/>
      <c r="D43" s="542"/>
      <c r="E43" s="498" t="s">
        <v>653</v>
      </c>
      <c r="F43" s="458"/>
      <c r="G43" s="458"/>
      <c r="H43" s="458"/>
    </row>
    <row r="44" spans="1:8" s="543" customFormat="1" ht="12">
      <c r="A44" s="541"/>
      <c r="B44" s="541"/>
      <c r="C44" s="571"/>
      <c r="D44" s="571"/>
      <c r="E44" s="458"/>
      <c r="F44" s="458"/>
      <c r="G44" s="458"/>
      <c r="H44" s="458"/>
    </row>
    <row r="45" spans="1:8" s="543" customFormat="1" ht="12">
      <c r="A45" s="541"/>
      <c r="B45" s="568"/>
      <c r="E45" s="458"/>
      <c r="F45" s="458"/>
      <c r="G45" s="458"/>
      <c r="H45" s="458"/>
    </row>
    <row r="46" spans="1:8" s="543" customFormat="1" ht="12">
      <c r="A46" s="541"/>
      <c r="B46" s="541"/>
      <c r="C46" s="571"/>
      <c r="D46" s="571"/>
      <c r="E46" s="458"/>
      <c r="F46" s="458"/>
      <c r="G46" s="458"/>
      <c r="H46" s="458"/>
    </row>
    <row r="47" spans="1:8" s="543" customFormat="1" ht="12">
      <c r="A47" s="541"/>
      <c r="B47" s="541"/>
      <c r="C47" s="571"/>
      <c r="E47" s="458"/>
      <c r="F47" s="458"/>
      <c r="G47" s="458"/>
      <c r="H47" s="458"/>
    </row>
    <row r="48" spans="1:4" ht="12">
      <c r="A48" s="541"/>
      <c r="B48" s="507"/>
      <c r="C48" s="547"/>
      <c r="D48" s="571"/>
    </row>
    <row r="66" spans="5:8" ht="11.25">
      <c r="E66" s="458">
        <v>0</v>
      </c>
      <c r="F66" s="458">
        <v>0</v>
      </c>
      <c r="G66" s="458">
        <v>0</v>
      </c>
      <c r="H66" s="458">
        <v>0</v>
      </c>
    </row>
  </sheetData>
  <printOptions/>
  <pageMargins left="0.79" right="0.15748031496062992" top="1.03" bottom="0.25" header="0.25" footer="0.24"/>
  <pageSetup firstPageNumber="27" useFirstPageNumber="1" horizontalDpi="600" verticalDpi="600" orientation="portrait" paperSize="9" r:id="rId1"/>
  <headerFooter alignWithMargins="0">
    <oddFooter>&amp;L&amp;"Arial,Regular"&amp;8  Valsts kase / Pārskatu departaments
   15.12.00.
&amp;R&amp;P</oddFooter>
  </headerFooter>
  <rowBreaks count="1" manualBreakCount="1">
    <brk id="48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/>
  <dimension ref="A1:F49"/>
  <sheetViews>
    <sheetView showGridLines="0" showZeros="0" workbookViewId="0" topLeftCell="A1">
      <selection activeCell="A15" sqref="A15"/>
    </sheetView>
  </sheetViews>
  <sheetFormatPr defaultColWidth="9.140625" defaultRowHeight="12.75"/>
  <cols>
    <col min="1" max="1" width="40.57421875" style="507" customWidth="1"/>
    <col min="2" max="5" width="12.28125" style="458" customWidth="1"/>
    <col min="6" max="16384" width="8.00390625" style="458" customWidth="1"/>
  </cols>
  <sheetData>
    <row r="1" spans="1:5" s="509" customFormat="1" ht="12.75">
      <c r="A1" s="501" t="s">
        <v>721</v>
      </c>
      <c r="B1" s="456"/>
      <c r="C1" s="456"/>
      <c r="D1" s="456"/>
      <c r="E1" s="456" t="s">
        <v>722</v>
      </c>
    </row>
    <row r="2" spans="1:6" s="459" customFormat="1" ht="12.75">
      <c r="A2" s="501"/>
      <c r="B2" s="456"/>
      <c r="C2" s="456"/>
      <c r="D2" s="456"/>
      <c r="E2" s="573"/>
      <c r="F2" s="540"/>
    </row>
    <row r="3" spans="1:5" s="509" customFormat="1" ht="11.25">
      <c r="A3" s="548"/>
      <c r="D3" s="550"/>
      <c r="E3" s="550"/>
    </row>
    <row r="4" spans="1:5" s="506" customFormat="1" ht="31.5">
      <c r="A4" s="503" t="s">
        <v>723</v>
      </c>
      <c r="B4" s="505"/>
      <c r="C4" s="505"/>
      <c r="D4" s="505"/>
      <c r="E4" s="505"/>
    </row>
    <row r="5" spans="1:5" s="506" customFormat="1" ht="15.75">
      <c r="A5" s="503" t="s">
        <v>699</v>
      </c>
      <c r="B5" s="505"/>
      <c r="C5" s="505"/>
      <c r="D5" s="505"/>
      <c r="E5" s="505"/>
    </row>
    <row r="6" spans="1:4" ht="15">
      <c r="A6" s="574"/>
      <c r="B6" s="508"/>
      <c r="C6" s="508"/>
      <c r="D6" s="508"/>
    </row>
    <row r="7" spans="1:4" ht="15">
      <c r="A7" s="574"/>
      <c r="B7" s="508"/>
      <c r="C7" s="508"/>
      <c r="D7" s="508"/>
    </row>
    <row r="8" spans="1:5" s="509" customFormat="1" ht="11.25" customHeight="1">
      <c r="A8" s="548"/>
      <c r="C8" s="550" t="s">
        <v>724</v>
      </c>
      <c r="D8" s="550"/>
      <c r="E8" s="550"/>
    </row>
    <row r="9" spans="1:5" s="509" customFormat="1" ht="33.75" customHeight="1">
      <c r="A9" s="554" t="s">
        <v>101</v>
      </c>
      <c r="B9" s="555" t="s">
        <v>609</v>
      </c>
      <c r="C9" s="555" t="s">
        <v>104</v>
      </c>
      <c r="D9" s="555" t="s">
        <v>661</v>
      </c>
      <c r="E9" s="514" t="s">
        <v>357</v>
      </c>
    </row>
    <row r="10" spans="1:5" s="459" customFormat="1" ht="12.75" customHeight="1">
      <c r="A10" s="515" t="s">
        <v>662</v>
      </c>
      <c r="B10" s="516" t="s">
        <v>701</v>
      </c>
      <c r="C10" s="516" t="s">
        <v>702</v>
      </c>
      <c r="D10" s="516" t="s">
        <v>703</v>
      </c>
      <c r="E10" s="517" t="s">
        <v>663</v>
      </c>
    </row>
    <row r="11" spans="1:5" s="459" customFormat="1" ht="12.75" customHeight="1">
      <c r="A11" s="522" t="s">
        <v>359</v>
      </c>
      <c r="B11" s="519">
        <v>407244</v>
      </c>
      <c r="C11" s="519">
        <v>382618</v>
      </c>
      <c r="D11" s="520">
        <f aca="true" t="shared" si="0" ref="D11:D39">C11/B11*100</f>
        <v>93.95301097130958</v>
      </c>
      <c r="E11" s="521">
        <v>39738</v>
      </c>
    </row>
    <row r="12" spans="1:5" s="459" customFormat="1" ht="12.75">
      <c r="A12" s="522" t="s">
        <v>725</v>
      </c>
      <c r="B12" s="519">
        <f>B13+B31</f>
        <v>406064</v>
      </c>
      <c r="C12" s="519">
        <f>C13+C31</f>
        <v>391544</v>
      </c>
      <c r="D12" s="520">
        <f t="shared" si="0"/>
        <v>96.42420899168604</v>
      </c>
      <c r="E12" s="521">
        <f>E13+E31</f>
        <v>39025</v>
      </c>
    </row>
    <row r="13" spans="1:5" s="538" customFormat="1" ht="11.25" customHeight="1">
      <c r="A13" s="556" t="s">
        <v>367</v>
      </c>
      <c r="B13" s="519">
        <f>SUM(B14+B24+B25)</f>
        <v>367395</v>
      </c>
      <c r="C13" s="519">
        <f>SUM(C14+C24+C25)</f>
        <v>325442</v>
      </c>
      <c r="D13" s="520">
        <f t="shared" si="0"/>
        <v>88.58095510281849</v>
      </c>
      <c r="E13" s="519">
        <f>SUM(E14+E24+E25)</f>
        <v>32146</v>
      </c>
    </row>
    <row r="14" spans="1:5" s="538" customFormat="1" ht="11.25" customHeight="1">
      <c r="A14" s="575" t="s">
        <v>368</v>
      </c>
      <c r="B14" s="519">
        <v>298725</v>
      </c>
      <c r="C14" s="519">
        <v>263945</v>
      </c>
      <c r="D14" s="520">
        <f t="shared" si="0"/>
        <v>88.35718470164868</v>
      </c>
      <c r="E14" s="521">
        <v>26356</v>
      </c>
    </row>
    <row r="15" spans="1:5" ht="12">
      <c r="A15" s="559" t="s">
        <v>726</v>
      </c>
      <c r="B15" s="519">
        <v>147288</v>
      </c>
      <c r="C15" s="519">
        <v>132131</v>
      </c>
      <c r="D15" s="520">
        <f t="shared" si="0"/>
        <v>89.7092770626256</v>
      </c>
      <c r="E15" s="521">
        <v>12938</v>
      </c>
    </row>
    <row r="16" spans="1:5" ht="12">
      <c r="A16" s="559" t="s">
        <v>727</v>
      </c>
      <c r="B16" s="519">
        <v>40129</v>
      </c>
      <c r="C16" s="519">
        <v>35020</v>
      </c>
      <c r="D16" s="520">
        <f t="shared" si="0"/>
        <v>87.26855889755538</v>
      </c>
      <c r="E16" s="521">
        <v>3422</v>
      </c>
    </row>
    <row r="17" spans="1:5" ht="12" hidden="1">
      <c r="A17" s="559" t="s">
        <v>728</v>
      </c>
      <c r="B17" s="519">
        <v>40129</v>
      </c>
      <c r="C17" s="519">
        <v>35020</v>
      </c>
      <c r="D17" s="520">
        <f t="shared" si="0"/>
        <v>87.26855889755538</v>
      </c>
      <c r="E17" s="521">
        <v>3422</v>
      </c>
    </row>
    <row r="18" spans="1:5" ht="12" hidden="1">
      <c r="A18" s="559" t="s">
        <v>729</v>
      </c>
      <c r="B18" s="519">
        <v>1376</v>
      </c>
      <c r="C18" s="519">
        <v>1209</v>
      </c>
      <c r="D18" s="520">
        <f t="shared" si="0"/>
        <v>87.86337209302324</v>
      </c>
      <c r="E18" s="521">
        <v>119</v>
      </c>
    </row>
    <row r="19" spans="1:5" ht="12" hidden="1">
      <c r="A19" s="559" t="s">
        <v>730</v>
      </c>
      <c r="B19" s="519">
        <v>52215</v>
      </c>
      <c r="C19" s="519">
        <v>46218</v>
      </c>
      <c r="D19" s="520">
        <f t="shared" si="0"/>
        <v>88.5147945992531</v>
      </c>
      <c r="E19" s="521">
        <v>4832</v>
      </c>
    </row>
    <row r="20" spans="1:5" ht="12" hidden="1">
      <c r="A20" s="559" t="s">
        <v>731</v>
      </c>
      <c r="B20" s="519">
        <v>55592</v>
      </c>
      <c r="C20" s="519">
        <v>47603</v>
      </c>
      <c r="D20" s="520">
        <f t="shared" si="0"/>
        <v>85.62922722693914</v>
      </c>
      <c r="E20" s="521">
        <v>4763</v>
      </c>
    </row>
    <row r="21" spans="1:5" ht="12">
      <c r="A21" s="559" t="s">
        <v>732</v>
      </c>
      <c r="B21" s="519">
        <v>111308</v>
      </c>
      <c r="C21" s="519">
        <v>96794</v>
      </c>
      <c r="D21" s="520">
        <f t="shared" si="0"/>
        <v>86.96050598339741</v>
      </c>
      <c r="E21" s="521">
        <v>9996</v>
      </c>
    </row>
    <row r="22" spans="1:5" ht="12">
      <c r="A22" s="576" t="s">
        <v>733</v>
      </c>
      <c r="B22" s="519">
        <v>107807</v>
      </c>
      <c r="C22" s="519">
        <v>93821</v>
      </c>
      <c r="D22" s="520">
        <f t="shared" si="0"/>
        <v>87.02681644049088</v>
      </c>
      <c r="E22" s="521">
        <v>9594</v>
      </c>
    </row>
    <row r="23" spans="1:5" ht="12">
      <c r="A23" s="576" t="s">
        <v>734</v>
      </c>
      <c r="B23" s="519">
        <v>3501</v>
      </c>
      <c r="C23" s="519">
        <v>2973</v>
      </c>
      <c r="D23" s="520">
        <f t="shared" si="0"/>
        <v>84.91859468723221</v>
      </c>
      <c r="E23" s="521">
        <v>402</v>
      </c>
    </row>
    <row r="24" spans="1:5" ht="12">
      <c r="A24" s="575" t="s">
        <v>735</v>
      </c>
      <c r="B24" s="519">
        <v>3954</v>
      </c>
      <c r="C24" s="519">
        <v>3457</v>
      </c>
      <c r="D24" s="520">
        <f t="shared" si="0"/>
        <v>87.43045017703591</v>
      </c>
      <c r="E24" s="521">
        <v>233</v>
      </c>
    </row>
    <row r="25" spans="1:5" ht="12">
      <c r="A25" s="575" t="s">
        <v>378</v>
      </c>
      <c r="B25" s="519">
        <f>SUM(B26:B30)</f>
        <v>64716</v>
      </c>
      <c r="C25" s="519">
        <f>SUM(C26:C30)</f>
        <v>58040</v>
      </c>
      <c r="D25" s="520">
        <f t="shared" si="0"/>
        <v>89.68415847703814</v>
      </c>
      <c r="E25" s="519">
        <f>SUM(E26:E30)</f>
        <v>5557</v>
      </c>
    </row>
    <row r="26" spans="1:5" ht="12">
      <c r="A26" s="559" t="s">
        <v>736</v>
      </c>
      <c r="B26" s="519">
        <v>551</v>
      </c>
      <c r="C26" s="519">
        <v>503</v>
      </c>
      <c r="D26" s="520">
        <f t="shared" si="0"/>
        <v>91.2885662431942</v>
      </c>
      <c r="E26" s="521">
        <v>48</v>
      </c>
    </row>
    <row r="27" spans="1:5" ht="12">
      <c r="A27" s="559" t="s">
        <v>737</v>
      </c>
      <c r="B27" s="519">
        <v>4912</v>
      </c>
      <c r="C27" s="519">
        <v>4505</v>
      </c>
      <c r="D27" s="520">
        <f t="shared" si="0"/>
        <v>91.7141693811075</v>
      </c>
      <c r="E27" s="521">
        <v>450</v>
      </c>
    </row>
    <row r="28" spans="1:5" ht="12">
      <c r="A28" s="559" t="s">
        <v>738</v>
      </c>
      <c r="B28" s="519">
        <v>26041</v>
      </c>
      <c r="C28" s="519">
        <v>23508</v>
      </c>
      <c r="D28" s="520">
        <f t="shared" si="0"/>
        <v>90.27303098959332</v>
      </c>
      <c r="E28" s="521">
        <v>2208</v>
      </c>
    </row>
    <row r="29" spans="1:5" ht="12">
      <c r="A29" s="559" t="s">
        <v>739</v>
      </c>
      <c r="B29" s="519">
        <v>16847</v>
      </c>
      <c r="C29" s="519">
        <v>15580</v>
      </c>
      <c r="D29" s="520">
        <f t="shared" si="0"/>
        <v>92.47937318216893</v>
      </c>
      <c r="E29" s="521">
        <v>935</v>
      </c>
    </row>
    <row r="30" spans="1:5" ht="12">
      <c r="A30" s="559" t="s">
        <v>740</v>
      </c>
      <c r="B30" s="519">
        <v>16365</v>
      </c>
      <c r="C30" s="519">
        <v>13944</v>
      </c>
      <c r="D30" s="520">
        <f t="shared" si="0"/>
        <v>85.20623281393217</v>
      </c>
      <c r="E30" s="521">
        <v>1916</v>
      </c>
    </row>
    <row r="31" spans="1:5" s="538" customFormat="1" ht="11.25" customHeight="1">
      <c r="A31" s="577" t="s">
        <v>741</v>
      </c>
      <c r="B31" s="519">
        <v>38669</v>
      </c>
      <c r="C31" s="519">
        <v>66102</v>
      </c>
      <c r="D31" s="520">
        <f t="shared" si="0"/>
        <v>170.9431327419897</v>
      </c>
      <c r="E31" s="521">
        <v>6879</v>
      </c>
    </row>
    <row r="32" spans="1:6" s="538" customFormat="1" ht="11.25" customHeight="1">
      <c r="A32" s="559" t="s">
        <v>399</v>
      </c>
      <c r="B32" s="519">
        <v>21075</v>
      </c>
      <c r="C32" s="519">
        <v>20869</v>
      </c>
      <c r="D32" s="520">
        <f t="shared" si="0"/>
        <v>99.02253855278767</v>
      </c>
      <c r="E32" s="521">
        <v>2280</v>
      </c>
      <c r="F32" s="578"/>
    </row>
    <row r="33" spans="1:5" ht="12" hidden="1">
      <c r="A33" s="559" t="s">
        <v>399</v>
      </c>
      <c r="B33" s="519">
        <v>20595</v>
      </c>
      <c r="C33" s="519">
        <v>20253</v>
      </c>
      <c r="D33" s="520">
        <f t="shared" si="0"/>
        <v>98.33940276766205</v>
      </c>
      <c r="E33" s="521">
        <v>2009</v>
      </c>
    </row>
    <row r="34" spans="1:5" ht="12" hidden="1">
      <c r="A34" s="559" t="s">
        <v>742</v>
      </c>
      <c r="B34" s="519">
        <v>479</v>
      </c>
      <c r="C34" s="519">
        <v>616</v>
      </c>
      <c r="D34" s="520">
        <f t="shared" si="0"/>
        <v>128.60125260960334</v>
      </c>
      <c r="E34" s="521">
        <v>270</v>
      </c>
    </row>
    <row r="35" spans="1:5" ht="12">
      <c r="A35" s="559" t="s">
        <v>401</v>
      </c>
      <c r="B35" s="579">
        <v>17594</v>
      </c>
      <c r="C35" s="519">
        <v>45233</v>
      </c>
      <c r="D35" s="520">
        <f t="shared" si="0"/>
        <v>257.09332727066044</v>
      </c>
      <c r="E35" s="521">
        <v>4599</v>
      </c>
    </row>
    <row r="36" spans="1:5" s="538" customFormat="1" ht="11.25" customHeight="1">
      <c r="A36" s="556" t="s">
        <v>743</v>
      </c>
      <c r="B36" s="579">
        <f>B37-B38</f>
        <v>-508</v>
      </c>
      <c r="C36" s="579">
        <f>C37-C38</f>
        <v>-193</v>
      </c>
      <c r="D36" s="520">
        <f t="shared" si="0"/>
        <v>37.99212598425197</v>
      </c>
      <c r="E36" s="579">
        <f>E37-E38</f>
        <v>-280</v>
      </c>
    </row>
    <row r="37" spans="1:5" ht="12.75" customHeight="1">
      <c r="A37" s="580" t="s">
        <v>744</v>
      </c>
      <c r="B37" s="579">
        <v>78</v>
      </c>
      <c r="C37" s="519">
        <v>828</v>
      </c>
      <c r="D37" s="520">
        <f t="shared" si="0"/>
        <v>1061.5384615384614</v>
      </c>
      <c r="E37" s="521">
        <v>75</v>
      </c>
    </row>
    <row r="38" spans="1:5" ht="12.75" customHeight="1">
      <c r="A38" s="562" t="s">
        <v>745</v>
      </c>
      <c r="B38" s="532">
        <v>586</v>
      </c>
      <c r="C38" s="519">
        <v>1021</v>
      </c>
      <c r="D38" s="533">
        <f t="shared" si="0"/>
        <v>174.2320819112628</v>
      </c>
      <c r="E38" s="521">
        <v>355</v>
      </c>
    </row>
    <row r="39" spans="1:5" ht="12.75" customHeight="1">
      <c r="A39" s="581" t="s">
        <v>525</v>
      </c>
      <c r="B39" s="582">
        <f>B11-B12-B36</f>
        <v>1688</v>
      </c>
      <c r="C39" s="582">
        <f>C11-C12-C36</f>
        <v>-8733</v>
      </c>
      <c r="D39" s="583">
        <f t="shared" si="0"/>
        <v>-517.3578199052133</v>
      </c>
      <c r="E39" s="582">
        <f>E11-E12-E36</f>
        <v>993</v>
      </c>
    </row>
    <row r="40" spans="1:5" s="543" customFormat="1" ht="12">
      <c r="A40" s="584"/>
      <c r="B40" s="568"/>
      <c r="C40" s="568"/>
      <c r="D40" s="568"/>
      <c r="E40" s="568"/>
    </row>
    <row r="41" spans="1:5" s="543" customFormat="1" ht="12">
      <c r="A41" s="544"/>
      <c r="B41" s="568"/>
      <c r="C41" s="568"/>
      <c r="D41" s="568"/>
      <c r="E41" s="568"/>
    </row>
    <row r="42" spans="1:6" ht="12">
      <c r="A42" s="568"/>
      <c r="B42" s="568"/>
      <c r="C42" s="568"/>
      <c r="D42" s="568"/>
      <c r="E42" s="568"/>
      <c r="F42" s="547"/>
    </row>
    <row r="43" spans="1:5" s="543" customFormat="1" ht="12">
      <c r="A43" s="541" t="s">
        <v>695</v>
      </c>
      <c r="B43" s="541"/>
      <c r="C43" s="542"/>
      <c r="D43" s="542"/>
      <c r="E43" s="568" t="s">
        <v>653</v>
      </c>
    </row>
    <row r="44" spans="4:5" s="543" customFormat="1" ht="12">
      <c r="D44" s="568"/>
      <c r="E44" s="568"/>
    </row>
    <row r="45" spans="1:5" s="543" customFormat="1" ht="12">
      <c r="A45" s="568"/>
      <c r="B45" s="571"/>
      <c r="C45" s="571"/>
      <c r="D45" s="568"/>
      <c r="E45" s="568"/>
    </row>
    <row r="46" spans="1:5" s="543" customFormat="1" ht="12">
      <c r="A46" s="568"/>
      <c r="B46" s="571"/>
      <c r="D46" s="568"/>
      <c r="E46" s="568"/>
    </row>
    <row r="47" spans="1:5" ht="12">
      <c r="A47" s="572"/>
      <c r="B47" s="547"/>
      <c r="D47" s="568"/>
      <c r="E47" s="568"/>
    </row>
    <row r="48" spans="4:6" ht="12">
      <c r="D48" s="568"/>
      <c r="E48" s="568"/>
      <c r="F48" s="547"/>
    </row>
    <row r="49" spans="4:5" ht="12">
      <c r="D49" s="568"/>
      <c r="E49" s="568"/>
    </row>
  </sheetData>
  <printOptions/>
  <pageMargins left="1.09" right="0.15748031496062992" top="2.19" bottom="0.984251968503937" header="0.25" footer="0"/>
  <pageSetup firstPageNumber="28" useFirstPageNumber="1" horizontalDpi="600" verticalDpi="600" orientation="portrait" paperSize="9" r:id="rId1"/>
  <headerFooter alignWithMargins="0">
    <oddFooter>&amp;L&amp;"Arial,Regular"&amp;8           Valsts kase / Pārskatu departaments
           15.12.00.  
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8"/>
  <dimension ref="A1:G37"/>
  <sheetViews>
    <sheetView showZeros="0" workbookViewId="0" topLeftCell="A1">
      <selection activeCell="A15" sqref="A15"/>
    </sheetView>
  </sheetViews>
  <sheetFormatPr defaultColWidth="9.140625" defaultRowHeight="12.75"/>
  <cols>
    <col min="1" max="1" width="42.7109375" style="458" customWidth="1"/>
    <col min="2" max="5" width="12.28125" style="458" customWidth="1"/>
    <col min="6" max="16384" width="8.00390625" style="458" customWidth="1"/>
  </cols>
  <sheetData>
    <row r="1" spans="1:5" s="509" customFormat="1" ht="12.75">
      <c r="A1" s="456" t="s">
        <v>721</v>
      </c>
      <c r="B1" s="456"/>
      <c r="C1" s="456"/>
      <c r="D1" s="456"/>
      <c r="E1" s="456" t="s">
        <v>746</v>
      </c>
    </row>
    <row r="2" spans="1:5" s="509" customFormat="1" ht="12.75">
      <c r="A2" s="456"/>
      <c r="B2" s="456"/>
      <c r="C2" s="456"/>
      <c r="D2" s="456"/>
      <c r="E2" s="456"/>
    </row>
    <row r="4" spans="1:5" s="506" customFormat="1" ht="15.75">
      <c r="A4" s="503" t="s">
        <v>747</v>
      </c>
      <c r="B4" s="505"/>
      <c r="C4" s="505"/>
      <c r="D4" s="505"/>
      <c r="E4" s="505"/>
    </row>
    <row r="5" spans="1:5" ht="15.75">
      <c r="A5" s="503" t="s">
        <v>699</v>
      </c>
      <c r="B5" s="508"/>
      <c r="C5" s="508"/>
      <c r="D5" s="508"/>
      <c r="E5" s="508"/>
    </row>
    <row r="6" spans="1:5" ht="11.25">
      <c r="A6" s="572"/>
      <c r="B6" s="508"/>
      <c r="C6" s="508"/>
      <c r="D6" s="508"/>
      <c r="E6" s="508"/>
    </row>
    <row r="7" spans="1:5" ht="11.25">
      <c r="A7" s="572"/>
      <c r="B7" s="508"/>
      <c r="C7" s="508"/>
      <c r="D7" s="508"/>
      <c r="E7" s="508"/>
    </row>
    <row r="8" spans="4:5" s="509" customFormat="1" ht="11.25">
      <c r="D8" s="550" t="s">
        <v>748</v>
      </c>
      <c r="E8" s="550"/>
    </row>
    <row r="9" spans="1:5" s="459" customFormat="1" ht="30.75" customHeight="1">
      <c r="A9" s="554" t="s">
        <v>101</v>
      </c>
      <c r="B9" s="555" t="s">
        <v>609</v>
      </c>
      <c r="C9" s="555" t="s">
        <v>104</v>
      </c>
      <c r="D9" s="555" t="s">
        <v>661</v>
      </c>
      <c r="E9" s="514" t="s">
        <v>357</v>
      </c>
    </row>
    <row r="10" spans="1:5" s="543" customFormat="1" ht="11.25" customHeight="1">
      <c r="A10" s="585">
        <v>1</v>
      </c>
      <c r="B10" s="586">
        <v>2</v>
      </c>
      <c r="C10" s="586">
        <v>3</v>
      </c>
      <c r="D10" s="587">
        <v>4</v>
      </c>
      <c r="E10" s="588" t="s">
        <v>663</v>
      </c>
    </row>
    <row r="11" spans="1:5" s="543" customFormat="1" ht="12.75">
      <c r="A11" s="589" t="s">
        <v>749</v>
      </c>
      <c r="B11" s="519">
        <f>B12+B17</f>
        <v>52834</v>
      </c>
      <c r="C11" s="519">
        <f>C12+C17</f>
        <v>50028</v>
      </c>
      <c r="D11" s="471">
        <f aca="true" t="shared" si="0" ref="D11:D24">C11/B11*100</f>
        <v>94.68902600598099</v>
      </c>
      <c r="E11" s="519">
        <f>E12+E17</f>
        <v>5186</v>
      </c>
    </row>
    <row r="12" spans="1:5" ht="25.5">
      <c r="A12" s="589" t="s">
        <v>750</v>
      </c>
      <c r="B12" s="519">
        <f>SUM(B13:B16)</f>
        <v>47957</v>
      </c>
      <c r="C12" s="519">
        <f>SUM(C13:C16)</f>
        <v>44151</v>
      </c>
      <c r="D12" s="471">
        <f t="shared" si="0"/>
        <v>92.0637237525283</v>
      </c>
      <c r="E12" s="519">
        <f>SUM(E13:E16)</f>
        <v>4109</v>
      </c>
    </row>
    <row r="13" spans="1:5" ht="12">
      <c r="A13" s="590" t="s">
        <v>751</v>
      </c>
      <c r="B13" s="519">
        <v>14323</v>
      </c>
      <c r="C13" s="519">
        <v>14588</v>
      </c>
      <c r="D13" s="471">
        <f t="shared" si="0"/>
        <v>101.85017105355023</v>
      </c>
      <c r="E13" s="521">
        <v>983</v>
      </c>
    </row>
    <row r="14" spans="1:5" ht="12">
      <c r="A14" s="590" t="s">
        <v>752</v>
      </c>
      <c r="B14" s="519">
        <v>2191</v>
      </c>
      <c r="C14" s="519">
        <v>2184</v>
      </c>
      <c r="D14" s="471">
        <f t="shared" si="0"/>
        <v>99.68051118210862</v>
      </c>
      <c r="E14" s="521">
        <v>300</v>
      </c>
    </row>
    <row r="15" spans="1:5" ht="12">
      <c r="A15" s="590" t="s">
        <v>753</v>
      </c>
      <c r="B15" s="519">
        <v>14833</v>
      </c>
      <c r="C15" s="519">
        <v>11622</v>
      </c>
      <c r="D15" s="471">
        <f t="shared" si="0"/>
        <v>78.35232252410167</v>
      </c>
      <c r="E15" s="521">
        <v>1353</v>
      </c>
    </row>
    <row r="16" spans="1:5" ht="12">
      <c r="A16" s="590" t="s">
        <v>754</v>
      </c>
      <c r="B16" s="519">
        <v>16610</v>
      </c>
      <c r="C16" s="519">
        <v>15757</v>
      </c>
      <c r="D16" s="471">
        <f t="shared" si="0"/>
        <v>94.86453943407585</v>
      </c>
      <c r="E16" s="521">
        <v>1473</v>
      </c>
    </row>
    <row r="17" spans="1:5" ht="25.5">
      <c r="A17" s="591" t="s">
        <v>755</v>
      </c>
      <c r="B17" s="519">
        <v>4877</v>
      </c>
      <c r="C17" s="519">
        <v>5877</v>
      </c>
      <c r="D17" s="471">
        <f t="shared" si="0"/>
        <v>120.50440844781629</v>
      </c>
      <c r="E17" s="521">
        <v>1077</v>
      </c>
    </row>
    <row r="18" spans="1:7" s="543" customFormat="1" ht="12.75">
      <c r="A18" s="589" t="s">
        <v>756</v>
      </c>
      <c r="B18" s="519">
        <f>B19+B24</f>
        <v>56523</v>
      </c>
      <c r="C18" s="519">
        <f>C19+C24</f>
        <v>43165</v>
      </c>
      <c r="D18" s="471">
        <f t="shared" si="0"/>
        <v>76.36714257912708</v>
      </c>
      <c r="E18" s="519">
        <f>E19+E24</f>
        <v>4140</v>
      </c>
      <c r="F18" s="458"/>
      <c r="G18" s="458"/>
    </row>
    <row r="19" spans="1:5" ht="25.5">
      <c r="A19" s="591" t="s">
        <v>757</v>
      </c>
      <c r="B19" s="519">
        <f>SUM(B20:B23)</f>
        <v>51001</v>
      </c>
      <c r="C19" s="519">
        <f>SUM(C20:C23)</f>
        <v>38994</v>
      </c>
      <c r="D19" s="471">
        <f t="shared" si="0"/>
        <v>76.4573243661889</v>
      </c>
      <c r="E19" s="519">
        <f>SUM(E20:E23)</f>
        <v>3489</v>
      </c>
    </row>
    <row r="20" spans="1:5" ht="12">
      <c r="A20" s="590" t="s">
        <v>751</v>
      </c>
      <c r="B20" s="519">
        <v>13952</v>
      </c>
      <c r="C20" s="519">
        <v>10233</v>
      </c>
      <c r="D20" s="471">
        <f t="shared" si="0"/>
        <v>73.34432339449542</v>
      </c>
      <c r="E20" s="521">
        <v>1129</v>
      </c>
    </row>
    <row r="21" spans="1:5" ht="12">
      <c r="A21" s="590" t="s">
        <v>752</v>
      </c>
      <c r="B21" s="519">
        <v>2696</v>
      </c>
      <c r="C21" s="519">
        <v>1499</v>
      </c>
      <c r="D21" s="471">
        <f t="shared" si="0"/>
        <v>55.60089020771514</v>
      </c>
      <c r="E21" s="521">
        <v>228</v>
      </c>
    </row>
    <row r="22" spans="1:5" ht="12">
      <c r="A22" s="590" t="s">
        <v>753</v>
      </c>
      <c r="B22" s="519">
        <v>16466</v>
      </c>
      <c r="C22" s="519">
        <v>11276</v>
      </c>
      <c r="D22" s="471">
        <f t="shared" si="0"/>
        <v>68.48050528361472</v>
      </c>
      <c r="E22" s="521">
        <v>878</v>
      </c>
    </row>
    <row r="23" spans="1:5" ht="12">
      <c r="A23" s="590" t="s">
        <v>754</v>
      </c>
      <c r="B23" s="519">
        <v>17887</v>
      </c>
      <c r="C23" s="519">
        <v>15986</v>
      </c>
      <c r="D23" s="471">
        <f t="shared" si="0"/>
        <v>89.37216973220775</v>
      </c>
      <c r="E23" s="521">
        <v>1254</v>
      </c>
    </row>
    <row r="24" spans="1:5" ht="25.5">
      <c r="A24" s="592" t="s">
        <v>758</v>
      </c>
      <c r="B24" s="532">
        <v>5522</v>
      </c>
      <c r="C24" s="532">
        <v>4171</v>
      </c>
      <c r="D24" s="493">
        <f t="shared" si="0"/>
        <v>75.53422672944585</v>
      </c>
      <c r="E24" s="534">
        <v>651</v>
      </c>
    </row>
    <row r="25" spans="1:5" ht="12.75">
      <c r="A25" s="593"/>
      <c r="B25" s="567"/>
      <c r="C25" s="567"/>
      <c r="D25" s="594"/>
      <c r="E25" s="567"/>
    </row>
    <row r="26" ht="11.25">
      <c r="A26" s="509" t="s">
        <v>759</v>
      </c>
    </row>
    <row r="27" spans="1:5" s="468" customFormat="1" ht="11.25">
      <c r="A27" s="572"/>
      <c r="B27" s="458"/>
      <c r="C27" s="458"/>
      <c r="D27" s="458"/>
      <c r="E27" s="458"/>
    </row>
    <row r="28" spans="1:5" s="543" customFormat="1" ht="12">
      <c r="A28" s="572"/>
      <c r="B28" s="458"/>
      <c r="C28" s="458"/>
      <c r="D28" s="458"/>
      <c r="E28" s="458"/>
    </row>
    <row r="29" spans="1:5" s="543" customFormat="1" ht="12">
      <c r="A29" s="572"/>
      <c r="B29" s="468"/>
      <c r="C29" s="571"/>
      <c r="D29" s="468"/>
      <c r="E29" s="468"/>
    </row>
    <row r="30" spans="1:5" ht="12">
      <c r="A30" s="541"/>
      <c r="E30" s="595"/>
    </row>
    <row r="31" spans="1:5" ht="12">
      <c r="A31" s="541" t="s">
        <v>695</v>
      </c>
      <c r="B31" s="541"/>
      <c r="C31" s="542"/>
      <c r="D31" s="542"/>
      <c r="E31" s="595" t="s">
        <v>653</v>
      </c>
    </row>
    <row r="32" spans="1:5" ht="12">
      <c r="A32" s="541"/>
      <c r="B32" s="541"/>
      <c r="E32" s="595"/>
    </row>
    <row r="33" ht="11.25">
      <c r="A33" s="548"/>
    </row>
    <row r="34" ht="11.25">
      <c r="A34" s="548"/>
    </row>
    <row r="35" s="459" customFormat="1" ht="12" customHeight="1">
      <c r="A35" s="540"/>
    </row>
    <row r="36" s="459" customFormat="1" ht="12" customHeight="1">
      <c r="A36" s="540"/>
    </row>
    <row r="37" ht="12.75">
      <c r="A37" s="540"/>
    </row>
  </sheetData>
  <printOptions/>
  <pageMargins left="0.98" right="0.15748031496062992" top="1.46" bottom="0.984251968503937" header="0" footer="0"/>
  <pageSetup firstPageNumber="29" useFirstPageNumber="1" horizontalDpi="600" verticalDpi="600" orientation="portrait" paperSize="9" r:id="rId1"/>
  <headerFooter alignWithMargins="0">
    <oddFooter>&amp;L&amp;"Arial,Regular"&amp;8         Valsts kase / Pārskatu departaments
         15.12.00.
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/>
  <dimension ref="A1:IT59"/>
  <sheetViews>
    <sheetView showZeros="0" workbookViewId="0" topLeftCell="A1">
      <selection activeCell="A15" sqref="A15"/>
    </sheetView>
  </sheetViews>
  <sheetFormatPr defaultColWidth="9.140625" defaultRowHeight="12.75"/>
  <cols>
    <col min="1" max="1" width="39.7109375" style="458" customWidth="1"/>
    <col min="2" max="5" width="12.7109375" style="458" customWidth="1"/>
    <col min="6" max="16384" width="8.00390625" style="458" customWidth="1"/>
  </cols>
  <sheetData>
    <row r="1" spans="1:5" s="509" customFormat="1" ht="12.75">
      <c r="A1" s="456" t="s">
        <v>760</v>
      </c>
      <c r="B1" s="456"/>
      <c r="C1" s="456"/>
      <c r="D1" s="456"/>
      <c r="E1" s="456" t="s">
        <v>761</v>
      </c>
    </row>
    <row r="2" spans="1:5" s="509" customFormat="1" ht="12.75">
      <c r="A2" s="456"/>
      <c r="B2" s="456"/>
      <c r="C2" s="456"/>
      <c r="D2" s="456"/>
      <c r="E2" s="457"/>
    </row>
    <row r="3" spans="4:5" ht="11.25">
      <c r="D3" s="508"/>
      <c r="E3" s="508"/>
    </row>
    <row r="4" spans="1:5" s="506" customFormat="1" ht="31.5">
      <c r="A4" s="503" t="s">
        <v>762</v>
      </c>
      <c r="B4" s="508"/>
      <c r="C4" s="508"/>
      <c r="D4" s="508"/>
      <c r="E4" s="508"/>
    </row>
    <row r="5" spans="1:5" ht="15.75">
      <c r="A5" s="503" t="s">
        <v>699</v>
      </c>
      <c r="B5" s="508"/>
      <c r="C5" s="508"/>
      <c r="D5" s="508"/>
      <c r="E5" s="508"/>
    </row>
    <row r="6" spans="1:5" ht="11.25">
      <c r="A6" s="572"/>
      <c r="B6" s="508"/>
      <c r="C6" s="508"/>
      <c r="D6" s="508"/>
      <c r="E6" s="508"/>
    </row>
    <row r="7" spans="1:5" ht="11.25">
      <c r="A7" s="572"/>
      <c r="B7" s="508"/>
      <c r="C7" s="508"/>
      <c r="D7" s="508"/>
      <c r="E7" s="508"/>
    </row>
    <row r="8" spans="2:81" s="509" customFormat="1" ht="15">
      <c r="B8" s="550"/>
      <c r="C8" s="550"/>
      <c r="D8" s="464" t="s">
        <v>763</v>
      </c>
      <c r="E8" s="511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8"/>
      <c r="Y8" s="458"/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8"/>
      <c r="AK8" s="458"/>
      <c r="AL8" s="458"/>
      <c r="AM8" s="506"/>
      <c r="AN8" s="506"/>
      <c r="AO8" s="506"/>
      <c r="AP8" s="506"/>
      <c r="AQ8" s="506"/>
      <c r="AR8" s="506"/>
      <c r="AS8" s="506"/>
      <c r="AT8" s="506"/>
      <c r="AU8" s="506"/>
      <c r="AV8" s="506"/>
      <c r="AW8" s="458"/>
      <c r="AX8" s="458"/>
      <c r="AY8" s="458"/>
      <c r="AZ8" s="458"/>
      <c r="BA8" s="458"/>
      <c r="BB8" s="458"/>
      <c r="BC8" s="458"/>
      <c r="BD8" s="458"/>
      <c r="BE8" s="458"/>
      <c r="BF8" s="458"/>
      <c r="BG8" s="458"/>
      <c r="BH8" s="458"/>
      <c r="BI8" s="458"/>
      <c r="BJ8" s="458"/>
      <c r="BK8" s="458"/>
      <c r="BL8" s="458"/>
      <c r="BM8" s="458"/>
      <c r="BN8" s="458"/>
      <c r="BO8" s="458"/>
      <c r="BP8" s="458"/>
      <c r="BQ8" s="458"/>
      <c r="BR8" s="458"/>
      <c r="BS8" s="458"/>
      <c r="BT8" s="458"/>
      <c r="BU8" s="458"/>
      <c r="BV8" s="458"/>
      <c r="BW8" s="458"/>
      <c r="BX8" s="458"/>
      <c r="BY8" s="458"/>
      <c r="BZ8" s="458"/>
      <c r="CA8" s="458"/>
      <c r="CB8" s="458"/>
      <c r="CC8" s="458"/>
    </row>
    <row r="9" spans="1:254" s="459" customFormat="1" ht="33.75" customHeight="1">
      <c r="A9" s="554" t="s">
        <v>101</v>
      </c>
      <c r="B9" s="555" t="s">
        <v>609</v>
      </c>
      <c r="C9" s="555" t="s">
        <v>104</v>
      </c>
      <c r="D9" s="555" t="s">
        <v>661</v>
      </c>
      <c r="E9" s="514" t="s">
        <v>357</v>
      </c>
      <c r="F9" s="458"/>
      <c r="G9" s="458"/>
      <c r="H9" s="458"/>
      <c r="I9" s="458"/>
      <c r="J9" s="458"/>
      <c r="K9" s="458"/>
      <c r="L9" s="458"/>
      <c r="M9" s="458"/>
      <c r="N9" s="458"/>
      <c r="O9" s="458"/>
      <c r="P9" s="458"/>
      <c r="Q9" s="458"/>
      <c r="R9" s="458"/>
      <c r="S9" s="458"/>
      <c r="T9" s="458"/>
      <c r="U9" s="458"/>
      <c r="V9" s="458"/>
      <c r="W9" s="458"/>
      <c r="X9" s="458"/>
      <c r="Y9" s="458"/>
      <c r="Z9" s="458"/>
      <c r="AA9" s="458"/>
      <c r="AB9" s="458"/>
      <c r="AC9" s="458"/>
      <c r="AD9" s="458"/>
      <c r="AE9" s="458"/>
      <c r="AF9" s="458"/>
      <c r="AG9" s="458"/>
      <c r="AH9" s="458"/>
      <c r="AI9" s="458"/>
      <c r="AJ9" s="458"/>
      <c r="AK9" s="458"/>
      <c r="AL9" s="458"/>
      <c r="AM9" s="458"/>
      <c r="AN9" s="458"/>
      <c r="AO9" s="458"/>
      <c r="AP9" s="458"/>
      <c r="AQ9" s="458"/>
      <c r="AR9" s="458"/>
      <c r="AS9" s="458"/>
      <c r="AT9" s="458"/>
      <c r="AU9" s="458"/>
      <c r="AV9" s="458"/>
      <c r="AW9" s="458"/>
      <c r="AX9" s="458"/>
      <c r="AY9" s="458"/>
      <c r="AZ9" s="458"/>
      <c r="BA9" s="458"/>
      <c r="BB9" s="458"/>
      <c r="BC9" s="458"/>
      <c r="BD9" s="458"/>
      <c r="BE9" s="458"/>
      <c r="BF9" s="458"/>
      <c r="BG9" s="458"/>
      <c r="BH9" s="458"/>
      <c r="BI9" s="458"/>
      <c r="BJ9" s="458"/>
      <c r="BK9" s="458"/>
      <c r="BL9" s="458"/>
      <c r="BM9" s="458"/>
      <c r="BN9" s="458"/>
      <c r="BO9" s="458"/>
      <c r="BP9" s="458"/>
      <c r="BQ9" s="458"/>
      <c r="BR9" s="458"/>
      <c r="BS9" s="458"/>
      <c r="BT9" s="458"/>
      <c r="BU9" s="458"/>
      <c r="BV9" s="458"/>
      <c r="BW9" s="458"/>
      <c r="BX9" s="458"/>
      <c r="BY9" s="458"/>
      <c r="BZ9" s="458"/>
      <c r="CA9" s="458"/>
      <c r="CB9" s="458"/>
      <c r="CC9" s="458"/>
      <c r="CD9" s="555"/>
      <c r="CE9" s="514"/>
      <c r="CF9" s="554"/>
      <c r="CG9" s="555"/>
      <c r="CH9" s="555"/>
      <c r="CI9" s="555"/>
      <c r="CJ9" s="514"/>
      <c r="CK9" s="554"/>
      <c r="CL9" s="555"/>
      <c r="CM9" s="555"/>
      <c r="CN9" s="555"/>
      <c r="CO9" s="514"/>
      <c r="CP9" s="554"/>
      <c r="CQ9" s="555"/>
      <c r="CR9" s="555"/>
      <c r="CS9" s="555"/>
      <c r="CT9" s="514"/>
      <c r="CU9" s="554"/>
      <c r="CV9" s="555"/>
      <c r="CW9" s="555"/>
      <c r="CX9" s="555"/>
      <c r="CY9" s="514"/>
      <c r="CZ9" s="554"/>
      <c r="DA9" s="555"/>
      <c r="DB9" s="555"/>
      <c r="DC9" s="555"/>
      <c r="DD9" s="514"/>
      <c r="DE9" s="554"/>
      <c r="DF9" s="555"/>
      <c r="DG9" s="555"/>
      <c r="DH9" s="555"/>
      <c r="DI9" s="514"/>
      <c r="DJ9" s="554"/>
      <c r="DK9" s="555"/>
      <c r="DL9" s="555"/>
      <c r="DM9" s="555"/>
      <c r="DN9" s="514"/>
      <c r="DO9" s="554"/>
      <c r="DP9" s="555"/>
      <c r="DQ9" s="555"/>
      <c r="DR9" s="555"/>
      <c r="DS9" s="514"/>
      <c r="DT9" s="554"/>
      <c r="DU9" s="555"/>
      <c r="DV9" s="555"/>
      <c r="DW9" s="555"/>
      <c r="DX9" s="514"/>
      <c r="DY9" s="554"/>
      <c r="DZ9" s="555"/>
      <c r="EA9" s="555"/>
      <c r="EB9" s="555"/>
      <c r="EC9" s="514"/>
      <c r="ED9" s="554"/>
      <c r="EE9" s="555"/>
      <c r="EF9" s="555"/>
      <c r="EG9" s="555"/>
      <c r="EH9" s="514"/>
      <c r="EI9" s="554"/>
      <c r="EJ9" s="555"/>
      <c r="EK9" s="555"/>
      <c r="EL9" s="555"/>
      <c r="EM9" s="514"/>
      <c r="EN9" s="554"/>
      <c r="EO9" s="555"/>
      <c r="EP9" s="555"/>
      <c r="EQ9" s="555"/>
      <c r="ER9" s="514"/>
      <c r="ES9" s="554"/>
      <c r="ET9" s="555"/>
      <c r="EU9" s="555"/>
      <c r="EV9" s="555"/>
      <c r="EW9" s="514"/>
      <c r="EX9" s="554"/>
      <c r="EY9" s="555"/>
      <c r="EZ9" s="555"/>
      <c r="FA9" s="555"/>
      <c r="FB9" s="514"/>
      <c r="FC9" s="554"/>
      <c r="FD9" s="555"/>
      <c r="FE9" s="555"/>
      <c r="FF9" s="555"/>
      <c r="FG9" s="514"/>
      <c r="FH9" s="554"/>
      <c r="FI9" s="555"/>
      <c r="FJ9" s="555"/>
      <c r="FK9" s="555"/>
      <c r="FL9" s="514"/>
      <c r="FM9" s="554"/>
      <c r="FN9" s="555"/>
      <c r="FO9" s="555"/>
      <c r="FP9" s="555"/>
      <c r="FQ9" s="514"/>
      <c r="FR9" s="554"/>
      <c r="FS9" s="555"/>
      <c r="FT9" s="555"/>
      <c r="FU9" s="555"/>
      <c r="FV9" s="514"/>
      <c r="FW9" s="554"/>
      <c r="FX9" s="555"/>
      <c r="FY9" s="555"/>
      <c r="FZ9" s="555"/>
      <c r="GA9" s="514"/>
      <c r="GB9" s="554"/>
      <c r="GC9" s="555"/>
      <c r="GD9" s="555"/>
      <c r="GE9" s="555"/>
      <c r="GF9" s="514"/>
      <c r="GG9" s="554"/>
      <c r="GH9" s="555"/>
      <c r="GI9" s="555"/>
      <c r="GJ9" s="555"/>
      <c r="GK9" s="514"/>
      <c r="GL9" s="554"/>
      <c r="GM9" s="555"/>
      <c r="GN9" s="555"/>
      <c r="GO9" s="555"/>
      <c r="GP9" s="514"/>
      <c r="GQ9" s="554"/>
      <c r="GR9" s="555"/>
      <c r="GS9" s="555"/>
      <c r="GT9" s="555"/>
      <c r="GU9" s="514"/>
      <c r="GV9" s="554"/>
      <c r="GW9" s="555"/>
      <c r="GX9" s="555"/>
      <c r="GY9" s="555"/>
      <c r="GZ9" s="514"/>
      <c r="HA9" s="554"/>
      <c r="HB9" s="555"/>
      <c r="HC9" s="555"/>
      <c r="HD9" s="555"/>
      <c r="HE9" s="514"/>
      <c r="HF9" s="554"/>
      <c r="HG9" s="555"/>
      <c r="HH9" s="555"/>
      <c r="HI9" s="555"/>
      <c r="HJ9" s="514"/>
      <c r="HK9" s="554"/>
      <c r="HL9" s="555"/>
      <c r="HM9" s="555"/>
      <c r="HN9" s="555"/>
      <c r="HO9" s="514"/>
      <c r="HP9" s="554"/>
      <c r="HQ9" s="555"/>
      <c r="HR9" s="555"/>
      <c r="HS9" s="555"/>
      <c r="HT9" s="514"/>
      <c r="HU9" s="554"/>
      <c r="HV9" s="555"/>
      <c r="HW9" s="555"/>
      <c r="HX9" s="555"/>
      <c r="HY9" s="514"/>
      <c r="HZ9" s="554"/>
      <c r="IA9" s="555"/>
      <c r="IB9" s="555"/>
      <c r="IC9" s="555"/>
      <c r="ID9" s="514"/>
      <c r="IE9" s="554"/>
      <c r="IF9" s="555"/>
      <c r="IG9" s="555"/>
      <c r="IH9" s="555"/>
      <c r="II9" s="514"/>
      <c r="IJ9" s="554"/>
      <c r="IK9" s="555"/>
      <c r="IL9" s="555"/>
      <c r="IM9" s="555"/>
      <c r="IN9" s="514"/>
      <c r="IO9" s="554"/>
      <c r="IP9" s="555"/>
      <c r="IQ9" s="555"/>
      <c r="IR9" s="555"/>
      <c r="IS9" s="514"/>
      <c r="IT9" s="554"/>
    </row>
    <row r="10" spans="1:5" ht="11.25">
      <c r="A10" s="585">
        <v>1</v>
      </c>
      <c r="B10" s="586">
        <v>2</v>
      </c>
      <c r="C10" s="586">
        <v>3</v>
      </c>
      <c r="D10" s="587">
        <v>4</v>
      </c>
      <c r="E10" s="588">
        <v>5</v>
      </c>
    </row>
    <row r="11" spans="1:5" s="459" customFormat="1" ht="12.75" customHeight="1">
      <c r="A11" s="522" t="s">
        <v>359</v>
      </c>
      <c r="B11" s="519">
        <v>52834</v>
      </c>
      <c r="C11" s="519">
        <v>50028</v>
      </c>
      <c r="D11" s="471">
        <f aca="true" t="shared" si="0" ref="D11:D40">C11/B11*100</f>
        <v>94.68902600598099</v>
      </c>
      <c r="E11" s="521">
        <v>5186</v>
      </c>
    </row>
    <row r="12" spans="1:5" s="459" customFormat="1" ht="12.75">
      <c r="A12" s="522" t="s">
        <v>725</v>
      </c>
      <c r="B12" s="519">
        <f>B13+B32</f>
        <v>58839</v>
      </c>
      <c r="C12" s="519">
        <f>C13+C32</f>
        <v>44120</v>
      </c>
      <c r="D12" s="471">
        <f t="shared" si="0"/>
        <v>74.98427913458761</v>
      </c>
      <c r="E12" s="521">
        <f>E13+E32</f>
        <v>3586</v>
      </c>
    </row>
    <row r="13" spans="1:5" s="538" customFormat="1" ht="11.25" customHeight="1">
      <c r="A13" s="556" t="s">
        <v>367</v>
      </c>
      <c r="B13" s="519">
        <f>B14+B25+B26</f>
        <v>40841</v>
      </c>
      <c r="C13" s="519">
        <f>C14+C25+C26</f>
        <v>29590</v>
      </c>
      <c r="D13" s="471">
        <f t="shared" si="0"/>
        <v>72.45170294556941</v>
      </c>
      <c r="E13" s="519">
        <f>E14+E25+E26</f>
        <v>2650</v>
      </c>
    </row>
    <row r="14" spans="1:5" s="538" customFormat="1" ht="11.25" customHeight="1">
      <c r="A14" s="575" t="s">
        <v>368</v>
      </c>
      <c r="B14" s="519">
        <v>27794</v>
      </c>
      <c r="C14" s="519">
        <v>20623</v>
      </c>
      <c r="D14" s="471">
        <f t="shared" si="0"/>
        <v>74.19946751097359</v>
      </c>
      <c r="E14" s="521">
        <v>1834</v>
      </c>
    </row>
    <row r="15" spans="1:5" s="538" customFormat="1" ht="11.25" customHeight="1" hidden="1">
      <c r="A15" s="559" t="s">
        <v>764</v>
      </c>
      <c r="B15" s="519">
        <v>3128</v>
      </c>
      <c r="C15" s="519">
        <v>2573</v>
      </c>
      <c r="D15" s="471">
        <f t="shared" si="0"/>
        <v>82.25703324808184</v>
      </c>
      <c r="E15" s="521">
        <v>265</v>
      </c>
    </row>
    <row r="16" spans="1:5" ht="12">
      <c r="A16" s="559" t="s">
        <v>726</v>
      </c>
      <c r="B16" s="519">
        <v>3128</v>
      </c>
      <c r="C16" s="519">
        <v>2573</v>
      </c>
      <c r="D16" s="471">
        <f t="shared" si="0"/>
        <v>82.25703324808184</v>
      </c>
      <c r="E16" s="521">
        <v>265</v>
      </c>
    </row>
    <row r="17" spans="1:5" ht="12">
      <c r="A17" s="559" t="s">
        <v>727</v>
      </c>
      <c r="B17" s="519">
        <v>831</v>
      </c>
      <c r="C17" s="519">
        <v>637</v>
      </c>
      <c r="D17" s="471">
        <f t="shared" si="0"/>
        <v>76.6546329723225</v>
      </c>
      <c r="E17" s="521">
        <v>74</v>
      </c>
    </row>
    <row r="18" spans="1:5" ht="12" hidden="1">
      <c r="A18" s="559" t="s">
        <v>728</v>
      </c>
      <c r="B18" s="519">
        <v>20952</v>
      </c>
      <c r="C18" s="519">
        <v>15391</v>
      </c>
      <c r="D18" s="471">
        <f t="shared" si="0"/>
        <v>73.45838106147384</v>
      </c>
      <c r="E18" s="521">
        <v>1305</v>
      </c>
    </row>
    <row r="19" spans="1:5" ht="12" hidden="1">
      <c r="A19" s="559" t="s">
        <v>729</v>
      </c>
      <c r="B19" s="519">
        <v>2503</v>
      </c>
      <c r="C19" s="519">
        <v>1782</v>
      </c>
      <c r="D19" s="471">
        <f t="shared" si="0"/>
        <v>71.19456652017578</v>
      </c>
      <c r="E19" s="521">
        <v>163</v>
      </c>
    </row>
    <row r="20" spans="1:5" ht="12" hidden="1">
      <c r="A20" s="559" t="s">
        <v>730</v>
      </c>
      <c r="B20" s="519">
        <v>69</v>
      </c>
      <c r="C20" s="519">
        <v>61</v>
      </c>
      <c r="D20" s="471">
        <f t="shared" si="0"/>
        <v>88.40579710144928</v>
      </c>
      <c r="E20" s="521">
        <v>7</v>
      </c>
    </row>
    <row r="21" spans="1:5" ht="12" hidden="1">
      <c r="A21" s="559" t="s">
        <v>731</v>
      </c>
      <c r="B21" s="519">
        <v>44</v>
      </c>
      <c r="C21" s="519">
        <v>51</v>
      </c>
      <c r="D21" s="471">
        <f t="shared" si="0"/>
        <v>115.90909090909092</v>
      </c>
      <c r="E21" s="521">
        <v>1</v>
      </c>
    </row>
    <row r="22" spans="1:5" ht="12">
      <c r="A22" s="559" t="s">
        <v>732</v>
      </c>
      <c r="B22" s="519">
        <v>23835</v>
      </c>
      <c r="C22" s="519">
        <v>17413</v>
      </c>
      <c r="D22" s="471">
        <f t="shared" si="0"/>
        <v>73.05642962030628</v>
      </c>
      <c r="E22" s="521">
        <v>1495</v>
      </c>
    </row>
    <row r="23" spans="1:5" ht="12">
      <c r="A23" s="576" t="s">
        <v>733</v>
      </c>
      <c r="B23" s="519">
        <v>23455</v>
      </c>
      <c r="C23" s="519">
        <v>17173</v>
      </c>
      <c r="D23" s="471">
        <f t="shared" si="0"/>
        <v>73.21679812406737</v>
      </c>
      <c r="E23" s="521">
        <v>1469</v>
      </c>
    </row>
    <row r="24" spans="1:5" ht="12">
      <c r="A24" s="576" t="s">
        <v>765</v>
      </c>
      <c r="B24" s="519">
        <v>380</v>
      </c>
      <c r="C24" s="519">
        <v>240</v>
      </c>
      <c r="D24" s="471">
        <f t="shared" si="0"/>
        <v>63.1578947368421</v>
      </c>
      <c r="E24" s="521">
        <v>26</v>
      </c>
    </row>
    <row r="25" spans="1:5" ht="12">
      <c r="A25" s="575" t="s">
        <v>735</v>
      </c>
      <c r="B25" s="519">
        <v>44</v>
      </c>
      <c r="C25" s="519">
        <v>51</v>
      </c>
      <c r="D25" s="471">
        <f t="shared" si="0"/>
        <v>115.90909090909092</v>
      </c>
      <c r="E25" s="521">
        <v>1</v>
      </c>
    </row>
    <row r="26" spans="1:5" ht="12">
      <c r="A26" s="575" t="s">
        <v>378</v>
      </c>
      <c r="B26" s="519">
        <f>SUM(B27:B31)</f>
        <v>13003</v>
      </c>
      <c r="C26" s="519">
        <f>SUM(C27:C31)</f>
        <v>8916</v>
      </c>
      <c r="D26" s="471">
        <f t="shared" si="0"/>
        <v>68.56879181727294</v>
      </c>
      <c r="E26" s="519">
        <f>SUM(E27:E31)</f>
        <v>815</v>
      </c>
    </row>
    <row r="27" spans="1:5" ht="12">
      <c r="A27" s="559" t="s">
        <v>736</v>
      </c>
      <c r="B27" s="519">
        <v>186</v>
      </c>
      <c r="C27" s="519">
        <v>183</v>
      </c>
      <c r="D27" s="471">
        <f t="shared" si="0"/>
        <v>98.38709677419355</v>
      </c>
      <c r="E27" s="521">
        <v>35</v>
      </c>
    </row>
    <row r="28" spans="1:5" ht="12">
      <c r="A28" s="559" t="s">
        <v>737</v>
      </c>
      <c r="B28" s="519">
        <v>288</v>
      </c>
      <c r="C28" s="519">
        <v>53</v>
      </c>
      <c r="D28" s="471">
        <f t="shared" si="0"/>
        <v>18.40277777777778</v>
      </c>
      <c r="E28" s="521">
        <v>2</v>
      </c>
    </row>
    <row r="29" spans="1:5" ht="12">
      <c r="A29" s="559" t="s">
        <v>738</v>
      </c>
      <c r="B29" s="519">
        <v>242</v>
      </c>
      <c r="C29" s="519">
        <v>385</v>
      </c>
      <c r="D29" s="471">
        <f t="shared" si="0"/>
        <v>159.0909090909091</v>
      </c>
      <c r="E29" s="521">
        <v>208</v>
      </c>
    </row>
    <row r="30" spans="1:5" ht="12">
      <c r="A30" s="559" t="s">
        <v>739</v>
      </c>
      <c r="B30" s="519">
        <v>9672</v>
      </c>
      <c r="C30" s="519">
        <v>5965</v>
      </c>
      <c r="D30" s="471">
        <f t="shared" si="0"/>
        <v>61.672870140612076</v>
      </c>
      <c r="E30" s="521">
        <v>366</v>
      </c>
    </row>
    <row r="31" spans="1:5" ht="12">
      <c r="A31" s="559" t="s">
        <v>740</v>
      </c>
      <c r="B31" s="519">
        <v>2615</v>
      </c>
      <c r="C31" s="519">
        <v>2330</v>
      </c>
      <c r="D31" s="471">
        <f t="shared" si="0"/>
        <v>89.10133843212236</v>
      </c>
      <c r="E31" s="521">
        <v>204</v>
      </c>
    </row>
    <row r="32" spans="1:7" s="538" customFormat="1" ht="11.25" customHeight="1">
      <c r="A32" s="556" t="s">
        <v>741</v>
      </c>
      <c r="B32" s="519">
        <v>17998</v>
      </c>
      <c r="C32" s="519">
        <v>14530</v>
      </c>
      <c r="D32" s="471">
        <f t="shared" si="0"/>
        <v>80.73119235470608</v>
      </c>
      <c r="E32" s="521">
        <v>936</v>
      </c>
      <c r="F32" s="458"/>
      <c r="G32" s="458"/>
    </row>
    <row r="33" spans="1:7" s="538" customFormat="1" ht="11.25" customHeight="1">
      <c r="A33" s="559" t="s">
        <v>399</v>
      </c>
      <c r="B33" s="519">
        <v>16126</v>
      </c>
      <c r="C33" s="519">
        <v>13979</v>
      </c>
      <c r="D33" s="471">
        <f t="shared" si="0"/>
        <v>86.68609698623341</v>
      </c>
      <c r="E33" s="521">
        <v>908</v>
      </c>
      <c r="F33" s="458"/>
      <c r="G33" s="458"/>
    </row>
    <row r="34" spans="1:5" ht="12" hidden="1">
      <c r="A34" s="596" t="s">
        <v>399</v>
      </c>
      <c r="B34" s="519">
        <v>1125</v>
      </c>
      <c r="C34" s="519">
        <v>1534</v>
      </c>
      <c r="D34" s="471">
        <f t="shared" si="0"/>
        <v>136.35555555555555</v>
      </c>
      <c r="E34" s="521">
        <v>488</v>
      </c>
    </row>
    <row r="35" spans="1:5" ht="12" hidden="1">
      <c r="A35" s="559" t="s">
        <v>742</v>
      </c>
      <c r="B35" s="519">
        <v>405556</v>
      </c>
      <c r="C35" s="519">
        <v>391351</v>
      </c>
      <c r="D35" s="471">
        <f t="shared" si="0"/>
        <v>96.49740109873852</v>
      </c>
      <c r="E35" s="521">
        <v>38745</v>
      </c>
    </row>
    <row r="36" spans="1:5" ht="12">
      <c r="A36" s="597" t="s">
        <v>401</v>
      </c>
      <c r="B36" s="519">
        <v>1872</v>
      </c>
      <c r="C36" s="519">
        <v>551</v>
      </c>
      <c r="D36" s="471">
        <f t="shared" si="0"/>
        <v>29.433760683760685</v>
      </c>
      <c r="E36" s="521">
        <v>28</v>
      </c>
    </row>
    <row r="37" spans="1:7" s="538" customFormat="1" ht="11.25" customHeight="1">
      <c r="A37" s="556" t="s">
        <v>743</v>
      </c>
      <c r="B37" s="519">
        <f>B38-B39</f>
        <v>-2316</v>
      </c>
      <c r="C37" s="519">
        <f>C38-C39</f>
        <v>-955</v>
      </c>
      <c r="D37" s="471">
        <f t="shared" si="0"/>
        <v>41.23488773747841</v>
      </c>
      <c r="E37" s="519">
        <f>E38-E39</f>
        <v>554</v>
      </c>
      <c r="F37" s="458"/>
      <c r="G37" s="458"/>
    </row>
    <row r="38" spans="1:5" ht="12.75" customHeight="1">
      <c r="A38" s="559" t="s">
        <v>744</v>
      </c>
      <c r="B38" s="519">
        <v>3889</v>
      </c>
      <c r="C38" s="519">
        <v>4109</v>
      </c>
      <c r="D38" s="471">
        <f t="shared" si="0"/>
        <v>105.65698122910774</v>
      </c>
      <c r="E38" s="521">
        <v>649</v>
      </c>
    </row>
    <row r="39" spans="1:5" ht="12.75" customHeight="1">
      <c r="A39" s="562" t="s">
        <v>745</v>
      </c>
      <c r="B39" s="532">
        <v>6205</v>
      </c>
      <c r="C39" s="532">
        <v>5064</v>
      </c>
      <c r="D39" s="493">
        <f t="shared" si="0"/>
        <v>81.6116035455278</v>
      </c>
      <c r="E39" s="534">
        <v>95</v>
      </c>
    </row>
    <row r="40" spans="1:5" ht="12.75" customHeight="1">
      <c r="A40" s="598" t="s">
        <v>525</v>
      </c>
      <c r="B40" s="599">
        <f>B11-B12-B37</f>
        <v>-3689</v>
      </c>
      <c r="C40" s="599">
        <f>C11-C12-C37</f>
        <v>6863</v>
      </c>
      <c r="D40" s="600">
        <f t="shared" si="0"/>
        <v>-186.03957712117105</v>
      </c>
      <c r="E40" s="599">
        <f>E11-E12-E37</f>
        <v>1046</v>
      </c>
    </row>
    <row r="41" spans="1:4" ht="12">
      <c r="A41" s="545"/>
      <c r="B41" s="567"/>
      <c r="C41" s="567"/>
      <c r="D41" s="601"/>
    </row>
    <row r="42" ht="11.25">
      <c r="A42" s="572"/>
    </row>
    <row r="43" spans="1:7" s="543" customFormat="1" ht="12">
      <c r="A43" s="572"/>
      <c r="B43" s="458"/>
      <c r="C43" s="458"/>
      <c r="D43" s="458"/>
      <c r="E43" s="458"/>
      <c r="F43" s="458"/>
      <c r="G43" s="458"/>
    </row>
    <row r="44" spans="1:7" s="543" customFormat="1" ht="12">
      <c r="A44" s="545"/>
      <c r="B44" s="458"/>
      <c r="C44" s="458"/>
      <c r="D44" s="458"/>
      <c r="E44" s="458"/>
      <c r="F44" s="458"/>
      <c r="G44" s="458"/>
    </row>
    <row r="45" spans="1:254" s="459" customFormat="1" ht="12.75">
      <c r="A45" s="541" t="s">
        <v>695</v>
      </c>
      <c r="B45" s="541"/>
      <c r="C45" s="542"/>
      <c r="D45" s="602"/>
      <c r="E45" s="595" t="s">
        <v>653</v>
      </c>
      <c r="F45" s="458"/>
      <c r="G45" s="458"/>
      <c r="H45" s="571"/>
      <c r="I45" s="603"/>
      <c r="J45" s="603"/>
      <c r="K45" s="604"/>
      <c r="L45" s="458"/>
      <c r="M45" s="541"/>
      <c r="N45" s="541"/>
      <c r="O45" s="543"/>
      <c r="P45" s="543"/>
      <c r="Q45" s="543"/>
      <c r="R45" s="543"/>
      <c r="S45" s="458"/>
      <c r="T45" s="541"/>
      <c r="U45" s="541"/>
      <c r="V45" s="571"/>
      <c r="W45" s="605"/>
      <c r="X45" s="605"/>
      <c r="Y45" s="604"/>
      <c r="Z45" s="458"/>
      <c r="AA45" s="541"/>
      <c r="AB45" s="541"/>
      <c r="AC45" s="571"/>
      <c r="AD45" s="605"/>
      <c r="AE45" s="605"/>
      <c r="AF45" s="604"/>
      <c r="AG45" s="458"/>
      <c r="AH45" s="541"/>
      <c r="AI45" s="541"/>
      <c r="AJ45" s="571"/>
      <c r="AK45" s="605"/>
      <c r="AL45" s="605"/>
      <c r="AM45" s="604"/>
      <c r="AN45" s="458"/>
      <c r="AO45" s="541"/>
      <c r="AP45" s="541"/>
      <c r="AQ45" s="571"/>
      <c r="AR45" s="605"/>
      <c r="AS45" s="605"/>
      <c r="AT45" s="604"/>
      <c r="AU45" s="458"/>
      <c r="AV45" s="541"/>
      <c r="AW45" s="541"/>
      <c r="AX45" s="571"/>
      <c r="AY45" s="605"/>
      <c r="AZ45" s="605"/>
      <c r="BA45" s="604"/>
      <c r="BB45" s="458"/>
      <c r="BC45" s="541"/>
      <c r="BD45" s="541"/>
      <c r="BE45" s="571"/>
      <c r="BF45" s="605"/>
      <c r="BG45" s="605"/>
      <c r="BH45" s="604"/>
      <c r="BI45" s="458"/>
      <c r="BJ45" s="541"/>
      <c r="BK45" s="541"/>
      <c r="BL45" s="571"/>
      <c r="BM45" s="605"/>
      <c r="BN45" s="605"/>
      <c r="BO45" s="604"/>
      <c r="BP45" s="458"/>
      <c r="BQ45" s="541"/>
      <c r="BR45" s="541"/>
      <c r="BS45" s="571"/>
      <c r="BT45" s="605"/>
      <c r="BU45" s="605"/>
      <c r="BV45" s="604"/>
      <c r="BW45" s="458"/>
      <c r="BX45" s="541"/>
      <c r="BY45" s="541"/>
      <c r="BZ45" s="571"/>
      <c r="CA45" s="605"/>
      <c r="CB45" s="605"/>
      <c r="CC45" s="604"/>
      <c r="CD45" s="458"/>
      <c r="CE45" s="541"/>
      <c r="CF45" s="541"/>
      <c r="CG45" s="571"/>
      <c r="CH45" s="605"/>
      <c r="CI45" s="605"/>
      <c r="CJ45" s="604"/>
      <c r="CK45" s="458"/>
      <c r="CL45" s="541"/>
      <c r="CM45" s="541"/>
      <c r="CN45" s="571"/>
      <c r="CO45" s="605"/>
      <c r="CP45" s="605"/>
      <c r="CQ45" s="604"/>
      <c r="CR45" s="458"/>
      <c r="CS45" s="541"/>
      <c r="CT45" s="541"/>
      <c r="CU45" s="571"/>
      <c r="CV45" s="605"/>
      <c r="CW45" s="605"/>
      <c r="CX45" s="604"/>
      <c r="CY45" s="458"/>
      <c r="CZ45" s="541"/>
      <c r="DA45" s="541"/>
      <c r="DB45" s="571"/>
      <c r="DC45" s="605"/>
      <c r="DD45" s="605"/>
      <c r="DE45" s="604"/>
      <c r="DF45" s="458"/>
      <c r="DG45" s="541"/>
      <c r="DH45" s="541"/>
      <c r="DI45" s="571"/>
      <c r="DJ45" s="605"/>
      <c r="DK45" s="605"/>
      <c r="DL45" s="604"/>
      <c r="DM45" s="458"/>
      <c r="DN45" s="541"/>
      <c r="DO45" s="541"/>
      <c r="DP45" s="571"/>
      <c r="DQ45" s="605"/>
      <c r="DR45" s="605"/>
      <c r="DS45" s="604"/>
      <c r="DT45" s="458"/>
      <c r="DU45" s="541"/>
      <c r="DV45" s="541"/>
      <c r="DW45" s="571"/>
      <c r="DX45" s="605"/>
      <c r="DY45" s="605"/>
      <c r="DZ45" s="604"/>
      <c r="EA45" s="458"/>
      <c r="EB45" s="541"/>
      <c r="EC45" s="541"/>
      <c r="ED45" s="571"/>
      <c r="EE45" s="605"/>
      <c r="EF45" s="605"/>
      <c r="EG45" s="604"/>
      <c r="EH45" s="458"/>
      <c r="EI45" s="541"/>
      <c r="EJ45" s="541"/>
      <c r="EK45" s="571"/>
      <c r="EL45" s="605"/>
      <c r="EM45" s="605"/>
      <c r="EN45" s="604"/>
      <c r="EO45" s="458"/>
      <c r="EP45" s="541"/>
      <c r="EQ45" s="541"/>
      <c r="ER45" s="571"/>
      <c r="ES45" s="605"/>
      <c r="ET45" s="605"/>
      <c r="EU45" s="604"/>
      <c r="EV45" s="458"/>
      <c r="EW45" s="541"/>
      <c r="EX45" s="541"/>
      <c r="EY45" s="571"/>
      <c r="EZ45" s="605"/>
      <c r="FA45" s="605"/>
      <c r="FB45" s="604"/>
      <c r="FC45" s="458"/>
      <c r="FD45" s="541"/>
      <c r="FE45" s="541"/>
      <c r="FF45" s="571"/>
      <c r="FG45" s="605"/>
      <c r="FH45" s="605"/>
      <c r="FI45" s="604"/>
      <c r="FJ45" s="458"/>
      <c r="FK45" s="541"/>
      <c r="FL45" s="541"/>
      <c r="FM45" s="571"/>
      <c r="FN45" s="605"/>
      <c r="FO45" s="605"/>
      <c r="FP45" s="604"/>
      <c r="FQ45" s="458"/>
      <c r="FR45" s="541"/>
      <c r="FS45" s="541"/>
      <c r="FT45" s="571"/>
      <c r="FU45" s="605"/>
      <c r="FV45" s="605"/>
      <c r="FW45" s="604"/>
      <c r="FX45" s="458"/>
      <c r="FY45" s="541"/>
      <c r="FZ45" s="541"/>
      <c r="GA45" s="571"/>
      <c r="GB45" s="605"/>
      <c r="GC45" s="605"/>
      <c r="GD45" s="604"/>
      <c r="GE45" s="458"/>
      <c r="GF45" s="541"/>
      <c r="GG45" s="541"/>
      <c r="GH45" s="571"/>
      <c r="GI45" s="605"/>
      <c r="GJ45" s="605"/>
      <c r="GK45" s="604"/>
      <c r="GL45" s="458"/>
      <c r="GM45" s="541"/>
      <c r="GN45" s="541"/>
      <c r="GO45" s="571"/>
      <c r="GP45" s="605"/>
      <c r="GQ45" s="605"/>
      <c r="GR45" s="604"/>
      <c r="GS45" s="458"/>
      <c r="GT45" s="541"/>
      <c r="GU45" s="541"/>
      <c r="GV45" s="571"/>
      <c r="GW45" s="605"/>
      <c r="GX45" s="605"/>
      <c r="GY45" s="604"/>
      <c r="GZ45" s="458"/>
      <c r="HA45" s="541"/>
      <c r="HB45" s="541"/>
      <c r="HC45" s="571"/>
      <c r="HD45" s="605"/>
      <c r="HE45" s="605"/>
      <c r="HF45" s="604"/>
      <c r="HG45" s="458"/>
      <c r="HH45" s="541"/>
      <c r="HI45" s="541"/>
      <c r="HJ45" s="571"/>
      <c r="HK45" s="605"/>
      <c r="HL45" s="605"/>
      <c r="HM45" s="604"/>
      <c r="HN45" s="458"/>
      <c r="HO45" s="541"/>
      <c r="HP45" s="541"/>
      <c r="HQ45" s="571"/>
      <c r="HR45" s="605"/>
      <c r="HS45" s="605"/>
      <c r="HT45" s="604"/>
      <c r="HU45" s="458"/>
      <c r="HV45" s="541"/>
      <c r="HW45" s="541"/>
      <c r="HX45" s="571"/>
      <c r="HY45" s="605"/>
      <c r="HZ45" s="605"/>
      <c r="IA45" s="604"/>
      <c r="IB45" s="458"/>
      <c r="IC45" s="541"/>
      <c r="ID45" s="541"/>
      <c r="IE45" s="571"/>
      <c r="IF45" s="605"/>
      <c r="IG45" s="605"/>
      <c r="IH45" s="604"/>
      <c r="II45" s="458"/>
      <c r="IJ45" s="541"/>
      <c r="IK45" s="541"/>
      <c r="IL45" s="571"/>
      <c r="IM45" s="605"/>
      <c r="IN45" s="605"/>
      <c r="IO45" s="604"/>
      <c r="IP45" s="458"/>
      <c r="IQ45" s="541"/>
      <c r="IR45" s="541"/>
      <c r="IS45" s="571"/>
      <c r="IT45" s="605"/>
    </row>
    <row r="46" spans="2:253" s="541" customFormat="1" ht="16.5" customHeight="1">
      <c r="B46" s="537"/>
      <c r="C46" s="537"/>
      <c r="D46" s="458"/>
      <c r="E46" s="458"/>
      <c r="F46" s="458"/>
      <c r="G46" s="458"/>
      <c r="H46" s="571"/>
      <c r="I46" s="543"/>
      <c r="J46" s="571"/>
      <c r="K46" s="571"/>
      <c r="M46" s="543"/>
      <c r="O46" s="571"/>
      <c r="P46" s="543"/>
      <c r="Q46" s="571"/>
      <c r="R46" s="571"/>
      <c r="T46" s="543"/>
      <c r="V46" s="571"/>
      <c r="W46" s="543"/>
      <c r="X46" s="571"/>
      <c r="Y46" s="571"/>
      <c r="AA46" s="543"/>
      <c r="AC46" s="571"/>
      <c r="AD46" s="543"/>
      <c r="AE46" s="571"/>
      <c r="AF46" s="571"/>
      <c r="AH46" s="543"/>
      <c r="AJ46" s="571"/>
      <c r="AK46" s="543"/>
      <c r="AL46" s="571"/>
      <c r="AM46" s="571"/>
      <c r="AO46" s="543"/>
      <c r="AQ46" s="571"/>
      <c r="AR46" s="543"/>
      <c r="AS46" s="571"/>
      <c r="AT46" s="571"/>
      <c r="AV46" s="543"/>
      <c r="AX46" s="571"/>
      <c r="AY46" s="543"/>
      <c r="AZ46" s="571"/>
      <c r="BA46" s="571"/>
      <c r="BC46" s="543"/>
      <c r="BE46" s="571"/>
      <c r="BF46" s="543"/>
      <c r="BG46" s="571"/>
      <c r="BH46" s="571"/>
      <c r="BJ46" s="543"/>
      <c r="BL46" s="571"/>
      <c r="BM46" s="543"/>
      <c r="BN46" s="571"/>
      <c r="BO46" s="571"/>
      <c r="BQ46" s="543"/>
      <c r="BS46" s="571"/>
      <c r="BT46" s="543"/>
      <c r="BU46" s="571"/>
      <c r="BV46" s="571"/>
      <c r="BX46" s="543"/>
      <c r="BZ46" s="571"/>
      <c r="CA46" s="543"/>
      <c r="CB46" s="571"/>
      <c r="CC46" s="571"/>
      <c r="CE46" s="543"/>
      <c r="CG46" s="571"/>
      <c r="CH46" s="543"/>
      <c r="CI46" s="571"/>
      <c r="CJ46" s="571"/>
      <c r="CL46" s="543"/>
      <c r="CN46" s="571"/>
      <c r="CO46" s="543"/>
      <c r="CP46" s="571"/>
      <c r="CQ46" s="571"/>
      <c r="CS46" s="543"/>
      <c r="CU46" s="571"/>
      <c r="CV46" s="543"/>
      <c r="CW46" s="571"/>
      <c r="CX46" s="571"/>
      <c r="CZ46" s="543"/>
      <c r="DB46" s="571"/>
      <c r="DC46" s="543"/>
      <c r="DD46" s="571"/>
      <c r="DE46" s="571"/>
      <c r="DG46" s="543"/>
      <c r="DI46" s="571"/>
      <c r="DJ46" s="543"/>
      <c r="DK46" s="571"/>
      <c r="DL46" s="571"/>
      <c r="DN46" s="543"/>
      <c r="DP46" s="571"/>
      <c r="DQ46" s="543"/>
      <c r="DR46" s="571"/>
      <c r="DS46" s="571"/>
      <c r="DU46" s="543"/>
      <c r="DW46" s="571"/>
      <c r="DX46" s="543"/>
      <c r="DY46" s="571"/>
      <c r="DZ46" s="571"/>
      <c r="EB46" s="543"/>
      <c r="ED46" s="571"/>
      <c r="EE46" s="543"/>
      <c r="EF46" s="571"/>
      <c r="EG46" s="571"/>
      <c r="EI46" s="543"/>
      <c r="EK46" s="571"/>
      <c r="EL46" s="543"/>
      <c r="EM46" s="571"/>
      <c r="EN46" s="571"/>
      <c r="EP46" s="543"/>
      <c r="ER46" s="571"/>
      <c r="ES46" s="543"/>
      <c r="ET46" s="571"/>
      <c r="EU46" s="571"/>
      <c r="EW46" s="543"/>
      <c r="EY46" s="571"/>
      <c r="EZ46" s="543"/>
      <c r="FA46" s="571"/>
      <c r="FB46" s="571"/>
      <c r="FD46" s="543"/>
      <c r="FF46" s="571"/>
      <c r="FG46" s="543"/>
      <c r="FH46" s="571"/>
      <c r="FI46" s="571"/>
      <c r="FK46" s="543"/>
      <c r="FM46" s="571"/>
      <c r="FN46" s="543"/>
      <c r="FO46" s="571"/>
      <c r="FP46" s="571"/>
      <c r="FR46" s="543"/>
      <c r="FT46" s="571"/>
      <c r="FU46" s="543"/>
      <c r="FV46" s="571"/>
      <c r="FW46" s="571"/>
      <c r="FY46" s="543"/>
      <c r="GA46" s="571"/>
      <c r="GB46" s="543"/>
      <c r="GC46" s="571"/>
      <c r="GD46" s="571"/>
      <c r="GF46" s="543"/>
      <c r="GH46" s="571"/>
      <c r="GI46" s="543"/>
      <c r="GJ46" s="571"/>
      <c r="GK46" s="571"/>
      <c r="GM46" s="543"/>
      <c r="GO46" s="571"/>
      <c r="GP46" s="543"/>
      <c r="GQ46" s="571"/>
      <c r="GR46" s="571"/>
      <c r="GT46" s="543"/>
      <c r="GV46" s="571"/>
      <c r="GW46" s="543"/>
      <c r="GX46" s="571"/>
      <c r="GY46" s="571"/>
      <c r="HA46" s="543"/>
      <c r="HC46" s="571"/>
      <c r="HD46" s="543"/>
      <c r="HE46" s="571"/>
      <c r="HF46" s="571"/>
      <c r="HH46" s="543"/>
      <c r="HJ46" s="571"/>
      <c r="HK46" s="543"/>
      <c r="HL46" s="571"/>
      <c r="HM46" s="571"/>
      <c r="HO46" s="543"/>
      <c r="HQ46" s="571"/>
      <c r="HR46" s="543"/>
      <c r="HS46" s="571"/>
      <c r="HT46" s="571"/>
      <c r="HV46" s="543"/>
      <c r="HX46" s="571"/>
      <c r="HY46" s="543"/>
      <c r="HZ46" s="571"/>
      <c r="IA46" s="571"/>
      <c r="IC46" s="543"/>
      <c r="IE46" s="571"/>
      <c r="IF46" s="543"/>
      <c r="IG46" s="571"/>
      <c r="IH46" s="571"/>
      <c r="IJ46" s="543"/>
      <c r="IL46" s="571"/>
      <c r="IM46" s="543"/>
      <c r="IN46" s="571"/>
      <c r="IO46" s="571"/>
      <c r="IQ46" s="543"/>
      <c r="IS46" s="571"/>
    </row>
    <row r="47" spans="1:7" s="543" customFormat="1" ht="12.75">
      <c r="A47" s="572"/>
      <c r="B47" s="606"/>
      <c r="C47" s="606"/>
      <c r="D47" s="458"/>
      <c r="E47" s="458"/>
      <c r="F47" s="458"/>
      <c r="G47" s="458"/>
    </row>
    <row r="48" spans="1:7" s="459" customFormat="1" ht="12.75">
      <c r="A48" s="607"/>
      <c r="D48" s="458"/>
      <c r="E48" s="458"/>
      <c r="F48" s="458"/>
      <c r="G48" s="458"/>
    </row>
    <row r="49" spans="1:7" s="459" customFormat="1" ht="12.75">
      <c r="A49" s="540"/>
      <c r="B49" s="540"/>
      <c r="C49" s="540"/>
      <c r="D49" s="458"/>
      <c r="E49" s="458"/>
      <c r="F49" s="458"/>
      <c r="G49" s="458"/>
    </row>
    <row r="57" spans="4:7" ht="11.25">
      <c r="D57" s="458">
        <v>0</v>
      </c>
      <c r="E57" s="458">
        <v>0</v>
      </c>
      <c r="F57" s="458">
        <v>0</v>
      </c>
      <c r="G57" s="458">
        <v>0</v>
      </c>
    </row>
    <row r="58" spans="4:7" ht="11.25">
      <c r="D58" s="458">
        <v>0</v>
      </c>
      <c r="E58" s="458">
        <v>0</v>
      </c>
      <c r="F58" s="458">
        <v>0</v>
      </c>
      <c r="G58" s="458">
        <v>0</v>
      </c>
    </row>
    <row r="59" spans="4:7" ht="11.25">
      <c r="D59" s="458">
        <v>0</v>
      </c>
      <c r="E59" s="458">
        <v>0</v>
      </c>
      <c r="F59" s="458">
        <v>0</v>
      </c>
      <c r="G59" s="458">
        <v>0</v>
      </c>
    </row>
  </sheetData>
  <printOptions/>
  <pageMargins left="0.7480314960629921" right="0.15748031496062992" top="1.46" bottom="0.984251968503937" header="0" footer="0"/>
  <pageSetup firstPageNumber="30" useFirstPageNumber="1" horizontalDpi="600" verticalDpi="600" orientation="portrait" paperSize="9" r:id="rId1"/>
  <headerFooter alignWithMargins="0">
    <oddFooter>&amp;L&amp;"Arial,Regular"&amp;8Valsts kase / Pārskatu departaments
15.12.00.
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0"/>
  <dimension ref="A1:P68"/>
  <sheetViews>
    <sheetView showGridLines="0" showZeros="0" workbookViewId="0" topLeftCell="F29">
      <selection activeCell="A15" sqref="A15"/>
    </sheetView>
  </sheetViews>
  <sheetFormatPr defaultColWidth="9.140625" defaultRowHeight="12.75"/>
  <cols>
    <col min="1" max="1" width="17.7109375" style="500" customWidth="1"/>
    <col min="2" max="2" width="8.8515625" style="458" customWidth="1"/>
    <col min="3" max="3" width="8.421875" style="458" customWidth="1"/>
    <col min="4" max="4" width="8.8515625" style="458" customWidth="1"/>
    <col min="5" max="5" width="8.57421875" style="458" customWidth="1"/>
    <col min="6" max="6" width="6.8515625" style="458" customWidth="1"/>
    <col min="7" max="7" width="8.421875" style="458" customWidth="1"/>
    <col min="8" max="8" width="11.28125" style="458" customWidth="1"/>
    <col min="9" max="9" width="10.140625" style="458" customWidth="1"/>
    <col min="10" max="10" width="8.57421875" style="458" customWidth="1"/>
    <col min="11" max="11" width="8.00390625" style="458" customWidth="1"/>
    <col min="12" max="13" width="7.57421875" style="458" customWidth="1"/>
    <col min="14" max="14" width="7.140625" style="458" customWidth="1"/>
    <col min="15" max="16" width="9.28125" style="458" customWidth="1"/>
    <col min="17" max="16384" width="8.00390625" style="458" customWidth="1"/>
  </cols>
  <sheetData>
    <row r="1" spans="1:16" ht="12.75">
      <c r="A1" s="495"/>
      <c r="B1" s="459"/>
      <c r="C1" s="459"/>
      <c r="D1" s="459"/>
      <c r="E1" s="459"/>
      <c r="F1" s="459" t="s">
        <v>766</v>
      </c>
      <c r="G1" s="459"/>
      <c r="H1" s="459"/>
      <c r="I1" s="459"/>
      <c r="J1" s="459"/>
      <c r="K1" s="459"/>
      <c r="L1" s="459"/>
      <c r="M1" s="459"/>
      <c r="N1" s="456"/>
      <c r="O1" s="456"/>
      <c r="P1" s="456" t="s">
        <v>767</v>
      </c>
    </row>
    <row r="2" spans="14:15" ht="12">
      <c r="N2" s="608"/>
      <c r="O2" s="508"/>
    </row>
    <row r="3" spans="1:16" s="459" customFormat="1" ht="12.75">
      <c r="A3" s="495"/>
      <c r="N3" s="456"/>
      <c r="O3" s="456"/>
      <c r="P3" s="456"/>
    </row>
    <row r="4" spans="1:16" s="506" customFormat="1" ht="15.75">
      <c r="A4" s="609" t="s">
        <v>768</v>
      </c>
      <c r="B4" s="609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</row>
    <row r="5" spans="1:16" s="611" customFormat="1" ht="15.75">
      <c r="A5" s="460" t="s">
        <v>699</v>
      </c>
      <c r="B5" s="460"/>
      <c r="C5" s="460"/>
      <c r="D5" s="460"/>
      <c r="E5" s="61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</row>
    <row r="6" spans="1:16" s="611" customFormat="1" ht="15.75">
      <c r="A6" s="460"/>
      <c r="B6" s="460"/>
      <c r="C6" s="460"/>
      <c r="D6" s="460"/>
      <c r="E6" s="61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</row>
    <row r="7" spans="1:16" s="509" customFormat="1" ht="11.25">
      <c r="A7" s="612"/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 t="s">
        <v>769</v>
      </c>
      <c r="N7" s="550"/>
      <c r="O7" s="511"/>
      <c r="P7" s="550"/>
    </row>
    <row r="8" spans="1:16" s="459" customFormat="1" ht="12.75">
      <c r="A8" s="613"/>
      <c r="B8" s="614" t="s">
        <v>439</v>
      </c>
      <c r="C8" s="614"/>
      <c r="D8" s="614"/>
      <c r="E8" s="615" t="s">
        <v>770</v>
      </c>
      <c r="F8" s="614"/>
      <c r="G8" s="614"/>
      <c r="H8" s="616"/>
      <c r="I8" s="616"/>
      <c r="J8" s="617" t="s">
        <v>771</v>
      </c>
      <c r="K8" s="614"/>
      <c r="L8" s="614"/>
      <c r="M8" s="618"/>
      <c r="N8" s="614"/>
      <c r="O8" s="619"/>
      <c r="P8" s="620"/>
    </row>
    <row r="9" spans="1:16" ht="11.25">
      <c r="A9" s="621"/>
      <c r="B9" s="553"/>
      <c r="C9" s="622"/>
      <c r="D9" s="622"/>
      <c r="E9" s="622"/>
      <c r="F9" s="622"/>
      <c r="G9" s="622"/>
      <c r="H9" s="622"/>
      <c r="I9" s="622"/>
      <c r="J9" s="622"/>
      <c r="K9" s="622"/>
      <c r="L9" s="623" t="s">
        <v>772</v>
      </c>
      <c r="M9" s="623"/>
      <c r="N9" s="553"/>
      <c r="O9" s="622"/>
      <c r="P9" s="624"/>
    </row>
    <row r="10" spans="1:16" s="631" customFormat="1" ht="45">
      <c r="A10" s="625" t="s">
        <v>773</v>
      </c>
      <c r="B10" s="626" t="s">
        <v>774</v>
      </c>
      <c r="C10" s="627" t="s">
        <v>775</v>
      </c>
      <c r="D10" s="628" t="s">
        <v>776</v>
      </c>
      <c r="E10" s="628" t="s">
        <v>777</v>
      </c>
      <c r="F10" s="628" t="s">
        <v>778</v>
      </c>
      <c r="G10" s="628" t="s">
        <v>779</v>
      </c>
      <c r="H10" s="628" t="s">
        <v>780</v>
      </c>
      <c r="I10" s="628" t="s">
        <v>0</v>
      </c>
      <c r="J10" s="628" t="s">
        <v>164</v>
      </c>
      <c r="K10" s="628" t="s">
        <v>1</v>
      </c>
      <c r="L10" s="628" t="s">
        <v>2</v>
      </c>
      <c r="M10" s="628" t="s">
        <v>3</v>
      </c>
      <c r="N10" s="628" t="s">
        <v>4</v>
      </c>
      <c r="O10" s="629" t="s">
        <v>175</v>
      </c>
      <c r="P10" s="630" t="s">
        <v>5</v>
      </c>
    </row>
    <row r="11" spans="1:16" s="509" customFormat="1" ht="11.25">
      <c r="A11" s="632">
        <v>1</v>
      </c>
      <c r="B11" s="633">
        <v>2</v>
      </c>
      <c r="C11" s="633">
        <v>3</v>
      </c>
      <c r="D11" s="633">
        <v>4</v>
      </c>
      <c r="E11" s="633">
        <v>5</v>
      </c>
      <c r="F11" s="633">
        <v>6</v>
      </c>
      <c r="G11" s="633">
        <v>7</v>
      </c>
      <c r="H11" s="633">
        <v>8</v>
      </c>
      <c r="I11" s="633">
        <v>9</v>
      </c>
      <c r="J11" s="633">
        <v>10</v>
      </c>
      <c r="K11" s="633">
        <v>11</v>
      </c>
      <c r="L11" s="633">
        <v>12</v>
      </c>
      <c r="M11" s="633">
        <v>13</v>
      </c>
      <c r="N11" s="633">
        <v>14</v>
      </c>
      <c r="O11" s="633">
        <v>15</v>
      </c>
      <c r="P11" s="634">
        <v>16</v>
      </c>
    </row>
    <row r="12" spans="1:16" ht="12.75">
      <c r="A12" s="635" t="s">
        <v>6</v>
      </c>
      <c r="B12" s="636"/>
      <c r="C12" s="636"/>
      <c r="D12" s="636"/>
      <c r="E12" s="636"/>
      <c r="F12" s="636"/>
      <c r="G12" s="636"/>
      <c r="H12" s="636"/>
      <c r="I12" s="636"/>
      <c r="J12" s="636"/>
      <c r="K12" s="636">
        <v>0</v>
      </c>
      <c r="L12" s="636">
        <v>0</v>
      </c>
      <c r="M12" s="636"/>
      <c r="N12" s="636"/>
      <c r="O12" s="636"/>
      <c r="P12" s="637">
        <v>0</v>
      </c>
    </row>
    <row r="13" spans="1:16" ht="12">
      <c r="A13" s="525" t="s">
        <v>7</v>
      </c>
      <c r="B13" s="638">
        <v>108556946</v>
      </c>
      <c r="C13" s="638">
        <v>21573765</v>
      </c>
      <c r="D13" s="638">
        <v>130130711</v>
      </c>
      <c r="E13" s="638">
        <v>121880005</v>
      </c>
      <c r="F13" s="638">
        <v>16339154</v>
      </c>
      <c r="G13" s="638">
        <v>138219159</v>
      </c>
      <c r="H13" s="638">
        <v>-8088448</v>
      </c>
      <c r="I13" s="638">
        <v>8088448</v>
      </c>
      <c r="J13" s="638">
        <v>3500000</v>
      </c>
      <c r="K13" s="638">
        <v>-316000</v>
      </c>
      <c r="L13" s="638">
        <v>5649963</v>
      </c>
      <c r="M13" s="638">
        <v>5965963</v>
      </c>
      <c r="N13" s="638">
        <v>-7300000</v>
      </c>
      <c r="O13" s="638">
        <v>12145330</v>
      </c>
      <c r="P13" s="639">
        <v>59118</v>
      </c>
    </row>
    <row r="14" spans="1:16" ht="12">
      <c r="A14" s="640" t="s">
        <v>8</v>
      </c>
      <c r="B14" s="638">
        <v>9276018</v>
      </c>
      <c r="C14" s="638">
        <v>4042207</v>
      </c>
      <c r="D14" s="638">
        <v>13318225</v>
      </c>
      <c r="E14" s="638">
        <v>13882979</v>
      </c>
      <c r="F14" s="638">
        <v>21194</v>
      </c>
      <c r="G14" s="638">
        <v>13904173</v>
      </c>
      <c r="H14" s="638">
        <v>-585948</v>
      </c>
      <c r="I14" s="638">
        <v>585948</v>
      </c>
      <c r="J14" s="638">
        <v>375000</v>
      </c>
      <c r="K14" s="638">
        <v>-120575</v>
      </c>
      <c r="L14" s="638">
        <v>70515</v>
      </c>
      <c r="M14" s="638">
        <v>191090</v>
      </c>
      <c r="N14" s="638">
        <v>-4337</v>
      </c>
      <c r="O14" s="638">
        <v>335860</v>
      </c>
      <c r="P14" s="639">
        <v>0</v>
      </c>
    </row>
    <row r="15" spans="1:16" ht="12">
      <c r="A15" s="640" t="s">
        <v>9</v>
      </c>
      <c r="B15" s="638">
        <v>6135591</v>
      </c>
      <c r="C15" s="638">
        <v>3314814</v>
      </c>
      <c r="D15" s="638">
        <v>9450405</v>
      </c>
      <c r="E15" s="638">
        <v>8363752</v>
      </c>
      <c r="F15" s="638">
        <v>65284</v>
      </c>
      <c r="G15" s="638">
        <v>8429036</v>
      </c>
      <c r="H15" s="638">
        <v>1021369</v>
      </c>
      <c r="I15" s="638">
        <v>-1021369</v>
      </c>
      <c r="J15" s="638">
        <v>-850000</v>
      </c>
      <c r="K15" s="638">
        <v>-211512</v>
      </c>
      <c r="L15" s="638">
        <v>44232</v>
      </c>
      <c r="M15" s="638">
        <v>255744</v>
      </c>
      <c r="N15" s="638">
        <v>0</v>
      </c>
      <c r="O15" s="638">
        <v>141800</v>
      </c>
      <c r="P15" s="639">
        <v>-101657</v>
      </c>
    </row>
    <row r="16" spans="1:16" ht="12">
      <c r="A16" s="640" t="s">
        <v>10</v>
      </c>
      <c r="B16" s="638">
        <v>7007186</v>
      </c>
      <c r="C16" s="638">
        <v>1612879</v>
      </c>
      <c r="D16" s="638">
        <v>8620065</v>
      </c>
      <c r="E16" s="638">
        <v>8502246</v>
      </c>
      <c r="F16" s="638">
        <v>306967</v>
      </c>
      <c r="G16" s="638">
        <v>8809213</v>
      </c>
      <c r="H16" s="638">
        <v>-189148</v>
      </c>
      <c r="I16" s="638">
        <v>189148</v>
      </c>
      <c r="J16" s="638">
        <v>490971</v>
      </c>
      <c r="K16" s="638">
        <v>-301823</v>
      </c>
      <c r="L16" s="638">
        <v>51094</v>
      </c>
      <c r="M16" s="638">
        <v>352917</v>
      </c>
      <c r="N16" s="638">
        <v>0</v>
      </c>
      <c r="O16" s="638">
        <v>0</v>
      </c>
      <c r="P16" s="639">
        <v>0</v>
      </c>
    </row>
    <row r="17" spans="1:16" ht="12">
      <c r="A17" s="640" t="s">
        <v>11</v>
      </c>
      <c r="B17" s="638">
        <v>8816180</v>
      </c>
      <c r="C17" s="638">
        <v>3482101</v>
      </c>
      <c r="D17" s="638">
        <v>12298281</v>
      </c>
      <c r="E17" s="638">
        <v>11736775</v>
      </c>
      <c r="F17" s="638">
        <v>304955</v>
      </c>
      <c r="G17" s="638">
        <v>12041730</v>
      </c>
      <c r="H17" s="638">
        <v>256551</v>
      </c>
      <c r="I17" s="638">
        <v>-256551</v>
      </c>
      <c r="J17" s="638">
        <v>0</v>
      </c>
      <c r="K17" s="638">
        <v>-588526</v>
      </c>
      <c r="L17" s="638">
        <v>415621</v>
      </c>
      <c r="M17" s="638">
        <v>1004147</v>
      </c>
      <c r="N17" s="638">
        <v>0</v>
      </c>
      <c r="O17" s="638">
        <v>331975</v>
      </c>
      <c r="P17" s="639">
        <v>0</v>
      </c>
    </row>
    <row r="18" spans="1:16" ht="12">
      <c r="A18" s="640" t="s">
        <v>12</v>
      </c>
      <c r="B18" s="638">
        <v>3147967</v>
      </c>
      <c r="C18" s="638">
        <v>1690184</v>
      </c>
      <c r="D18" s="638">
        <v>4838151</v>
      </c>
      <c r="E18" s="638">
        <v>4642956</v>
      </c>
      <c r="F18" s="638">
        <v>8239</v>
      </c>
      <c r="G18" s="638">
        <v>4651195</v>
      </c>
      <c r="H18" s="638">
        <v>186956</v>
      </c>
      <c r="I18" s="638">
        <v>-186956</v>
      </c>
      <c r="J18" s="638">
        <v>0</v>
      </c>
      <c r="K18" s="638">
        <v>-186956</v>
      </c>
      <c r="L18" s="638">
        <v>90589</v>
      </c>
      <c r="M18" s="638">
        <v>277545</v>
      </c>
      <c r="N18" s="638">
        <v>0</v>
      </c>
      <c r="O18" s="638">
        <v>0</v>
      </c>
      <c r="P18" s="639">
        <v>0</v>
      </c>
    </row>
    <row r="19" spans="1:16" ht="12">
      <c r="A19" s="640" t="s">
        <v>13</v>
      </c>
      <c r="B19" s="638">
        <v>9800566</v>
      </c>
      <c r="C19" s="638">
        <v>1428500</v>
      </c>
      <c r="D19" s="638">
        <v>11229066</v>
      </c>
      <c r="E19" s="638">
        <v>8548161</v>
      </c>
      <c r="F19" s="638">
        <v>2381737</v>
      </c>
      <c r="G19" s="638">
        <v>10929898</v>
      </c>
      <c r="H19" s="638">
        <v>299168</v>
      </c>
      <c r="I19" s="638">
        <v>-299168</v>
      </c>
      <c r="J19" s="638">
        <v>0</v>
      </c>
      <c r="K19" s="638">
        <v>-299168</v>
      </c>
      <c r="L19" s="638">
        <v>972974</v>
      </c>
      <c r="M19" s="638">
        <v>1272142</v>
      </c>
      <c r="N19" s="638">
        <v>0</v>
      </c>
      <c r="O19" s="638">
        <v>0</v>
      </c>
      <c r="P19" s="639">
        <v>0</v>
      </c>
    </row>
    <row r="20" spans="1:16" ht="12.75">
      <c r="A20" s="635" t="s">
        <v>14</v>
      </c>
      <c r="B20" s="638">
        <f aca="true" t="shared" si="0" ref="B20:P20">SUM(B13:B19)</f>
        <v>152740454</v>
      </c>
      <c r="C20" s="638">
        <f t="shared" si="0"/>
        <v>37144450</v>
      </c>
      <c r="D20" s="638">
        <f t="shared" si="0"/>
        <v>189884904</v>
      </c>
      <c r="E20" s="638">
        <f t="shared" si="0"/>
        <v>177556874</v>
      </c>
      <c r="F20" s="638">
        <f t="shared" si="0"/>
        <v>19427530</v>
      </c>
      <c r="G20" s="638">
        <f t="shared" si="0"/>
        <v>196984404</v>
      </c>
      <c r="H20" s="638">
        <f t="shared" si="0"/>
        <v>-7099500</v>
      </c>
      <c r="I20" s="638">
        <f t="shared" si="0"/>
        <v>7099500</v>
      </c>
      <c r="J20" s="638">
        <f t="shared" si="0"/>
        <v>3515971</v>
      </c>
      <c r="K20" s="638">
        <f t="shared" si="0"/>
        <v>-2024560</v>
      </c>
      <c r="L20" s="638">
        <f t="shared" si="0"/>
        <v>7294988</v>
      </c>
      <c r="M20" s="638">
        <f t="shared" si="0"/>
        <v>9319548</v>
      </c>
      <c r="N20" s="638">
        <f t="shared" si="0"/>
        <v>-7304337</v>
      </c>
      <c r="O20" s="638">
        <f t="shared" si="0"/>
        <v>12954965</v>
      </c>
      <c r="P20" s="639">
        <f t="shared" si="0"/>
        <v>-42539</v>
      </c>
    </row>
    <row r="21" spans="1:16" s="641" customFormat="1" ht="12.75">
      <c r="A21" s="635" t="s">
        <v>15</v>
      </c>
      <c r="B21" s="638"/>
      <c r="C21" s="638"/>
      <c r="D21" s="638"/>
      <c r="E21" s="638"/>
      <c r="F21" s="638"/>
      <c r="G21" s="638"/>
      <c r="H21" s="638"/>
      <c r="I21" s="638"/>
      <c r="J21" s="638">
        <v>0</v>
      </c>
      <c r="K21" s="638">
        <v>0</v>
      </c>
      <c r="L21" s="638">
        <v>0</v>
      </c>
      <c r="M21" s="638"/>
      <c r="N21" s="638"/>
      <c r="O21" s="638"/>
      <c r="P21" s="639"/>
    </row>
    <row r="22" spans="1:16" ht="12">
      <c r="A22" s="640" t="s">
        <v>16</v>
      </c>
      <c r="B22" s="638">
        <v>3487154</v>
      </c>
      <c r="C22" s="638">
        <v>3532381</v>
      </c>
      <c r="D22" s="638">
        <v>7019535</v>
      </c>
      <c r="E22" s="638">
        <v>6707494</v>
      </c>
      <c r="F22" s="638">
        <v>413579</v>
      </c>
      <c r="G22" s="638">
        <v>7121073</v>
      </c>
      <c r="H22" s="638">
        <v>-101538</v>
      </c>
      <c r="I22" s="638">
        <v>101538</v>
      </c>
      <c r="J22" s="638">
        <v>48135</v>
      </c>
      <c r="K22" s="638">
        <v>-73103</v>
      </c>
      <c r="L22" s="638">
        <v>517917</v>
      </c>
      <c r="M22" s="638">
        <v>591020</v>
      </c>
      <c r="N22" s="638">
        <v>-18442</v>
      </c>
      <c r="O22" s="638">
        <v>-13900</v>
      </c>
      <c r="P22" s="639">
        <v>158848</v>
      </c>
    </row>
    <row r="23" spans="1:16" ht="12">
      <c r="A23" s="640" t="s">
        <v>17</v>
      </c>
      <c r="B23" s="638">
        <v>1771139</v>
      </c>
      <c r="C23" s="638">
        <v>2409829</v>
      </c>
      <c r="D23" s="638">
        <v>4180968</v>
      </c>
      <c r="E23" s="638">
        <v>4071225</v>
      </c>
      <c r="F23" s="638">
        <v>129133</v>
      </c>
      <c r="G23" s="638">
        <v>4200358</v>
      </c>
      <c r="H23" s="638">
        <v>-19390</v>
      </c>
      <c r="I23" s="638">
        <v>19390</v>
      </c>
      <c r="J23" s="638">
        <v>51395</v>
      </c>
      <c r="K23" s="638">
        <v>-70956</v>
      </c>
      <c r="L23" s="638">
        <v>80951</v>
      </c>
      <c r="M23" s="638">
        <v>151907</v>
      </c>
      <c r="N23" s="638">
        <v>0</v>
      </c>
      <c r="O23" s="638">
        <v>-1184</v>
      </c>
      <c r="P23" s="639">
        <v>40135</v>
      </c>
    </row>
    <row r="24" spans="1:16" ht="12">
      <c r="A24" s="640" t="s">
        <v>18</v>
      </c>
      <c r="B24" s="638">
        <v>1616127</v>
      </c>
      <c r="C24" s="638">
        <v>3084618</v>
      </c>
      <c r="D24" s="638">
        <v>4700745</v>
      </c>
      <c r="E24" s="638">
        <v>4399586</v>
      </c>
      <c r="F24" s="638">
        <v>130582</v>
      </c>
      <c r="G24" s="638">
        <v>4530168</v>
      </c>
      <c r="H24" s="638">
        <v>170577</v>
      </c>
      <c r="I24" s="638">
        <v>-170577</v>
      </c>
      <c r="J24" s="638">
        <v>35490</v>
      </c>
      <c r="K24" s="638">
        <v>-222152</v>
      </c>
      <c r="L24" s="638">
        <v>98384</v>
      </c>
      <c r="M24" s="638">
        <v>320536</v>
      </c>
      <c r="N24" s="638">
        <v>0</v>
      </c>
      <c r="O24" s="638">
        <v>-2726</v>
      </c>
      <c r="P24" s="639">
        <v>18811</v>
      </c>
    </row>
    <row r="25" spans="1:16" ht="12">
      <c r="A25" s="640" t="s">
        <v>19</v>
      </c>
      <c r="B25" s="638">
        <v>3645523</v>
      </c>
      <c r="C25" s="638">
        <v>4279488</v>
      </c>
      <c r="D25" s="638">
        <v>7925011</v>
      </c>
      <c r="E25" s="638">
        <v>7481057</v>
      </c>
      <c r="F25" s="638">
        <v>479438</v>
      </c>
      <c r="G25" s="638">
        <v>7960495</v>
      </c>
      <c r="H25" s="638">
        <v>-35484</v>
      </c>
      <c r="I25" s="638">
        <v>35484</v>
      </c>
      <c r="J25" s="638">
        <v>169523</v>
      </c>
      <c r="K25" s="638">
        <v>-274593</v>
      </c>
      <c r="L25" s="638">
        <v>242342</v>
      </c>
      <c r="M25" s="638">
        <v>516935</v>
      </c>
      <c r="N25" s="638">
        <v>31880</v>
      </c>
      <c r="O25" s="638">
        <v>-1867</v>
      </c>
      <c r="P25" s="639">
        <v>110541</v>
      </c>
    </row>
    <row r="26" spans="1:16" ht="12">
      <c r="A26" s="640" t="s">
        <v>20</v>
      </c>
      <c r="B26" s="638">
        <v>5486818</v>
      </c>
      <c r="C26" s="638">
        <v>5217419</v>
      </c>
      <c r="D26" s="638">
        <v>10704237</v>
      </c>
      <c r="E26" s="638">
        <v>10322832</v>
      </c>
      <c r="F26" s="638">
        <v>496975</v>
      </c>
      <c r="G26" s="638">
        <v>10819807</v>
      </c>
      <c r="H26" s="638">
        <v>-115570</v>
      </c>
      <c r="I26" s="638">
        <v>115570</v>
      </c>
      <c r="J26" s="638">
        <v>99290</v>
      </c>
      <c r="K26" s="638">
        <v>-155087</v>
      </c>
      <c r="L26" s="638">
        <v>184737</v>
      </c>
      <c r="M26" s="638">
        <v>339824</v>
      </c>
      <c r="N26" s="638">
        <v>20277</v>
      </c>
      <c r="O26" s="638">
        <v>0</v>
      </c>
      <c r="P26" s="639">
        <v>151090</v>
      </c>
    </row>
    <row r="27" spans="1:16" ht="12">
      <c r="A27" s="640" t="s">
        <v>21</v>
      </c>
      <c r="B27" s="638">
        <v>2665529</v>
      </c>
      <c r="C27" s="638">
        <v>3657872</v>
      </c>
      <c r="D27" s="638">
        <v>6323401</v>
      </c>
      <c r="E27" s="638">
        <v>6258533</v>
      </c>
      <c r="F27" s="638">
        <v>340615</v>
      </c>
      <c r="G27" s="638">
        <v>6599148</v>
      </c>
      <c r="H27" s="638">
        <v>-275747</v>
      </c>
      <c r="I27" s="638">
        <v>275747</v>
      </c>
      <c r="J27" s="638">
        <v>273877</v>
      </c>
      <c r="K27" s="638">
        <v>-164550</v>
      </c>
      <c r="L27" s="638">
        <v>220220</v>
      </c>
      <c r="M27" s="638">
        <v>384770</v>
      </c>
      <c r="N27" s="638">
        <v>-1837</v>
      </c>
      <c r="O27" s="638">
        <v>0</v>
      </c>
      <c r="P27" s="639">
        <v>168257</v>
      </c>
    </row>
    <row r="28" spans="1:16" ht="12">
      <c r="A28" s="640" t="s">
        <v>22</v>
      </c>
      <c r="B28" s="638">
        <v>3075189</v>
      </c>
      <c r="C28" s="638">
        <v>3220734</v>
      </c>
      <c r="D28" s="638">
        <v>6295923</v>
      </c>
      <c r="E28" s="638">
        <v>5698229</v>
      </c>
      <c r="F28" s="638">
        <v>377607</v>
      </c>
      <c r="G28" s="638">
        <v>6075836</v>
      </c>
      <c r="H28" s="638">
        <v>220087</v>
      </c>
      <c r="I28" s="638">
        <v>-220087</v>
      </c>
      <c r="J28" s="638">
        <v>-24687</v>
      </c>
      <c r="K28" s="638">
        <v>-287613</v>
      </c>
      <c r="L28" s="638">
        <v>161601</v>
      </c>
      <c r="M28" s="638">
        <v>449214</v>
      </c>
      <c r="N28" s="638">
        <v>0</v>
      </c>
      <c r="O28" s="638">
        <v>0</v>
      </c>
      <c r="P28" s="639">
        <v>92213</v>
      </c>
    </row>
    <row r="29" spans="1:16" ht="12">
      <c r="A29" s="640" t="s">
        <v>23</v>
      </c>
      <c r="B29" s="638">
        <v>1988825</v>
      </c>
      <c r="C29" s="638">
        <v>2358718</v>
      </c>
      <c r="D29" s="638">
        <v>4347543</v>
      </c>
      <c r="E29" s="638">
        <v>4013459</v>
      </c>
      <c r="F29" s="638">
        <v>142902</v>
      </c>
      <c r="G29" s="638">
        <v>4156361</v>
      </c>
      <c r="H29" s="638">
        <v>191182</v>
      </c>
      <c r="I29" s="638">
        <v>-191182</v>
      </c>
      <c r="J29" s="638">
        <v>29635</v>
      </c>
      <c r="K29" s="638">
        <v>-303855</v>
      </c>
      <c r="L29" s="638">
        <v>286223</v>
      </c>
      <c r="M29" s="638">
        <v>590078</v>
      </c>
      <c r="N29" s="638">
        <v>0</v>
      </c>
      <c r="O29" s="638">
        <v>0</v>
      </c>
      <c r="P29" s="639">
        <v>83038</v>
      </c>
    </row>
    <row r="30" spans="1:16" ht="12">
      <c r="A30" s="640" t="s">
        <v>24</v>
      </c>
      <c r="B30" s="638">
        <v>2668000</v>
      </c>
      <c r="C30" s="638">
        <v>2631868</v>
      </c>
      <c r="D30" s="638">
        <v>5299282</v>
      </c>
      <c r="E30" s="638">
        <v>4970153</v>
      </c>
      <c r="F30" s="638">
        <v>322758</v>
      </c>
      <c r="G30" s="638">
        <v>5292911</v>
      </c>
      <c r="H30" s="638">
        <v>6371</v>
      </c>
      <c r="I30" s="638">
        <v>-6371</v>
      </c>
      <c r="J30" s="638">
        <v>234911</v>
      </c>
      <c r="K30" s="638">
        <v>-141282</v>
      </c>
      <c r="L30" s="638">
        <v>80112</v>
      </c>
      <c r="M30" s="638">
        <v>221394</v>
      </c>
      <c r="N30" s="638">
        <v>-115000</v>
      </c>
      <c r="O30" s="638">
        <v>15000</v>
      </c>
      <c r="P30" s="639">
        <v>0</v>
      </c>
    </row>
    <row r="31" spans="1:16" ht="12">
      <c r="A31" s="640" t="s">
        <v>25</v>
      </c>
      <c r="B31" s="638">
        <v>3480608</v>
      </c>
      <c r="C31" s="638">
        <v>4347385</v>
      </c>
      <c r="D31" s="638">
        <v>7827993</v>
      </c>
      <c r="E31" s="638">
        <v>7547307</v>
      </c>
      <c r="F31" s="638">
        <v>208266</v>
      </c>
      <c r="G31" s="638">
        <v>7755573</v>
      </c>
      <c r="H31" s="638">
        <v>72420</v>
      </c>
      <c r="I31" s="638">
        <v>-72420</v>
      </c>
      <c r="J31" s="638">
        <v>-34937</v>
      </c>
      <c r="K31" s="638">
        <v>-101825</v>
      </c>
      <c r="L31" s="638">
        <v>518900</v>
      </c>
      <c r="M31" s="638">
        <v>620725</v>
      </c>
      <c r="N31" s="638">
        <v>0</v>
      </c>
      <c r="O31" s="638">
        <v>2741</v>
      </c>
      <c r="P31" s="639">
        <v>61601</v>
      </c>
    </row>
    <row r="32" spans="1:16" ht="12">
      <c r="A32" s="640" t="s">
        <v>26</v>
      </c>
      <c r="B32" s="638">
        <v>1751429</v>
      </c>
      <c r="C32" s="638">
        <v>2978292</v>
      </c>
      <c r="D32" s="638">
        <v>4729721</v>
      </c>
      <c r="E32" s="638">
        <v>4388661</v>
      </c>
      <c r="F32" s="638">
        <v>175118</v>
      </c>
      <c r="G32" s="638">
        <v>4563779</v>
      </c>
      <c r="H32" s="638">
        <v>165942</v>
      </c>
      <c r="I32" s="638">
        <v>-165942</v>
      </c>
      <c r="J32" s="638">
        <v>-50021</v>
      </c>
      <c r="K32" s="638">
        <v>-197965</v>
      </c>
      <c r="L32" s="638">
        <v>78840</v>
      </c>
      <c r="M32" s="638">
        <v>276805</v>
      </c>
      <c r="N32" s="638">
        <v>-3000</v>
      </c>
      <c r="O32" s="638">
        <v>0</v>
      </c>
      <c r="P32" s="639">
        <v>85044</v>
      </c>
    </row>
    <row r="33" spans="1:16" ht="12">
      <c r="A33" s="640" t="s">
        <v>27</v>
      </c>
      <c r="B33" s="638">
        <v>3302963</v>
      </c>
      <c r="C33" s="638">
        <v>3779554</v>
      </c>
      <c r="D33" s="638">
        <v>7082517</v>
      </c>
      <c r="E33" s="638">
        <v>6742787</v>
      </c>
      <c r="F33" s="638">
        <v>221000</v>
      </c>
      <c r="G33" s="638">
        <v>6965000</v>
      </c>
      <c r="H33" s="638">
        <v>118078</v>
      </c>
      <c r="I33" s="638">
        <v>-118078</v>
      </c>
      <c r="J33" s="638">
        <v>39362</v>
      </c>
      <c r="K33" s="638">
        <v>-170135</v>
      </c>
      <c r="L33" s="638">
        <v>293631</v>
      </c>
      <c r="M33" s="638">
        <v>463766</v>
      </c>
      <c r="N33" s="638">
        <v>0</v>
      </c>
      <c r="O33" s="638">
        <v>0</v>
      </c>
      <c r="P33" s="639">
        <v>12695</v>
      </c>
    </row>
    <row r="34" spans="1:16" ht="12">
      <c r="A34" s="640" t="s">
        <v>28</v>
      </c>
      <c r="B34" s="638">
        <v>3249949</v>
      </c>
      <c r="C34" s="638">
        <v>3630825</v>
      </c>
      <c r="D34" s="638">
        <v>6880774</v>
      </c>
      <c r="E34" s="638">
        <v>6899040</v>
      </c>
      <c r="F34" s="638">
        <v>210775</v>
      </c>
      <c r="G34" s="638">
        <v>7109815</v>
      </c>
      <c r="H34" s="638">
        <v>-229041</v>
      </c>
      <c r="I34" s="638">
        <v>229041</v>
      </c>
      <c r="J34" s="638">
        <v>46451</v>
      </c>
      <c r="K34" s="638">
        <v>-98744</v>
      </c>
      <c r="L34" s="638">
        <v>163151</v>
      </c>
      <c r="M34" s="638">
        <v>261895</v>
      </c>
      <c r="N34" s="638">
        <v>0</v>
      </c>
      <c r="O34" s="638">
        <v>-15555</v>
      </c>
      <c r="P34" s="639">
        <v>296889</v>
      </c>
    </row>
    <row r="35" spans="1:16" ht="12">
      <c r="A35" s="640" t="s">
        <v>29</v>
      </c>
      <c r="B35" s="638">
        <v>3330776</v>
      </c>
      <c r="C35" s="638">
        <v>3246703</v>
      </c>
      <c r="D35" s="638">
        <v>6577479</v>
      </c>
      <c r="E35" s="638">
        <v>6609316</v>
      </c>
      <c r="F35" s="638">
        <v>455338</v>
      </c>
      <c r="G35" s="638">
        <v>7064654</v>
      </c>
      <c r="H35" s="638">
        <v>-487175</v>
      </c>
      <c r="I35" s="638">
        <v>487175</v>
      </c>
      <c r="J35" s="638">
        <v>691120</v>
      </c>
      <c r="K35" s="638">
        <v>-325367</v>
      </c>
      <c r="L35" s="638">
        <v>278002</v>
      </c>
      <c r="M35" s="638">
        <v>603369</v>
      </c>
      <c r="N35" s="638">
        <v>-14799</v>
      </c>
      <c r="O35" s="638">
        <v>0</v>
      </c>
      <c r="P35" s="639">
        <v>136221</v>
      </c>
    </row>
    <row r="36" spans="1:16" ht="12">
      <c r="A36" s="640" t="s">
        <v>30</v>
      </c>
      <c r="B36" s="638">
        <v>1777146</v>
      </c>
      <c r="C36" s="638">
        <v>2705667</v>
      </c>
      <c r="D36" s="638">
        <v>4482813</v>
      </c>
      <c r="E36" s="638">
        <v>4583221</v>
      </c>
      <c r="F36" s="638">
        <v>188455</v>
      </c>
      <c r="G36" s="638">
        <v>4771676</v>
      </c>
      <c r="H36" s="638">
        <v>-288863</v>
      </c>
      <c r="I36" s="638">
        <v>288863</v>
      </c>
      <c r="J36" s="638">
        <v>161081</v>
      </c>
      <c r="K36" s="638">
        <v>14721</v>
      </c>
      <c r="L36" s="638">
        <v>266422</v>
      </c>
      <c r="M36" s="638">
        <v>251701</v>
      </c>
      <c r="N36" s="638">
        <v>4530</v>
      </c>
      <c r="O36" s="638">
        <v>0</v>
      </c>
      <c r="P36" s="639">
        <v>108531</v>
      </c>
    </row>
    <row r="37" spans="1:16" ht="12">
      <c r="A37" s="640" t="s">
        <v>31</v>
      </c>
      <c r="B37" s="638">
        <v>3166064</v>
      </c>
      <c r="C37" s="638">
        <v>3868189</v>
      </c>
      <c r="D37" s="638">
        <v>7034253</v>
      </c>
      <c r="E37" s="638">
        <v>6787383</v>
      </c>
      <c r="F37" s="638">
        <v>341182</v>
      </c>
      <c r="G37" s="638">
        <v>7128565</v>
      </c>
      <c r="H37" s="638">
        <v>-94312</v>
      </c>
      <c r="I37" s="638">
        <v>94312</v>
      </c>
      <c r="J37" s="638">
        <v>231717</v>
      </c>
      <c r="K37" s="638">
        <v>-263609</v>
      </c>
      <c r="L37" s="638">
        <v>213638</v>
      </c>
      <c r="M37" s="638">
        <v>477247</v>
      </c>
      <c r="N37" s="638">
        <v>1092</v>
      </c>
      <c r="O37" s="638">
        <v>28429</v>
      </c>
      <c r="P37" s="639">
        <v>96683</v>
      </c>
    </row>
    <row r="38" spans="1:16" ht="12">
      <c r="A38" s="640" t="s">
        <v>32</v>
      </c>
      <c r="B38" s="638">
        <v>5651622</v>
      </c>
      <c r="C38" s="638">
        <v>3564022</v>
      </c>
      <c r="D38" s="638">
        <v>9215644</v>
      </c>
      <c r="E38" s="638">
        <v>8616225</v>
      </c>
      <c r="F38" s="638">
        <v>545684</v>
      </c>
      <c r="G38" s="638">
        <v>9161909</v>
      </c>
      <c r="H38" s="638">
        <v>53735</v>
      </c>
      <c r="I38" s="638">
        <v>-53735</v>
      </c>
      <c r="J38" s="638">
        <v>-36683</v>
      </c>
      <c r="K38" s="638">
        <v>-217653</v>
      </c>
      <c r="L38" s="638">
        <v>346403</v>
      </c>
      <c r="M38" s="638">
        <v>564056</v>
      </c>
      <c r="N38" s="638">
        <v>-8125</v>
      </c>
      <c r="O38" s="638">
        <v>-13250</v>
      </c>
      <c r="P38" s="639">
        <v>221976</v>
      </c>
    </row>
    <row r="39" spans="1:16" ht="12">
      <c r="A39" s="640" t="s">
        <v>33</v>
      </c>
      <c r="B39" s="638">
        <v>2164817</v>
      </c>
      <c r="C39" s="638">
        <v>3811023</v>
      </c>
      <c r="D39" s="638">
        <v>5975840</v>
      </c>
      <c r="E39" s="638">
        <v>5641109</v>
      </c>
      <c r="F39" s="638">
        <v>148648</v>
      </c>
      <c r="G39" s="638">
        <v>5789757</v>
      </c>
      <c r="H39" s="638">
        <v>186083</v>
      </c>
      <c r="I39" s="638">
        <v>-186083</v>
      </c>
      <c r="J39" s="638">
        <v>179585</v>
      </c>
      <c r="K39" s="638">
        <v>-378773</v>
      </c>
      <c r="L39" s="638">
        <v>131553</v>
      </c>
      <c r="M39" s="638">
        <v>510326</v>
      </c>
      <c r="N39" s="638">
        <v>-37242</v>
      </c>
      <c r="O39" s="638">
        <v>34362</v>
      </c>
      <c r="P39" s="639">
        <v>15985</v>
      </c>
    </row>
    <row r="40" spans="1:16" ht="12">
      <c r="A40" s="640" t="s">
        <v>34</v>
      </c>
      <c r="B40" s="638">
        <v>1810883</v>
      </c>
      <c r="C40" s="638">
        <v>4054726</v>
      </c>
      <c r="D40" s="638">
        <v>5865609</v>
      </c>
      <c r="E40" s="638">
        <v>5831441</v>
      </c>
      <c r="F40" s="638">
        <v>255412</v>
      </c>
      <c r="G40" s="638">
        <v>6086853</v>
      </c>
      <c r="H40" s="638">
        <v>-221244</v>
      </c>
      <c r="I40" s="638">
        <v>221244</v>
      </c>
      <c r="J40" s="638">
        <v>48043</v>
      </c>
      <c r="K40" s="638">
        <v>-32182</v>
      </c>
      <c r="L40" s="638">
        <v>154522</v>
      </c>
      <c r="M40" s="638">
        <v>186704</v>
      </c>
      <c r="N40" s="638">
        <v>-1503</v>
      </c>
      <c r="O40" s="638">
        <v>0</v>
      </c>
      <c r="P40" s="639">
        <v>206886</v>
      </c>
    </row>
    <row r="41" spans="1:16" ht="12">
      <c r="A41" s="640" t="s">
        <v>35</v>
      </c>
      <c r="B41" s="638">
        <v>17219953</v>
      </c>
      <c r="C41" s="638">
        <v>7324455</v>
      </c>
      <c r="D41" s="638">
        <v>24544408</v>
      </c>
      <c r="E41" s="638">
        <v>23241958</v>
      </c>
      <c r="F41" s="638">
        <v>2784992</v>
      </c>
      <c r="G41" s="638">
        <v>26026950</v>
      </c>
      <c r="H41" s="638">
        <v>-1482542</v>
      </c>
      <c r="I41" s="638">
        <v>1482542</v>
      </c>
      <c r="J41" s="638">
        <v>1218508</v>
      </c>
      <c r="K41" s="638">
        <v>-589379</v>
      </c>
      <c r="L41" s="638">
        <v>1222971</v>
      </c>
      <c r="M41" s="638">
        <v>1812350</v>
      </c>
      <c r="N41" s="638">
        <v>64800</v>
      </c>
      <c r="O41" s="638">
        <v>0</v>
      </c>
      <c r="P41" s="639">
        <v>788613</v>
      </c>
    </row>
    <row r="42" spans="1:16" ht="12">
      <c r="A42" s="640" t="s">
        <v>36</v>
      </c>
      <c r="B42" s="638">
        <v>3407204</v>
      </c>
      <c r="C42" s="638">
        <v>3648304</v>
      </c>
      <c r="D42" s="638">
        <v>7055508</v>
      </c>
      <c r="E42" s="638">
        <v>6489773</v>
      </c>
      <c r="F42" s="638">
        <v>302506</v>
      </c>
      <c r="G42" s="638">
        <v>6792279</v>
      </c>
      <c r="H42" s="638">
        <v>263229</v>
      </c>
      <c r="I42" s="638">
        <v>-263229</v>
      </c>
      <c r="J42" s="638">
        <v>33856</v>
      </c>
      <c r="K42" s="638">
        <v>-262450</v>
      </c>
      <c r="L42" s="638">
        <v>177036</v>
      </c>
      <c r="M42" s="638">
        <v>439486</v>
      </c>
      <c r="N42" s="638">
        <v>0</v>
      </c>
      <c r="O42" s="638">
        <v>0</v>
      </c>
      <c r="P42" s="639">
        <v>-34635</v>
      </c>
    </row>
    <row r="43" spans="1:16" ht="12">
      <c r="A43" s="640" t="s">
        <v>37</v>
      </c>
      <c r="B43" s="638">
        <v>3794006</v>
      </c>
      <c r="C43" s="638">
        <v>3963194</v>
      </c>
      <c r="D43" s="638">
        <v>7757200</v>
      </c>
      <c r="E43" s="638">
        <v>7655945</v>
      </c>
      <c r="F43" s="638">
        <v>201027</v>
      </c>
      <c r="G43" s="638">
        <v>7856972</v>
      </c>
      <c r="H43" s="638">
        <v>-99772</v>
      </c>
      <c r="I43" s="638">
        <v>99772</v>
      </c>
      <c r="J43" s="638">
        <v>119949</v>
      </c>
      <c r="K43" s="638">
        <v>-49086</v>
      </c>
      <c r="L43" s="638">
        <v>369908</v>
      </c>
      <c r="M43" s="638">
        <v>418994</v>
      </c>
      <c r="N43" s="638">
        <v>-7715</v>
      </c>
      <c r="O43" s="638">
        <v>-6500</v>
      </c>
      <c r="P43" s="639">
        <v>43124</v>
      </c>
    </row>
    <row r="44" spans="1:16" ht="12">
      <c r="A44" s="640" t="s">
        <v>38</v>
      </c>
      <c r="B44" s="638">
        <v>4583630</v>
      </c>
      <c r="C44" s="638">
        <v>5484580</v>
      </c>
      <c r="D44" s="638">
        <v>10068210</v>
      </c>
      <c r="E44" s="638">
        <v>9288715</v>
      </c>
      <c r="F44" s="638">
        <v>850501</v>
      </c>
      <c r="G44" s="638">
        <v>10139216</v>
      </c>
      <c r="H44" s="638">
        <v>-71006</v>
      </c>
      <c r="I44" s="638">
        <v>71006</v>
      </c>
      <c r="J44" s="638">
        <v>289344</v>
      </c>
      <c r="K44" s="638">
        <v>-305395</v>
      </c>
      <c r="L44" s="638">
        <v>380587</v>
      </c>
      <c r="M44" s="638">
        <v>685982</v>
      </c>
      <c r="N44" s="638">
        <v>-5914</v>
      </c>
      <c r="O44" s="638">
        <v>17580</v>
      </c>
      <c r="P44" s="639">
        <v>76000</v>
      </c>
    </row>
    <row r="45" spans="1:16" ht="12">
      <c r="A45" s="640" t="s">
        <v>39</v>
      </c>
      <c r="B45" s="638">
        <v>2851537</v>
      </c>
      <c r="C45" s="638">
        <v>2330147</v>
      </c>
      <c r="D45" s="638">
        <v>5181684</v>
      </c>
      <c r="E45" s="638">
        <v>4652349</v>
      </c>
      <c r="F45" s="638">
        <v>313311</v>
      </c>
      <c r="G45" s="638">
        <v>4965660</v>
      </c>
      <c r="H45" s="638">
        <v>216024</v>
      </c>
      <c r="I45" s="638">
        <v>-216024</v>
      </c>
      <c r="J45" s="638">
        <v>25855</v>
      </c>
      <c r="K45" s="638">
        <v>-184372</v>
      </c>
      <c r="L45" s="638">
        <v>129885</v>
      </c>
      <c r="M45" s="638">
        <v>314257</v>
      </c>
      <c r="N45" s="638">
        <v>-2436</v>
      </c>
      <c r="O45" s="638">
        <v>-2566</v>
      </c>
      <c r="P45" s="639">
        <v>-52505</v>
      </c>
    </row>
    <row r="46" spans="1:16" ht="12">
      <c r="A46" s="640" t="s">
        <v>40</v>
      </c>
      <c r="B46" s="638">
        <v>7931268</v>
      </c>
      <c r="C46" s="638">
        <v>4870603</v>
      </c>
      <c r="D46" s="638">
        <v>12801871</v>
      </c>
      <c r="E46" s="638">
        <v>12306237</v>
      </c>
      <c r="F46" s="638">
        <v>643881</v>
      </c>
      <c r="G46" s="638">
        <v>12950118</v>
      </c>
      <c r="H46" s="638">
        <v>-148247</v>
      </c>
      <c r="I46" s="638">
        <v>148247</v>
      </c>
      <c r="J46" s="638">
        <v>243226</v>
      </c>
      <c r="K46" s="638">
        <v>-372152</v>
      </c>
      <c r="L46" s="638">
        <v>198330</v>
      </c>
      <c r="M46" s="638">
        <v>570482</v>
      </c>
      <c r="N46" s="638">
        <v>112803</v>
      </c>
      <c r="O46" s="638">
        <v>38470</v>
      </c>
      <c r="P46" s="639">
        <v>125900</v>
      </c>
    </row>
    <row r="47" spans="1:16" ht="12">
      <c r="A47" s="640" t="s">
        <v>41</v>
      </c>
      <c r="B47" s="638">
        <v>1334602</v>
      </c>
      <c r="C47" s="638">
        <v>1015131</v>
      </c>
      <c r="D47" s="638">
        <v>2349733</v>
      </c>
      <c r="E47" s="638">
        <v>2358792</v>
      </c>
      <c r="F47" s="638">
        <v>123236</v>
      </c>
      <c r="G47" s="638">
        <v>2482028</v>
      </c>
      <c r="H47" s="638">
        <v>-132295</v>
      </c>
      <c r="I47" s="638">
        <v>132295</v>
      </c>
      <c r="J47" s="638">
        <v>126839</v>
      </c>
      <c r="K47" s="638">
        <v>-71587</v>
      </c>
      <c r="L47" s="638">
        <v>61596</v>
      </c>
      <c r="M47" s="638">
        <v>133183</v>
      </c>
      <c r="N47" s="638">
        <v>0</v>
      </c>
      <c r="O47" s="638">
        <v>0</v>
      </c>
      <c r="P47" s="639">
        <v>77043</v>
      </c>
    </row>
    <row r="48" spans="1:16" ht="12.75">
      <c r="A48" s="635" t="s">
        <v>42</v>
      </c>
      <c r="B48" s="638">
        <f aca="true" t="shared" si="1" ref="B48:P48">SUM(B22:B47)</f>
        <v>97212761</v>
      </c>
      <c r="C48" s="638">
        <f t="shared" si="1"/>
        <v>95015727</v>
      </c>
      <c r="D48" s="638">
        <f t="shared" si="1"/>
        <v>192227902</v>
      </c>
      <c r="E48" s="638">
        <f t="shared" si="1"/>
        <v>183562827</v>
      </c>
      <c r="F48" s="638">
        <f t="shared" si="1"/>
        <v>10802921</v>
      </c>
      <c r="G48" s="638">
        <f t="shared" si="1"/>
        <v>194366961</v>
      </c>
      <c r="H48" s="638">
        <f t="shared" si="1"/>
        <v>-2138498</v>
      </c>
      <c r="I48" s="638">
        <f t="shared" si="1"/>
        <v>2138498</v>
      </c>
      <c r="J48" s="638">
        <f t="shared" si="1"/>
        <v>4250864</v>
      </c>
      <c r="K48" s="638">
        <f t="shared" si="1"/>
        <v>-5299144</v>
      </c>
      <c r="L48" s="638">
        <f t="shared" si="1"/>
        <v>6857862</v>
      </c>
      <c r="M48" s="638">
        <f t="shared" si="1"/>
        <v>12157006</v>
      </c>
      <c r="N48" s="638">
        <f t="shared" si="1"/>
        <v>19369</v>
      </c>
      <c r="O48" s="638">
        <f t="shared" si="1"/>
        <v>79034</v>
      </c>
      <c r="P48" s="639">
        <f t="shared" si="1"/>
        <v>3088984</v>
      </c>
    </row>
    <row r="49" spans="1:16" ht="12.75">
      <c r="A49" s="642" t="s">
        <v>43</v>
      </c>
      <c r="B49" s="643">
        <f aca="true" t="shared" si="2" ref="B49:P49">B48+B20</f>
        <v>249953215</v>
      </c>
      <c r="C49" s="643">
        <f t="shared" si="2"/>
        <v>132160177</v>
      </c>
      <c r="D49" s="643">
        <f t="shared" si="2"/>
        <v>382112806</v>
      </c>
      <c r="E49" s="643">
        <f t="shared" si="2"/>
        <v>361119701</v>
      </c>
      <c r="F49" s="643">
        <f t="shared" si="2"/>
        <v>30230451</v>
      </c>
      <c r="G49" s="643">
        <f t="shared" si="2"/>
        <v>391351365</v>
      </c>
      <c r="H49" s="643">
        <f t="shared" si="2"/>
        <v>-9237998</v>
      </c>
      <c r="I49" s="643">
        <f t="shared" si="2"/>
        <v>9237998</v>
      </c>
      <c r="J49" s="643">
        <f t="shared" si="2"/>
        <v>7766835</v>
      </c>
      <c r="K49" s="643">
        <f t="shared" si="2"/>
        <v>-7323704</v>
      </c>
      <c r="L49" s="643">
        <f t="shared" si="2"/>
        <v>14152850</v>
      </c>
      <c r="M49" s="643">
        <f t="shared" si="2"/>
        <v>21476554</v>
      </c>
      <c r="N49" s="643">
        <f t="shared" si="2"/>
        <v>-7284968</v>
      </c>
      <c r="O49" s="643">
        <f t="shared" si="2"/>
        <v>13033999</v>
      </c>
      <c r="P49" s="644">
        <f t="shared" si="2"/>
        <v>3046445</v>
      </c>
    </row>
    <row r="50" spans="1:7" s="646" customFormat="1" ht="12">
      <c r="A50" s="645" t="s">
        <v>44</v>
      </c>
      <c r="G50" s="646" t="s">
        <v>309</v>
      </c>
    </row>
    <row r="51" s="646" customFormat="1" ht="12">
      <c r="A51" s="645" t="s">
        <v>45</v>
      </c>
    </row>
    <row r="52" spans="1:11" s="646" customFormat="1" ht="12">
      <c r="A52" s="647"/>
      <c r="B52" s="595"/>
      <c r="C52" s="595"/>
      <c r="D52" s="595"/>
      <c r="E52" s="595"/>
      <c r="F52" s="595"/>
      <c r="G52" s="595"/>
      <c r="H52" s="595"/>
      <c r="I52" s="595"/>
      <c r="J52" s="595"/>
      <c r="K52" s="595"/>
    </row>
    <row r="53" s="646" customFormat="1" ht="12">
      <c r="A53" s="603"/>
    </row>
    <row r="54" spans="1:12" s="646" customFormat="1" ht="12">
      <c r="A54" s="648"/>
      <c r="B54" s="648"/>
      <c r="C54" s="543"/>
      <c r="D54" s="543"/>
      <c r="E54" s="543"/>
      <c r="F54" s="543"/>
      <c r="H54" s="649"/>
      <c r="I54" s="649"/>
      <c r="J54" s="649"/>
      <c r="K54" s="649"/>
      <c r="L54" s="649"/>
    </row>
    <row r="55" s="651" customFormat="1" ht="11.25">
      <c r="A55" s="650"/>
    </row>
    <row r="58" spans="1:11" s="543" customFormat="1" ht="11.25" customHeight="1">
      <c r="A58" s="652" t="s">
        <v>46</v>
      </c>
      <c r="H58" s="543" t="s">
        <v>47</v>
      </c>
      <c r="K58" s="543" t="s">
        <v>48</v>
      </c>
    </row>
    <row r="59" ht="11.25">
      <c r="A59" s="547"/>
    </row>
    <row r="67" s="509" customFormat="1" ht="11.25">
      <c r="A67" s="553" t="s">
        <v>654</v>
      </c>
    </row>
    <row r="68" ht="11.25">
      <c r="A68" s="499" t="s">
        <v>655</v>
      </c>
    </row>
  </sheetData>
  <printOptions/>
  <pageMargins left="0.25" right="0.25" top="0.6" bottom="0.86" header="0.22" footer="0"/>
  <pageSetup firstPageNumber="31" useFirstPageNumber="1" horizontalDpi="600" verticalDpi="600" orientation="landscape" paperSize="9" r:id="rId1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1"/>
  <dimension ref="A1:P69"/>
  <sheetViews>
    <sheetView showGridLines="0" showZeros="0" workbookViewId="0" topLeftCell="D27">
      <selection activeCell="A15" sqref="A15"/>
    </sheetView>
  </sheetViews>
  <sheetFormatPr defaultColWidth="9.140625" defaultRowHeight="12.75"/>
  <cols>
    <col min="1" max="1" width="20.421875" style="500" customWidth="1"/>
    <col min="2" max="2" width="9.7109375" style="458" customWidth="1"/>
    <col min="3" max="3" width="9.57421875" style="458" customWidth="1"/>
    <col min="4" max="4" width="14.8515625" style="458" customWidth="1"/>
    <col min="5" max="9" width="10.57421875" style="458" customWidth="1"/>
    <col min="10" max="10" width="11.8515625" style="458" customWidth="1"/>
    <col min="11" max="12" width="11.00390625" style="458" customWidth="1"/>
    <col min="13" max="16" width="7.140625" style="458" customWidth="1"/>
    <col min="17" max="16384" width="8.00390625" style="458" customWidth="1"/>
  </cols>
  <sheetData>
    <row r="1" spans="1:12" s="509" customFormat="1" ht="12.75">
      <c r="A1" s="456" t="s">
        <v>49</v>
      </c>
      <c r="B1" s="456"/>
      <c r="C1" s="456"/>
      <c r="D1" s="456"/>
      <c r="E1" s="456"/>
      <c r="F1" s="456"/>
      <c r="G1" s="456"/>
      <c r="H1" s="456"/>
      <c r="I1" s="456"/>
      <c r="J1" s="456"/>
      <c r="K1" s="550"/>
      <c r="L1" s="606" t="s">
        <v>50</v>
      </c>
    </row>
    <row r="2" spans="1:12" s="509" customFormat="1" ht="12.75">
      <c r="A2" s="456"/>
      <c r="B2" s="456"/>
      <c r="C2" s="456"/>
      <c r="D2" s="456"/>
      <c r="E2" s="456"/>
      <c r="F2" s="456"/>
      <c r="G2" s="456"/>
      <c r="H2" s="456"/>
      <c r="I2" s="456"/>
      <c r="J2" s="456"/>
      <c r="K2" s="550"/>
      <c r="L2" s="606"/>
    </row>
    <row r="3" spans="1:12" s="459" customFormat="1" ht="12.75">
      <c r="A3" s="456"/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606"/>
    </row>
    <row r="4" spans="1:16" s="611" customFormat="1" ht="15.75">
      <c r="A4" s="460" t="s">
        <v>51</v>
      </c>
      <c r="B4" s="460"/>
      <c r="C4" s="460"/>
      <c r="D4" s="505"/>
      <c r="E4" s="460"/>
      <c r="F4" s="460"/>
      <c r="G4" s="460"/>
      <c r="H4" s="460"/>
      <c r="I4" s="460"/>
      <c r="J4" s="460"/>
      <c r="K4" s="460"/>
      <c r="L4" s="460"/>
      <c r="M4" s="653"/>
      <c r="N4" s="653"/>
      <c r="O4" s="653"/>
      <c r="P4" s="653"/>
    </row>
    <row r="5" spans="1:16" s="611" customFormat="1" ht="15.75">
      <c r="A5" s="460" t="s">
        <v>699</v>
      </c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653"/>
      <c r="N5" s="653"/>
      <c r="O5" s="653"/>
      <c r="P5" s="653"/>
    </row>
    <row r="6" spans="1:16" ht="12.75">
      <c r="A6" s="654"/>
      <c r="B6" s="508"/>
      <c r="C6" s="508"/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</row>
    <row r="7" spans="1:16" s="509" customFormat="1" ht="11.25">
      <c r="A7" s="612"/>
      <c r="B7" s="550"/>
      <c r="C7" s="550"/>
      <c r="D7" s="550"/>
      <c r="E7" s="550"/>
      <c r="F7" s="550"/>
      <c r="G7" s="550"/>
      <c r="H7" s="550"/>
      <c r="I7" s="550"/>
      <c r="J7" s="550"/>
      <c r="K7" s="550" t="s">
        <v>52</v>
      </c>
      <c r="L7" s="550"/>
      <c r="N7" s="550"/>
      <c r="O7" s="550"/>
      <c r="P7" s="550"/>
    </row>
    <row r="8" spans="1:16" s="459" customFormat="1" ht="12.75">
      <c r="A8" s="655"/>
      <c r="B8" s="656"/>
      <c r="C8" s="656"/>
      <c r="D8" s="657"/>
      <c r="E8" s="657"/>
      <c r="F8" s="658" t="s">
        <v>53</v>
      </c>
      <c r="G8" s="619"/>
      <c r="H8" s="619"/>
      <c r="I8" s="659"/>
      <c r="J8" s="619"/>
      <c r="K8" s="619"/>
      <c r="L8" s="660"/>
      <c r="N8" s="456"/>
      <c r="O8" s="456"/>
      <c r="P8" s="456"/>
    </row>
    <row r="9" spans="1:12" s="547" customFormat="1" ht="11.25">
      <c r="A9" s="661"/>
      <c r="B9" s="662"/>
      <c r="C9" s="662"/>
      <c r="D9" s="622"/>
      <c r="E9" s="622"/>
      <c r="F9" s="622"/>
      <c r="G9" s="622"/>
      <c r="H9" s="663" t="s">
        <v>772</v>
      </c>
      <c r="I9" s="664"/>
      <c r="J9" s="622"/>
      <c r="K9" s="622"/>
      <c r="L9" s="665"/>
    </row>
    <row r="10" spans="1:16" ht="45">
      <c r="A10" s="661" t="s">
        <v>54</v>
      </c>
      <c r="B10" s="666" t="s">
        <v>55</v>
      </c>
      <c r="C10" s="666" t="s">
        <v>56</v>
      </c>
      <c r="D10" s="666" t="s">
        <v>57</v>
      </c>
      <c r="E10" s="666" t="s">
        <v>58</v>
      </c>
      <c r="F10" s="666" t="s">
        <v>164</v>
      </c>
      <c r="G10" s="666" t="s">
        <v>59</v>
      </c>
      <c r="H10" s="666" t="s">
        <v>2</v>
      </c>
      <c r="I10" s="666" t="s">
        <v>3</v>
      </c>
      <c r="J10" s="666" t="s">
        <v>173</v>
      </c>
      <c r="K10" s="666" t="s">
        <v>175</v>
      </c>
      <c r="L10" s="667" t="s">
        <v>60</v>
      </c>
      <c r="M10" s="571"/>
      <c r="N10" s="508"/>
      <c r="O10" s="508"/>
      <c r="P10" s="508"/>
    </row>
    <row r="11" spans="1:16" s="509" customFormat="1" ht="11.25">
      <c r="A11" s="465">
        <v>1</v>
      </c>
      <c r="B11" s="668">
        <v>2</v>
      </c>
      <c r="C11" s="668">
        <v>3</v>
      </c>
      <c r="D11" s="668">
        <v>4</v>
      </c>
      <c r="E11" s="668">
        <v>5</v>
      </c>
      <c r="F11" s="668">
        <v>6</v>
      </c>
      <c r="G11" s="668">
        <v>7</v>
      </c>
      <c r="H11" s="668">
        <v>8</v>
      </c>
      <c r="I11" s="668">
        <v>9</v>
      </c>
      <c r="J11" s="668">
        <v>10</v>
      </c>
      <c r="K11" s="668">
        <v>11</v>
      </c>
      <c r="L11" s="669">
        <v>12</v>
      </c>
      <c r="M11" s="553"/>
      <c r="N11" s="550"/>
      <c r="O11" s="550"/>
      <c r="P11" s="550"/>
    </row>
    <row r="12" spans="1:13" ht="12">
      <c r="A12" s="670" t="s">
        <v>7</v>
      </c>
      <c r="B12" s="638">
        <v>17362889</v>
      </c>
      <c r="C12" s="638">
        <v>12003838</v>
      </c>
      <c r="D12" s="638">
        <v>5359051</v>
      </c>
      <c r="E12" s="638">
        <v>-5359051</v>
      </c>
      <c r="F12" s="638">
        <v>0</v>
      </c>
      <c r="G12" s="638">
        <v>-5359051</v>
      </c>
      <c r="H12" s="638">
        <v>5081264</v>
      </c>
      <c r="I12" s="638">
        <v>10440315</v>
      </c>
      <c r="J12" s="638">
        <v>0</v>
      </c>
      <c r="K12" s="638">
        <v>0</v>
      </c>
      <c r="L12" s="639">
        <v>0</v>
      </c>
      <c r="M12" s="671"/>
    </row>
    <row r="13" spans="1:13" ht="12">
      <c r="A13" s="670" t="s">
        <v>8</v>
      </c>
      <c r="B13" s="638">
        <v>1337944</v>
      </c>
      <c r="C13" s="638">
        <v>1239139</v>
      </c>
      <c r="D13" s="638">
        <v>98805</v>
      </c>
      <c r="E13" s="638">
        <v>-98805</v>
      </c>
      <c r="F13" s="638">
        <v>0</v>
      </c>
      <c r="G13" s="638">
        <v>-98805</v>
      </c>
      <c r="H13" s="638">
        <v>74146</v>
      </c>
      <c r="I13" s="638">
        <v>172951</v>
      </c>
      <c r="J13" s="638">
        <v>0</v>
      </c>
      <c r="K13" s="638">
        <v>0</v>
      </c>
      <c r="L13" s="639">
        <v>0</v>
      </c>
      <c r="M13" s="671"/>
    </row>
    <row r="14" spans="1:13" ht="12">
      <c r="A14" s="670" t="s">
        <v>9</v>
      </c>
      <c r="B14" s="638">
        <v>759001</v>
      </c>
      <c r="C14" s="638">
        <v>747463</v>
      </c>
      <c r="D14" s="638">
        <v>11538</v>
      </c>
      <c r="E14" s="638">
        <v>-11538</v>
      </c>
      <c r="F14" s="638">
        <v>0</v>
      </c>
      <c r="G14" s="638">
        <v>-11538</v>
      </c>
      <c r="H14" s="638">
        <v>103943</v>
      </c>
      <c r="I14" s="638">
        <v>115481</v>
      </c>
      <c r="J14" s="638">
        <v>0</v>
      </c>
      <c r="K14" s="638">
        <v>0</v>
      </c>
      <c r="L14" s="639">
        <v>0</v>
      </c>
      <c r="M14" s="671">
        <v>0</v>
      </c>
    </row>
    <row r="15" spans="1:13" ht="12">
      <c r="A15" s="670" t="s">
        <v>10</v>
      </c>
      <c r="B15" s="638">
        <v>1989705</v>
      </c>
      <c r="C15" s="638">
        <v>1922513</v>
      </c>
      <c r="D15" s="638">
        <v>67192</v>
      </c>
      <c r="E15" s="638">
        <v>-67192</v>
      </c>
      <c r="F15" s="638">
        <v>0</v>
      </c>
      <c r="G15" s="638">
        <v>-67192</v>
      </c>
      <c r="H15" s="638">
        <v>148982</v>
      </c>
      <c r="I15" s="638">
        <v>216174</v>
      </c>
      <c r="J15" s="638">
        <v>0</v>
      </c>
      <c r="K15" s="638">
        <v>0</v>
      </c>
      <c r="L15" s="639">
        <v>0</v>
      </c>
      <c r="M15" s="671">
        <v>0</v>
      </c>
    </row>
    <row r="16" spans="1:13" ht="12">
      <c r="A16" s="670" t="s">
        <v>11</v>
      </c>
      <c r="B16" s="638">
        <v>1417758</v>
      </c>
      <c r="C16" s="638">
        <v>1040648</v>
      </c>
      <c r="D16" s="638">
        <v>377110</v>
      </c>
      <c r="E16" s="638">
        <v>-377110</v>
      </c>
      <c r="F16" s="638">
        <v>0</v>
      </c>
      <c r="G16" s="638">
        <v>-377110</v>
      </c>
      <c r="H16" s="638">
        <v>311894</v>
      </c>
      <c r="I16" s="638">
        <v>689004</v>
      </c>
      <c r="J16" s="638">
        <v>0</v>
      </c>
      <c r="K16" s="638">
        <v>0</v>
      </c>
      <c r="L16" s="639">
        <v>0</v>
      </c>
      <c r="M16" s="671">
        <v>0</v>
      </c>
    </row>
    <row r="17" spans="1:13" ht="12">
      <c r="A17" s="670" t="s">
        <v>12</v>
      </c>
      <c r="B17" s="638">
        <v>296208</v>
      </c>
      <c r="C17" s="638">
        <v>287827</v>
      </c>
      <c r="D17" s="638">
        <v>8381</v>
      </c>
      <c r="E17" s="638">
        <v>-8381</v>
      </c>
      <c r="F17" s="638">
        <v>0</v>
      </c>
      <c r="G17" s="638">
        <v>-8381</v>
      </c>
      <c r="H17" s="638">
        <v>56674</v>
      </c>
      <c r="I17" s="638">
        <v>65055</v>
      </c>
      <c r="J17" s="638">
        <v>0</v>
      </c>
      <c r="K17" s="638">
        <v>0</v>
      </c>
      <c r="L17" s="639">
        <v>0</v>
      </c>
      <c r="M17" s="671">
        <v>0</v>
      </c>
    </row>
    <row r="18" spans="1:13" ht="12">
      <c r="A18" s="670" t="s">
        <v>13</v>
      </c>
      <c r="B18" s="638">
        <v>7632868</v>
      </c>
      <c r="C18" s="638">
        <v>8015786</v>
      </c>
      <c r="D18" s="638">
        <v>-382918</v>
      </c>
      <c r="E18" s="638">
        <v>382918</v>
      </c>
      <c r="F18" s="638">
        <v>0</v>
      </c>
      <c r="G18" s="638">
        <v>382918</v>
      </c>
      <c r="H18" s="638">
        <v>1678980</v>
      </c>
      <c r="I18" s="638">
        <v>1296062</v>
      </c>
      <c r="J18" s="638">
        <v>0</v>
      </c>
      <c r="K18" s="638">
        <v>0</v>
      </c>
      <c r="L18" s="639">
        <v>0</v>
      </c>
      <c r="M18" s="651">
        <v>0</v>
      </c>
    </row>
    <row r="19" spans="1:16" s="674" customFormat="1" ht="12.75">
      <c r="A19" s="672" t="s">
        <v>14</v>
      </c>
      <c r="B19" s="638">
        <f aca="true" t="shared" si="0" ref="B19:L19">SUM(B12:B18)</f>
        <v>30796373</v>
      </c>
      <c r="C19" s="638">
        <f t="shared" si="0"/>
        <v>25257214</v>
      </c>
      <c r="D19" s="638">
        <f t="shared" si="0"/>
        <v>5539159</v>
      </c>
      <c r="E19" s="638">
        <f t="shared" si="0"/>
        <v>-5539159</v>
      </c>
      <c r="F19" s="638">
        <f t="shared" si="0"/>
        <v>0</v>
      </c>
      <c r="G19" s="638">
        <f t="shared" si="0"/>
        <v>-5539159</v>
      </c>
      <c r="H19" s="638">
        <f t="shared" si="0"/>
        <v>7455883</v>
      </c>
      <c r="I19" s="638">
        <f t="shared" si="0"/>
        <v>12995042</v>
      </c>
      <c r="J19" s="638">
        <f t="shared" si="0"/>
        <v>0</v>
      </c>
      <c r="K19" s="638">
        <f t="shared" si="0"/>
        <v>0</v>
      </c>
      <c r="L19" s="639">
        <f t="shared" si="0"/>
        <v>0</v>
      </c>
      <c r="M19" s="673">
        <v>0</v>
      </c>
      <c r="N19" s="673"/>
      <c r="O19" s="673"/>
      <c r="P19" s="673"/>
    </row>
    <row r="20" spans="1:13" ht="12">
      <c r="A20" s="670" t="s">
        <v>16</v>
      </c>
      <c r="B20" s="638">
        <v>411914</v>
      </c>
      <c r="C20" s="638">
        <v>386939</v>
      </c>
      <c r="D20" s="638">
        <v>24975</v>
      </c>
      <c r="E20" s="638">
        <v>-24975</v>
      </c>
      <c r="F20" s="638">
        <v>1850</v>
      </c>
      <c r="G20" s="638">
        <v>-26825</v>
      </c>
      <c r="H20" s="638">
        <v>114183</v>
      </c>
      <c r="I20" s="638">
        <v>141008</v>
      </c>
      <c r="J20" s="638">
        <v>0</v>
      </c>
      <c r="K20" s="638">
        <v>0</v>
      </c>
      <c r="L20" s="639">
        <v>0</v>
      </c>
      <c r="M20" s="671">
        <v>0</v>
      </c>
    </row>
    <row r="21" spans="1:13" ht="12">
      <c r="A21" s="670" t="s">
        <v>17</v>
      </c>
      <c r="B21" s="638">
        <v>487586</v>
      </c>
      <c r="C21" s="638">
        <v>499880</v>
      </c>
      <c r="D21" s="638">
        <v>-12294</v>
      </c>
      <c r="E21" s="638">
        <v>12294</v>
      </c>
      <c r="F21" s="638">
        <v>-5787</v>
      </c>
      <c r="G21" s="638">
        <v>18081</v>
      </c>
      <c r="H21" s="638">
        <v>150094</v>
      </c>
      <c r="I21" s="638">
        <v>132013</v>
      </c>
      <c r="J21" s="638">
        <v>0</v>
      </c>
      <c r="K21" s="638">
        <v>0</v>
      </c>
      <c r="L21" s="639">
        <v>0</v>
      </c>
      <c r="M21" s="671"/>
    </row>
    <row r="22" spans="1:13" ht="12">
      <c r="A22" s="670" t="s">
        <v>18</v>
      </c>
      <c r="B22" s="638">
        <v>448182</v>
      </c>
      <c r="C22" s="638">
        <v>431787</v>
      </c>
      <c r="D22" s="638">
        <v>16395</v>
      </c>
      <c r="E22" s="638">
        <v>-16395</v>
      </c>
      <c r="F22" s="638">
        <v>-3550</v>
      </c>
      <c r="G22" s="638">
        <v>-12845</v>
      </c>
      <c r="H22" s="638">
        <v>71508</v>
      </c>
      <c r="I22" s="638">
        <v>84353</v>
      </c>
      <c r="J22" s="638">
        <v>0</v>
      </c>
      <c r="K22" s="638">
        <v>0</v>
      </c>
      <c r="L22" s="639">
        <v>0</v>
      </c>
      <c r="M22" s="671"/>
    </row>
    <row r="23" spans="1:13" ht="12">
      <c r="A23" s="670" t="s">
        <v>19</v>
      </c>
      <c r="B23" s="638">
        <v>742715</v>
      </c>
      <c r="C23" s="638">
        <v>583020</v>
      </c>
      <c r="D23" s="638">
        <v>159695</v>
      </c>
      <c r="E23" s="638">
        <v>-159695</v>
      </c>
      <c r="F23" s="638">
        <v>0</v>
      </c>
      <c r="G23" s="638">
        <v>-159695</v>
      </c>
      <c r="H23" s="638">
        <v>99663</v>
      </c>
      <c r="I23" s="638">
        <v>259358</v>
      </c>
      <c r="J23" s="638">
        <v>0</v>
      </c>
      <c r="K23" s="638">
        <v>0</v>
      </c>
      <c r="L23" s="639">
        <v>0</v>
      </c>
      <c r="M23" s="671"/>
    </row>
    <row r="24" spans="1:13" ht="12">
      <c r="A24" s="670" t="s">
        <v>20</v>
      </c>
      <c r="B24" s="638">
        <v>932057</v>
      </c>
      <c r="C24" s="638">
        <v>874942</v>
      </c>
      <c r="D24" s="638">
        <v>57115</v>
      </c>
      <c r="E24" s="638">
        <v>-57115</v>
      </c>
      <c r="F24" s="638">
        <v>-125</v>
      </c>
      <c r="G24" s="638">
        <v>-56990</v>
      </c>
      <c r="H24" s="638">
        <v>125613</v>
      </c>
      <c r="I24" s="638">
        <v>182603</v>
      </c>
      <c r="J24" s="638">
        <v>0</v>
      </c>
      <c r="K24" s="638">
        <v>0</v>
      </c>
      <c r="L24" s="639">
        <v>0</v>
      </c>
      <c r="M24" s="671"/>
    </row>
    <row r="25" spans="1:13" ht="12">
      <c r="A25" s="670" t="s">
        <v>21</v>
      </c>
      <c r="B25" s="638">
        <v>721080</v>
      </c>
      <c r="C25" s="638">
        <v>690522</v>
      </c>
      <c r="D25" s="638">
        <v>30558</v>
      </c>
      <c r="E25" s="638">
        <v>-30558</v>
      </c>
      <c r="F25" s="638">
        <v>0</v>
      </c>
      <c r="G25" s="638">
        <v>-30558</v>
      </c>
      <c r="H25" s="638">
        <v>79454</v>
      </c>
      <c r="I25" s="638">
        <v>110012</v>
      </c>
      <c r="J25" s="638">
        <v>0</v>
      </c>
      <c r="K25" s="638">
        <v>0</v>
      </c>
      <c r="L25" s="639">
        <v>0</v>
      </c>
      <c r="M25" s="671"/>
    </row>
    <row r="26" spans="1:13" ht="12">
      <c r="A26" s="670" t="s">
        <v>22</v>
      </c>
      <c r="B26" s="638">
        <v>914164</v>
      </c>
      <c r="C26" s="638">
        <v>736148</v>
      </c>
      <c r="D26" s="638">
        <v>178016</v>
      </c>
      <c r="E26" s="638">
        <v>-178016</v>
      </c>
      <c r="F26" s="638">
        <v>0</v>
      </c>
      <c r="G26" s="638">
        <v>-178016</v>
      </c>
      <c r="H26" s="638">
        <v>60260</v>
      </c>
      <c r="I26" s="638">
        <v>238276</v>
      </c>
      <c r="J26" s="638">
        <v>0</v>
      </c>
      <c r="K26" s="638">
        <v>0</v>
      </c>
      <c r="L26" s="639">
        <v>0</v>
      </c>
      <c r="M26" s="671"/>
    </row>
    <row r="27" spans="1:13" ht="12">
      <c r="A27" s="670" t="s">
        <v>23</v>
      </c>
      <c r="B27" s="638">
        <v>398324</v>
      </c>
      <c r="C27" s="638">
        <v>381714</v>
      </c>
      <c r="D27" s="638">
        <v>16610</v>
      </c>
      <c r="E27" s="638">
        <v>-16610</v>
      </c>
      <c r="F27" s="638">
        <v>3835</v>
      </c>
      <c r="G27" s="638">
        <v>-20445</v>
      </c>
      <c r="H27" s="638">
        <v>68808</v>
      </c>
      <c r="I27" s="638">
        <v>89253</v>
      </c>
      <c r="J27" s="638">
        <v>0</v>
      </c>
      <c r="K27" s="638">
        <v>0</v>
      </c>
      <c r="L27" s="639">
        <v>0</v>
      </c>
      <c r="M27" s="671"/>
    </row>
    <row r="28" spans="1:13" ht="12">
      <c r="A28" s="670" t="s">
        <v>24</v>
      </c>
      <c r="B28" s="638">
        <v>884793</v>
      </c>
      <c r="C28" s="638">
        <v>788861</v>
      </c>
      <c r="D28" s="638">
        <v>95932</v>
      </c>
      <c r="E28" s="638">
        <v>-95932</v>
      </c>
      <c r="F28" s="638">
        <v>0</v>
      </c>
      <c r="G28" s="638">
        <v>-49347</v>
      </c>
      <c r="H28" s="638">
        <v>110754</v>
      </c>
      <c r="I28" s="638">
        <v>160101</v>
      </c>
      <c r="J28" s="638">
        <v>-46585</v>
      </c>
      <c r="K28" s="638">
        <v>0</v>
      </c>
      <c r="L28" s="639">
        <v>0</v>
      </c>
      <c r="M28" s="671"/>
    </row>
    <row r="29" spans="1:13" ht="12">
      <c r="A29" s="670" t="s">
        <v>25</v>
      </c>
      <c r="B29" s="638">
        <v>958584</v>
      </c>
      <c r="C29" s="638">
        <v>876772</v>
      </c>
      <c r="D29" s="638">
        <v>81812</v>
      </c>
      <c r="E29" s="638">
        <v>-81812</v>
      </c>
      <c r="F29" s="638">
        <v>1400</v>
      </c>
      <c r="G29" s="638">
        <v>-83212</v>
      </c>
      <c r="H29" s="638">
        <v>101304</v>
      </c>
      <c r="I29" s="638">
        <v>184516</v>
      </c>
      <c r="J29" s="638">
        <v>0</v>
      </c>
      <c r="K29" s="638">
        <v>0</v>
      </c>
      <c r="L29" s="639">
        <v>0</v>
      </c>
      <c r="M29" s="671"/>
    </row>
    <row r="30" spans="1:13" ht="12">
      <c r="A30" s="670" t="s">
        <v>26</v>
      </c>
      <c r="B30" s="638">
        <v>683622</v>
      </c>
      <c r="C30" s="638">
        <v>620055</v>
      </c>
      <c r="D30" s="638">
        <v>63567</v>
      </c>
      <c r="E30" s="638">
        <v>-63567</v>
      </c>
      <c r="F30" s="638">
        <v>-5708</v>
      </c>
      <c r="G30" s="638">
        <v>-57859</v>
      </c>
      <c r="H30" s="638">
        <v>100139</v>
      </c>
      <c r="I30" s="638">
        <v>157998</v>
      </c>
      <c r="J30" s="638">
        <v>0</v>
      </c>
      <c r="K30" s="638">
        <v>0</v>
      </c>
      <c r="L30" s="639">
        <v>0</v>
      </c>
      <c r="M30" s="671"/>
    </row>
    <row r="31" spans="1:13" ht="12">
      <c r="A31" s="670" t="s">
        <v>27</v>
      </c>
      <c r="B31" s="638">
        <v>909647</v>
      </c>
      <c r="C31" s="638">
        <v>749268</v>
      </c>
      <c r="D31" s="638">
        <v>160379</v>
      </c>
      <c r="E31" s="638">
        <v>-160379</v>
      </c>
      <c r="F31" s="638">
        <v>0</v>
      </c>
      <c r="G31" s="638">
        <v>-160379</v>
      </c>
      <c r="H31" s="638">
        <v>138343</v>
      </c>
      <c r="I31" s="638">
        <v>298722</v>
      </c>
      <c r="J31" s="638">
        <v>0</v>
      </c>
      <c r="K31" s="638">
        <v>0</v>
      </c>
      <c r="L31" s="639">
        <v>0</v>
      </c>
      <c r="M31" s="671"/>
    </row>
    <row r="32" spans="1:13" ht="12">
      <c r="A32" s="670" t="s">
        <v>28</v>
      </c>
      <c r="B32" s="638">
        <v>1137652</v>
      </c>
      <c r="C32" s="638">
        <v>1085240</v>
      </c>
      <c r="D32" s="638">
        <v>52412</v>
      </c>
      <c r="E32" s="638">
        <v>-52412</v>
      </c>
      <c r="F32" s="638">
        <v>600</v>
      </c>
      <c r="G32" s="638">
        <v>-82740</v>
      </c>
      <c r="H32" s="638">
        <v>147994</v>
      </c>
      <c r="I32" s="638">
        <v>230734</v>
      </c>
      <c r="J32" s="638">
        <v>29728</v>
      </c>
      <c r="K32" s="638">
        <v>0</v>
      </c>
      <c r="L32" s="639">
        <v>0</v>
      </c>
      <c r="M32" s="671"/>
    </row>
    <row r="33" spans="1:13" ht="12">
      <c r="A33" s="670" t="s">
        <v>29</v>
      </c>
      <c r="B33" s="638">
        <v>694655</v>
      </c>
      <c r="C33" s="638">
        <v>663150</v>
      </c>
      <c r="D33" s="638">
        <v>31505</v>
      </c>
      <c r="E33" s="638">
        <v>-31505</v>
      </c>
      <c r="F33" s="638">
        <v>-2000</v>
      </c>
      <c r="G33" s="638">
        <v>-30000</v>
      </c>
      <c r="H33" s="638">
        <v>125828</v>
      </c>
      <c r="I33" s="638">
        <v>155333</v>
      </c>
      <c r="J33" s="638">
        <v>0</v>
      </c>
      <c r="K33" s="638">
        <v>0</v>
      </c>
      <c r="L33" s="639">
        <v>0</v>
      </c>
      <c r="M33" s="671"/>
    </row>
    <row r="34" spans="1:13" ht="12">
      <c r="A34" s="670" t="s">
        <v>30</v>
      </c>
      <c r="B34" s="638">
        <v>534642</v>
      </c>
      <c r="C34" s="638">
        <v>547604</v>
      </c>
      <c r="D34" s="638">
        <v>-12962</v>
      </c>
      <c r="E34" s="638">
        <v>12962</v>
      </c>
      <c r="F34" s="638">
        <v>123</v>
      </c>
      <c r="G34" s="638">
        <v>12839</v>
      </c>
      <c r="H34" s="638">
        <v>151361</v>
      </c>
      <c r="I34" s="638">
        <v>138522</v>
      </c>
      <c r="J34" s="638">
        <v>0</v>
      </c>
      <c r="K34" s="638">
        <v>0</v>
      </c>
      <c r="L34" s="639">
        <v>0</v>
      </c>
      <c r="M34" s="671"/>
    </row>
    <row r="35" spans="1:13" ht="12">
      <c r="A35" s="670" t="s">
        <v>31</v>
      </c>
      <c r="B35" s="638">
        <v>663680</v>
      </c>
      <c r="C35" s="638">
        <v>673088</v>
      </c>
      <c r="D35" s="638">
        <v>-9408</v>
      </c>
      <c r="E35" s="638">
        <v>9408</v>
      </c>
      <c r="F35" s="638">
        <v>-2500</v>
      </c>
      <c r="G35" s="638">
        <v>11908</v>
      </c>
      <c r="H35" s="638">
        <v>150132</v>
      </c>
      <c r="I35" s="638">
        <v>138224</v>
      </c>
      <c r="J35" s="638">
        <v>0</v>
      </c>
      <c r="K35" s="638">
        <v>0</v>
      </c>
      <c r="L35" s="639">
        <v>0</v>
      </c>
      <c r="M35" s="671"/>
    </row>
    <row r="36" spans="1:13" ht="12">
      <c r="A36" s="670" t="s">
        <v>32</v>
      </c>
      <c r="B36" s="638">
        <v>744741</v>
      </c>
      <c r="C36" s="638">
        <v>734014</v>
      </c>
      <c r="D36" s="638">
        <v>10727</v>
      </c>
      <c r="E36" s="638">
        <v>-10727</v>
      </c>
      <c r="F36" s="638">
        <v>0</v>
      </c>
      <c r="G36" s="638">
        <v>-23977</v>
      </c>
      <c r="H36" s="638">
        <v>191208</v>
      </c>
      <c r="I36" s="638">
        <v>215185</v>
      </c>
      <c r="J36" s="638">
        <v>0</v>
      </c>
      <c r="K36" s="638">
        <v>14000</v>
      </c>
      <c r="L36" s="639">
        <v>0</v>
      </c>
      <c r="M36" s="671"/>
    </row>
    <row r="37" spans="1:13" ht="12">
      <c r="A37" s="670" t="s">
        <v>33</v>
      </c>
      <c r="B37" s="638">
        <v>917775</v>
      </c>
      <c r="C37" s="638">
        <v>953014</v>
      </c>
      <c r="D37" s="638">
        <v>-35239</v>
      </c>
      <c r="E37" s="638">
        <v>35239</v>
      </c>
      <c r="F37" s="638">
        <v>91549</v>
      </c>
      <c r="G37" s="638">
        <v>-56310</v>
      </c>
      <c r="H37" s="638">
        <v>75076</v>
      </c>
      <c r="I37" s="638">
        <v>131386</v>
      </c>
      <c r="J37" s="638">
        <v>0</v>
      </c>
      <c r="K37" s="638">
        <v>0</v>
      </c>
      <c r="L37" s="639">
        <v>0</v>
      </c>
      <c r="M37" s="671"/>
    </row>
    <row r="38" spans="1:13" ht="12">
      <c r="A38" s="670" t="s">
        <v>34</v>
      </c>
      <c r="B38" s="638">
        <v>509020</v>
      </c>
      <c r="C38" s="638">
        <v>495514</v>
      </c>
      <c r="D38" s="638">
        <v>13506</v>
      </c>
      <c r="E38" s="638">
        <v>-13506</v>
      </c>
      <c r="F38" s="638">
        <v>0</v>
      </c>
      <c r="G38" s="638">
        <v>-13506</v>
      </c>
      <c r="H38" s="638">
        <v>125828</v>
      </c>
      <c r="I38" s="638">
        <v>139334</v>
      </c>
      <c r="J38" s="638">
        <v>0</v>
      </c>
      <c r="K38" s="638">
        <v>0</v>
      </c>
      <c r="L38" s="639">
        <v>0</v>
      </c>
      <c r="M38" s="671"/>
    </row>
    <row r="39" spans="1:13" ht="12">
      <c r="A39" s="670" t="s">
        <v>35</v>
      </c>
      <c r="B39" s="638">
        <v>1831285</v>
      </c>
      <c r="C39" s="638">
        <v>1765802</v>
      </c>
      <c r="D39" s="638">
        <v>65483</v>
      </c>
      <c r="E39" s="638">
        <v>-65483</v>
      </c>
      <c r="F39" s="638">
        <v>0</v>
      </c>
      <c r="G39" s="638">
        <v>-65483</v>
      </c>
      <c r="H39" s="638">
        <v>364045</v>
      </c>
      <c r="I39" s="638">
        <v>429528</v>
      </c>
      <c r="J39" s="638">
        <v>0</v>
      </c>
      <c r="K39" s="638">
        <v>0</v>
      </c>
      <c r="L39" s="639">
        <v>0</v>
      </c>
      <c r="M39" s="671"/>
    </row>
    <row r="40" spans="1:13" ht="12">
      <c r="A40" s="670" t="s">
        <v>36</v>
      </c>
      <c r="B40" s="638">
        <v>458892</v>
      </c>
      <c r="C40" s="638">
        <v>517362</v>
      </c>
      <c r="D40" s="638">
        <v>-58470</v>
      </c>
      <c r="E40" s="638">
        <v>58470</v>
      </c>
      <c r="F40" s="638">
        <v>-2100</v>
      </c>
      <c r="G40" s="638">
        <v>60570</v>
      </c>
      <c r="H40" s="638">
        <v>193711</v>
      </c>
      <c r="I40" s="638">
        <v>133141</v>
      </c>
      <c r="J40" s="638">
        <v>0</v>
      </c>
      <c r="K40" s="638">
        <v>0</v>
      </c>
      <c r="L40" s="639">
        <v>0</v>
      </c>
      <c r="M40" s="671"/>
    </row>
    <row r="41" spans="1:13" ht="12">
      <c r="A41" s="670" t="s">
        <v>37</v>
      </c>
      <c r="B41" s="638">
        <v>753541</v>
      </c>
      <c r="C41" s="638">
        <v>571454</v>
      </c>
      <c r="D41" s="638">
        <v>182087</v>
      </c>
      <c r="E41" s="638">
        <v>-182087</v>
      </c>
      <c r="F41" s="638">
        <v>0</v>
      </c>
      <c r="G41" s="638">
        <v>-182087</v>
      </c>
      <c r="H41" s="638">
        <v>180663</v>
      </c>
      <c r="I41" s="638">
        <v>362750</v>
      </c>
      <c r="J41" s="638">
        <v>0</v>
      </c>
      <c r="K41" s="638">
        <v>0</v>
      </c>
      <c r="L41" s="639">
        <v>0</v>
      </c>
      <c r="M41" s="671"/>
    </row>
    <row r="42" spans="1:13" ht="12">
      <c r="A42" s="670" t="s">
        <v>38</v>
      </c>
      <c r="B42" s="638">
        <v>910386</v>
      </c>
      <c r="C42" s="638">
        <v>863958</v>
      </c>
      <c r="D42" s="638">
        <v>46428</v>
      </c>
      <c r="E42" s="638">
        <v>-46428</v>
      </c>
      <c r="F42" s="638">
        <v>0</v>
      </c>
      <c r="G42" s="638">
        <v>-46428</v>
      </c>
      <c r="H42" s="638">
        <v>329438</v>
      </c>
      <c r="I42" s="638">
        <v>375866</v>
      </c>
      <c r="J42" s="638">
        <v>0</v>
      </c>
      <c r="K42" s="638">
        <v>0</v>
      </c>
      <c r="L42" s="639">
        <v>0</v>
      </c>
      <c r="M42" s="671"/>
    </row>
    <row r="43" spans="1:13" ht="12">
      <c r="A43" s="670" t="s">
        <v>39</v>
      </c>
      <c r="B43" s="638">
        <v>432675</v>
      </c>
      <c r="C43" s="638">
        <v>382328</v>
      </c>
      <c r="D43" s="638">
        <v>50347</v>
      </c>
      <c r="E43" s="638">
        <v>-50347</v>
      </c>
      <c r="F43" s="638">
        <v>-945</v>
      </c>
      <c r="G43" s="638">
        <v>-49402</v>
      </c>
      <c r="H43" s="638">
        <v>93591</v>
      </c>
      <c r="I43" s="638">
        <v>142993</v>
      </c>
      <c r="J43" s="638">
        <v>0</v>
      </c>
      <c r="K43" s="638">
        <v>0</v>
      </c>
      <c r="L43" s="639">
        <v>0</v>
      </c>
      <c r="M43" s="671"/>
    </row>
    <row r="44" spans="1:13" ht="12">
      <c r="A44" s="670" t="s">
        <v>40</v>
      </c>
      <c r="B44" s="638">
        <v>717000</v>
      </c>
      <c r="C44" s="638">
        <v>603177</v>
      </c>
      <c r="D44" s="638">
        <v>113823</v>
      </c>
      <c r="E44" s="638">
        <v>-113823</v>
      </c>
      <c r="F44" s="638">
        <v>0</v>
      </c>
      <c r="G44" s="638">
        <v>-118023</v>
      </c>
      <c r="H44" s="638">
        <v>158959</v>
      </c>
      <c r="I44" s="638">
        <v>276982</v>
      </c>
      <c r="J44" s="638">
        <v>0</v>
      </c>
      <c r="K44" s="638">
        <v>4200</v>
      </c>
      <c r="L44" s="639">
        <v>0</v>
      </c>
      <c r="M44" s="671"/>
    </row>
    <row r="45" spans="1:13" ht="12">
      <c r="A45" s="670" t="s">
        <v>41</v>
      </c>
      <c r="B45" s="638">
        <v>433126</v>
      </c>
      <c r="C45" s="638">
        <v>431896</v>
      </c>
      <c r="D45" s="638">
        <v>1230</v>
      </c>
      <c r="E45" s="638">
        <v>-1230</v>
      </c>
      <c r="F45" s="638">
        <v>0</v>
      </c>
      <c r="G45" s="638">
        <v>-1230</v>
      </c>
      <c r="H45" s="638">
        <v>142100</v>
      </c>
      <c r="I45" s="638">
        <v>143330</v>
      </c>
      <c r="J45" s="638">
        <v>0</v>
      </c>
      <c r="K45" s="638">
        <v>0</v>
      </c>
      <c r="L45" s="639">
        <v>0</v>
      </c>
      <c r="M45" s="671"/>
    </row>
    <row r="46" spans="1:12" ht="12.75">
      <c r="A46" s="672" t="s">
        <v>42</v>
      </c>
      <c r="B46" s="638">
        <f aca="true" t="shared" si="1" ref="B46:L46">SUM(B20:B45)</f>
        <v>19231738</v>
      </c>
      <c r="C46" s="638">
        <f t="shared" si="1"/>
        <v>17907509</v>
      </c>
      <c r="D46" s="638">
        <f t="shared" si="1"/>
        <v>1324229</v>
      </c>
      <c r="E46" s="638">
        <f t="shared" si="1"/>
        <v>-1324229</v>
      </c>
      <c r="F46" s="638">
        <f t="shared" si="1"/>
        <v>76642</v>
      </c>
      <c r="G46" s="638">
        <f t="shared" si="1"/>
        <v>-1401959</v>
      </c>
      <c r="H46" s="638">
        <f t="shared" si="1"/>
        <v>3650057</v>
      </c>
      <c r="I46" s="638">
        <f t="shared" si="1"/>
        <v>5051521</v>
      </c>
      <c r="J46" s="638">
        <f t="shared" si="1"/>
        <v>-16857</v>
      </c>
      <c r="K46" s="638">
        <f t="shared" si="1"/>
        <v>18200</v>
      </c>
      <c r="L46" s="639">
        <f t="shared" si="1"/>
        <v>0</v>
      </c>
    </row>
    <row r="47" spans="1:12" ht="12.75">
      <c r="A47" s="675" t="s">
        <v>43</v>
      </c>
      <c r="B47" s="643">
        <f aca="true" t="shared" si="2" ref="B47:L47">SUM(B46,B19)</f>
        <v>50028111</v>
      </c>
      <c r="C47" s="643">
        <f t="shared" si="2"/>
        <v>43164723</v>
      </c>
      <c r="D47" s="643">
        <f t="shared" si="2"/>
        <v>6863388</v>
      </c>
      <c r="E47" s="643">
        <f t="shared" si="2"/>
        <v>-6863388</v>
      </c>
      <c r="F47" s="643">
        <f t="shared" si="2"/>
        <v>76642</v>
      </c>
      <c r="G47" s="643">
        <f t="shared" si="2"/>
        <v>-6941118</v>
      </c>
      <c r="H47" s="643">
        <f t="shared" si="2"/>
        <v>11105940</v>
      </c>
      <c r="I47" s="643">
        <f t="shared" si="2"/>
        <v>18046563</v>
      </c>
      <c r="J47" s="643">
        <f t="shared" si="2"/>
        <v>-16857</v>
      </c>
      <c r="K47" s="643">
        <f t="shared" si="2"/>
        <v>18200</v>
      </c>
      <c r="L47" s="644">
        <f t="shared" si="2"/>
        <v>0</v>
      </c>
    </row>
    <row r="48" spans="1:12" ht="12.75">
      <c r="A48" s="676"/>
      <c r="B48" s="677"/>
      <c r="C48" s="677"/>
      <c r="D48" s="677"/>
      <c r="E48" s="677"/>
      <c r="F48" s="677"/>
      <c r="G48" s="677"/>
      <c r="H48" s="677"/>
      <c r="I48" s="677"/>
      <c r="J48" s="677"/>
      <c r="K48" s="677"/>
      <c r="L48" s="677"/>
    </row>
    <row r="49" s="646" customFormat="1" ht="12">
      <c r="A49" s="645" t="s">
        <v>61</v>
      </c>
    </row>
    <row r="54" spans="1:11" s="543" customFormat="1" ht="11.25" customHeight="1">
      <c r="A54" s="652" t="s">
        <v>695</v>
      </c>
      <c r="H54" s="543" t="s">
        <v>47</v>
      </c>
      <c r="K54" s="543" t="s">
        <v>653</v>
      </c>
    </row>
    <row r="55" spans="1:16" s="646" customFormat="1" ht="12">
      <c r="A55" s="678"/>
      <c r="B55" s="567"/>
      <c r="C55" s="543"/>
      <c r="D55" s="567"/>
      <c r="E55" s="567"/>
      <c r="F55" s="567"/>
      <c r="G55" s="543"/>
      <c r="H55" s="649"/>
      <c r="I55" s="567"/>
      <c r="J55" s="567"/>
      <c r="K55" s="567"/>
      <c r="L55" s="567"/>
      <c r="M55" s="567"/>
      <c r="N55" s="567"/>
      <c r="O55" s="567"/>
      <c r="P55" s="567"/>
    </row>
    <row r="56" spans="1:8" s="682" customFormat="1" ht="11.25">
      <c r="A56" s="679"/>
      <c r="B56" s="680"/>
      <c r="C56" s="458"/>
      <c r="D56" s="681"/>
      <c r="E56" s="458"/>
      <c r="F56" s="681"/>
      <c r="G56" s="681"/>
      <c r="H56" s="458"/>
    </row>
    <row r="57" spans="1:9" s="651" customFormat="1" ht="12.75">
      <c r="A57" s="603"/>
      <c r="B57" s="683"/>
      <c r="C57" s="458"/>
      <c r="D57" s="684"/>
      <c r="E57" s="684"/>
      <c r="G57" s="685"/>
      <c r="I57" s="646"/>
    </row>
    <row r="58" spans="1:16" s="646" customFormat="1" ht="12">
      <c r="A58" s="678"/>
      <c r="B58" s="567"/>
      <c r="C58" s="543"/>
      <c r="D58" s="567"/>
      <c r="E58" s="567"/>
      <c r="F58" s="567"/>
      <c r="G58" s="543"/>
      <c r="H58" s="649"/>
      <c r="I58" s="567"/>
      <c r="J58" s="567"/>
      <c r="K58" s="567"/>
      <c r="L58" s="567"/>
      <c r="M58" s="567"/>
      <c r="N58" s="567"/>
      <c r="O58" s="567"/>
      <c r="P58" s="567"/>
    </row>
    <row r="59" s="651" customFormat="1" ht="11.25">
      <c r="A59" s="650"/>
    </row>
    <row r="60" spans="1:6" s="651" customFormat="1" ht="11.25">
      <c r="A60" s="650"/>
      <c r="B60" s="458"/>
      <c r="C60" s="458"/>
      <c r="D60" s="458"/>
      <c r="E60" s="458"/>
      <c r="F60" s="458"/>
    </row>
    <row r="67" ht="11.25">
      <c r="A67" s="553" t="s">
        <v>654</v>
      </c>
    </row>
    <row r="68" s="553" customFormat="1" ht="11.25">
      <c r="A68" s="499" t="s">
        <v>655</v>
      </c>
    </row>
    <row r="69" ht="11.25">
      <c r="A69" s="499"/>
    </row>
  </sheetData>
  <printOptions/>
  <pageMargins left="0.7" right="0.2362204724409449" top="0.78" bottom="0.75" header="0.18" footer="0"/>
  <pageSetup firstPageNumber="33" useFirstPageNumber="1"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X81"/>
  <sheetViews>
    <sheetView workbookViewId="0" topLeftCell="F1">
      <selection activeCell="F8" sqref="F8"/>
    </sheetView>
  </sheetViews>
  <sheetFormatPr defaultColWidth="9.140625" defaultRowHeight="12.75"/>
  <cols>
    <col min="1" max="1" width="47.421875" style="3" hidden="1" customWidth="1"/>
    <col min="2" max="2" width="13.28125" style="99" hidden="1" customWidth="1"/>
    <col min="3" max="3" width="12.7109375" style="3" hidden="1" customWidth="1"/>
    <col min="4" max="4" width="7.57421875" style="3" hidden="1" customWidth="1"/>
    <col min="5" max="5" width="2.28125" style="3" hidden="1" customWidth="1"/>
    <col min="6" max="6" width="50.00390625" style="0" customWidth="1"/>
    <col min="7" max="7" width="10.7109375" style="0" customWidth="1"/>
    <col min="8" max="8" width="10.57421875" style="0" customWidth="1"/>
    <col min="9" max="9" width="9.00390625" style="0" customWidth="1"/>
    <col min="10" max="10" width="9.421875" style="0" customWidth="1"/>
    <col min="11" max="12" width="0" style="0" hidden="1" customWidth="1"/>
    <col min="207" max="16384" width="9.140625" style="3" customWidth="1"/>
  </cols>
  <sheetData>
    <row r="1" spans="5:10" ht="12.75">
      <c r="E1" s="3" t="s">
        <v>181</v>
      </c>
      <c r="F1" s="3"/>
      <c r="G1" s="99"/>
      <c r="H1" s="3"/>
      <c r="I1" s="3"/>
      <c r="J1" s="3" t="s">
        <v>181</v>
      </c>
    </row>
    <row r="2" spans="1:10" ht="18" customHeight="1">
      <c r="A2" s="1" t="s">
        <v>182</v>
      </c>
      <c r="B2" s="100"/>
      <c r="C2" s="1"/>
      <c r="D2" s="1"/>
      <c r="E2" s="1"/>
      <c r="F2" s="1" t="s">
        <v>182</v>
      </c>
      <c r="G2" s="100"/>
      <c r="H2" s="1"/>
      <c r="I2" s="1"/>
      <c r="J2" s="1"/>
    </row>
    <row r="3" spans="6:10" ht="20.25" customHeight="1">
      <c r="F3" s="3"/>
      <c r="G3" s="99"/>
      <c r="H3" s="3"/>
      <c r="I3" s="3"/>
      <c r="J3" s="3"/>
    </row>
    <row r="4" spans="1:10" ht="18.75" customHeight="1">
      <c r="A4" s="733" t="s">
        <v>183</v>
      </c>
      <c r="B4" s="733"/>
      <c r="C4" s="733"/>
      <c r="D4" s="733"/>
      <c r="E4" s="733"/>
      <c r="F4" s="733" t="s">
        <v>184</v>
      </c>
      <c r="G4" s="733"/>
      <c r="H4" s="733"/>
      <c r="I4" s="733"/>
      <c r="J4" s="733"/>
    </row>
    <row r="5" spans="1:10" ht="18.7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0" ht="15.75" customHeight="1">
      <c r="A6" s="102"/>
      <c r="B6" s="100"/>
      <c r="C6" s="1"/>
      <c r="D6" s="50"/>
      <c r="E6" s="50"/>
      <c r="F6" s="102"/>
      <c r="G6" s="100"/>
      <c r="H6" s="1"/>
      <c r="I6" s="50"/>
      <c r="J6" s="50" t="s">
        <v>185</v>
      </c>
    </row>
    <row r="7" spans="1:10" ht="56.25" customHeight="1">
      <c r="A7" s="9" t="s">
        <v>101</v>
      </c>
      <c r="B7" s="103" t="s">
        <v>102</v>
      </c>
      <c r="C7" s="9" t="s">
        <v>104</v>
      </c>
      <c r="D7" s="9" t="s">
        <v>186</v>
      </c>
      <c r="E7" s="9" t="s">
        <v>187</v>
      </c>
      <c r="F7" s="9" t="s">
        <v>101</v>
      </c>
      <c r="G7" s="103" t="s">
        <v>102</v>
      </c>
      <c r="H7" s="9" t="s">
        <v>104</v>
      </c>
      <c r="I7" s="9" t="s">
        <v>186</v>
      </c>
      <c r="J7" s="9" t="s">
        <v>188</v>
      </c>
    </row>
    <row r="8" spans="1:10" ht="12.75">
      <c r="A8" s="9">
        <v>1</v>
      </c>
      <c r="B8" s="103">
        <v>2</v>
      </c>
      <c r="C8" s="9">
        <v>3</v>
      </c>
      <c r="D8" s="9">
        <v>4</v>
      </c>
      <c r="E8" s="9">
        <v>5</v>
      </c>
      <c r="F8" s="9">
        <v>1</v>
      </c>
      <c r="G8" s="103">
        <v>2</v>
      </c>
      <c r="H8" s="9">
        <v>3</v>
      </c>
      <c r="I8" s="9">
        <v>4</v>
      </c>
      <c r="J8" s="9">
        <v>5</v>
      </c>
    </row>
    <row r="9" spans="1:10" ht="25.5" customHeight="1">
      <c r="A9" s="85" t="s">
        <v>189</v>
      </c>
      <c r="B9" s="104">
        <f>SUM(B23,B32)</f>
        <v>1373743104</v>
      </c>
      <c r="C9" s="104">
        <f>SUM(C23,C32)</f>
        <v>0</v>
      </c>
      <c r="D9" s="106">
        <f>IF(ISERROR(C9/B9)," ",(C9/B9))</f>
        <v>0</v>
      </c>
      <c r="E9" s="104">
        <f>C9</f>
        <v>0</v>
      </c>
      <c r="F9" s="85" t="s">
        <v>189</v>
      </c>
      <c r="G9" s="107">
        <f>SUM(G23,G32)</f>
        <v>1335185</v>
      </c>
      <c r="H9" s="107">
        <f>SUM(H23,H32)</f>
        <v>1179394</v>
      </c>
      <c r="I9" s="23">
        <f>IF(ISERROR(H9/G9)," ",(H9/G9))*100</f>
        <v>88.33187910289585</v>
      </c>
      <c r="J9" s="107">
        <f>H9-'[3]Oktobris'!H9</f>
        <v>110292</v>
      </c>
    </row>
    <row r="10" spans="1:10" ht="25.5" customHeight="1">
      <c r="A10" s="38" t="s">
        <v>190</v>
      </c>
      <c r="B10" s="104">
        <f>SUM(B11,B19,B20,B21)</f>
        <v>737531269</v>
      </c>
      <c r="C10" s="104">
        <f>SUM(C11,C19,C20)</f>
        <v>0</v>
      </c>
      <c r="D10" s="106">
        <f aca="true" t="shared" si="0" ref="D10:D69">IF(ISERROR(C10/B10)," ",(C10/B10))</f>
        <v>0</v>
      </c>
      <c r="E10" s="104">
        <f aca="true" t="shared" si="1" ref="E10:E69">C10</f>
        <v>0</v>
      </c>
      <c r="F10" s="38" t="s">
        <v>190</v>
      </c>
      <c r="G10" s="107">
        <f>SUM(G11,G19,G20,G21)</f>
        <v>706682</v>
      </c>
      <c r="H10" s="107">
        <f>SUM(H11,H19,H20,H21)</f>
        <v>618745</v>
      </c>
      <c r="I10" s="23">
        <f>IF(ISERROR(H10/G10)," ",(H10/G10))*100</f>
        <v>87.55635490928026</v>
      </c>
      <c r="J10" s="107">
        <f>H10-'[3]Oktobris'!H10</f>
        <v>59058</v>
      </c>
    </row>
    <row r="11" spans="1:10" ht="19.5" customHeight="1">
      <c r="A11" s="28" t="s">
        <v>191</v>
      </c>
      <c r="B11" s="108">
        <f>SUM(B12,B14,B18)</f>
        <v>587500000</v>
      </c>
      <c r="C11" s="108">
        <f>SUM(C12,C14,C18)</f>
        <v>0</v>
      </c>
      <c r="D11" s="109">
        <f t="shared" si="0"/>
        <v>0</v>
      </c>
      <c r="E11" s="104">
        <f t="shared" si="1"/>
        <v>0</v>
      </c>
      <c r="F11" s="28" t="s">
        <v>191</v>
      </c>
      <c r="G11" s="110">
        <f>SUM(G12,G14,G18)</f>
        <v>552794</v>
      </c>
      <c r="H11" s="110">
        <f>SUM(H12,H14,H18)</f>
        <v>499188</v>
      </c>
      <c r="I11" s="111">
        <f aca="true" t="shared" si="2" ref="I11:I72">IF(ISERROR(H11/G11)," ",(H11/G11))*100</f>
        <v>90.30271674439302</v>
      </c>
      <c r="J11" s="110">
        <f>H11-'[3]Oktobris'!H11</f>
        <v>44075</v>
      </c>
    </row>
    <row r="12" spans="1:10" ht="15.75" customHeight="1">
      <c r="A12" s="112" t="s">
        <v>192</v>
      </c>
      <c r="B12" s="108">
        <f>SUM(B13)</f>
        <v>95100000</v>
      </c>
      <c r="C12" s="108">
        <f>SUM(C13)</f>
        <v>0</v>
      </c>
      <c r="D12" s="109">
        <f t="shared" si="0"/>
        <v>0</v>
      </c>
      <c r="E12" s="104">
        <f t="shared" si="1"/>
        <v>0</v>
      </c>
      <c r="F12" s="112" t="s">
        <v>192</v>
      </c>
      <c r="G12" s="108">
        <f>SUM(G13)</f>
        <v>74655</v>
      </c>
      <c r="H12" s="108">
        <f>SUM(H13)</f>
        <v>67091</v>
      </c>
      <c r="I12" s="111">
        <f t="shared" si="2"/>
        <v>89.86805974147747</v>
      </c>
      <c r="J12" s="108">
        <f>H12-'[3]Oktobris'!H12</f>
        <v>6346</v>
      </c>
    </row>
    <row r="13" spans="1:10" ht="15.75" customHeight="1">
      <c r="A13" s="30" t="s">
        <v>193</v>
      </c>
      <c r="B13" s="108">
        <v>95100000</v>
      </c>
      <c r="C13" s="108"/>
      <c r="D13" s="109">
        <f t="shared" si="0"/>
        <v>0</v>
      </c>
      <c r="E13" s="104">
        <f t="shared" si="1"/>
        <v>0</v>
      </c>
      <c r="F13" s="30" t="s">
        <v>193</v>
      </c>
      <c r="G13" s="110">
        <v>74655</v>
      </c>
      <c r="H13" s="110">
        <v>67091</v>
      </c>
      <c r="I13" s="111">
        <f t="shared" si="2"/>
        <v>89.86805974147747</v>
      </c>
      <c r="J13" s="110">
        <f>H13-'[3]Oktobris'!H13</f>
        <v>6346</v>
      </c>
    </row>
    <row r="14" spans="1:10" ht="16.5" customHeight="1">
      <c r="A14" s="112" t="s">
        <v>194</v>
      </c>
      <c r="B14" s="108">
        <f>SUM(B15:B17)</f>
        <v>492400000</v>
      </c>
      <c r="C14" s="108">
        <f>SUM(C15:C17)</f>
        <v>0</v>
      </c>
      <c r="D14" s="109">
        <f t="shared" si="0"/>
        <v>0</v>
      </c>
      <c r="E14" s="104">
        <f t="shared" si="1"/>
        <v>0</v>
      </c>
      <c r="F14" s="112" t="s">
        <v>194</v>
      </c>
      <c r="G14" s="108">
        <f>SUM(G15:G17)</f>
        <v>478139</v>
      </c>
      <c r="H14" s="108">
        <f>SUM(H15:H17)</f>
        <v>429888</v>
      </c>
      <c r="I14" s="111">
        <f t="shared" si="2"/>
        <v>89.9085830689402</v>
      </c>
      <c r="J14" s="108">
        <f>H14-'[3]Oktobris'!H14</f>
        <v>38735</v>
      </c>
    </row>
    <row r="15" spans="1:10" ht="17.25" customHeight="1">
      <c r="A15" s="113" t="s">
        <v>195</v>
      </c>
      <c r="B15" s="108">
        <v>346096000</v>
      </c>
      <c r="C15" s="108"/>
      <c r="D15" s="109">
        <f t="shared" si="0"/>
        <v>0</v>
      </c>
      <c r="E15" s="104">
        <f t="shared" si="1"/>
        <v>0</v>
      </c>
      <c r="F15" s="113" t="s">
        <v>195</v>
      </c>
      <c r="G15" s="110">
        <v>346760</v>
      </c>
      <c r="H15" s="110">
        <v>309325</v>
      </c>
      <c r="I15" s="111">
        <f t="shared" si="2"/>
        <v>89.20434882916139</v>
      </c>
      <c r="J15" s="110">
        <f>H15-'[3]Oktobris'!H15</f>
        <v>26684</v>
      </c>
    </row>
    <row r="16" spans="1:10" ht="17.25" customHeight="1">
      <c r="A16" s="30" t="s">
        <v>196</v>
      </c>
      <c r="B16" s="108">
        <v>133504000</v>
      </c>
      <c r="C16" s="108"/>
      <c r="D16" s="109">
        <f t="shared" si="0"/>
        <v>0</v>
      </c>
      <c r="E16" s="104">
        <f t="shared" si="1"/>
        <v>0</v>
      </c>
      <c r="F16" s="30" t="s">
        <v>196</v>
      </c>
      <c r="G16" s="110">
        <v>117579</v>
      </c>
      <c r="H16" s="110">
        <v>107468</v>
      </c>
      <c r="I16" s="111">
        <f t="shared" si="2"/>
        <v>91.40067529065564</v>
      </c>
      <c r="J16" s="110">
        <f>H16-'[3]Oktobris'!H16</f>
        <v>10746</v>
      </c>
    </row>
    <row r="17" spans="1:10" ht="16.5" customHeight="1">
      <c r="A17" s="30" t="s">
        <v>197</v>
      </c>
      <c r="B17" s="108">
        <v>12800000</v>
      </c>
      <c r="C17" s="108"/>
      <c r="D17" s="109">
        <f t="shared" si="0"/>
        <v>0</v>
      </c>
      <c r="E17" s="104">
        <f t="shared" si="1"/>
        <v>0</v>
      </c>
      <c r="F17" s="30" t="s">
        <v>197</v>
      </c>
      <c r="G17" s="110">
        <v>13800</v>
      </c>
      <c r="H17" s="110">
        <v>13095</v>
      </c>
      <c r="I17" s="111">
        <f t="shared" si="2"/>
        <v>94.8913043478261</v>
      </c>
      <c r="J17" s="110">
        <f>H17-'[3]Oktobris'!H17</f>
        <v>1305</v>
      </c>
    </row>
    <row r="18" spans="1:10" ht="12.75">
      <c r="A18" s="112" t="s">
        <v>198</v>
      </c>
      <c r="B18" s="108"/>
      <c r="C18" s="108"/>
      <c r="D18" s="109" t="str">
        <f t="shared" si="0"/>
        <v> </v>
      </c>
      <c r="E18" s="104">
        <f t="shared" si="1"/>
        <v>0</v>
      </c>
      <c r="F18" s="112" t="s">
        <v>198</v>
      </c>
      <c r="G18" s="108">
        <f>ROUND(B18/1000,0)</f>
        <v>0</v>
      </c>
      <c r="H18" s="108">
        <v>2209</v>
      </c>
      <c r="I18" s="111"/>
      <c r="J18" s="108">
        <f>H18-'[3]Oktobris'!H18</f>
        <v>-1006</v>
      </c>
    </row>
    <row r="19" spans="1:10" ht="13.5" customHeight="1">
      <c r="A19" s="28" t="s">
        <v>199</v>
      </c>
      <c r="B19" s="108">
        <v>59128087</v>
      </c>
      <c r="C19" s="108"/>
      <c r="D19" s="109">
        <f t="shared" si="0"/>
        <v>0</v>
      </c>
      <c r="E19" s="104">
        <f t="shared" si="1"/>
        <v>0</v>
      </c>
      <c r="F19" s="28" t="s">
        <v>199</v>
      </c>
      <c r="G19" s="110">
        <v>61141</v>
      </c>
      <c r="H19" s="110">
        <v>58938</v>
      </c>
      <c r="I19" s="111">
        <f t="shared" si="2"/>
        <v>96.39685317544692</v>
      </c>
      <c r="J19" s="110">
        <f>H19-'[3]Oktobris'!H19</f>
        <v>5141</v>
      </c>
    </row>
    <row r="20" spans="1:10" ht="13.5" customHeight="1">
      <c r="A20" s="114" t="s">
        <v>200</v>
      </c>
      <c r="B20" s="108">
        <v>59260125</v>
      </c>
      <c r="C20" s="108"/>
      <c r="D20" s="109">
        <f t="shared" si="0"/>
        <v>0</v>
      </c>
      <c r="E20" s="104">
        <f t="shared" si="1"/>
        <v>0</v>
      </c>
      <c r="F20" s="114" t="s">
        <v>200</v>
      </c>
      <c r="G20" s="110">
        <v>61661</v>
      </c>
      <c r="H20" s="110">
        <v>50995</v>
      </c>
      <c r="I20" s="111">
        <f t="shared" si="2"/>
        <v>82.70219425568837</v>
      </c>
      <c r="J20" s="110">
        <f>H20-'[3]Oktobris'!H20</f>
        <v>4635</v>
      </c>
    </row>
    <row r="21" spans="1:10" ht="13.5" customHeight="1">
      <c r="A21" s="114" t="s">
        <v>201</v>
      </c>
      <c r="B21" s="108">
        <v>31643057</v>
      </c>
      <c r="C21" s="108"/>
      <c r="D21" s="109"/>
      <c r="E21" s="104"/>
      <c r="F21" s="114" t="s">
        <v>201</v>
      </c>
      <c r="G21" s="110">
        <v>31086</v>
      </c>
      <c r="H21" s="110">
        <v>9624</v>
      </c>
      <c r="I21" s="111">
        <f t="shared" si="2"/>
        <v>30.95927427137618</v>
      </c>
      <c r="J21" s="110">
        <f>H21-'[3]Oktobris'!H21</f>
        <v>5207</v>
      </c>
    </row>
    <row r="22" spans="1:10" ht="12.75" customHeight="1">
      <c r="A22" s="115" t="s">
        <v>202</v>
      </c>
      <c r="B22" s="108">
        <v>1201200</v>
      </c>
      <c r="C22" s="108"/>
      <c r="D22" s="109">
        <f t="shared" si="0"/>
        <v>0</v>
      </c>
      <c r="E22" s="104">
        <f t="shared" si="1"/>
        <v>0</v>
      </c>
      <c r="F22" s="115" t="s">
        <v>202</v>
      </c>
      <c r="G22" s="116">
        <f>ROUND(B22/1000,0)</f>
        <v>1201</v>
      </c>
      <c r="H22" s="117">
        <v>1101</v>
      </c>
      <c r="I22" s="118">
        <f t="shared" si="2"/>
        <v>91.67360532889259</v>
      </c>
      <c r="J22" s="116">
        <f>H22-'[3]Oktobris'!H22</f>
        <v>100</v>
      </c>
    </row>
    <row r="23" spans="1:10" ht="19.5" customHeight="1">
      <c r="A23" s="38" t="s">
        <v>203</v>
      </c>
      <c r="B23" s="104">
        <f>SUM(B10-B22)</f>
        <v>736330069</v>
      </c>
      <c r="C23" s="104">
        <f>SUM(C10-C22)</f>
        <v>0</v>
      </c>
      <c r="D23" s="106">
        <f t="shared" si="0"/>
        <v>0</v>
      </c>
      <c r="E23" s="104">
        <f t="shared" si="1"/>
        <v>0</v>
      </c>
      <c r="F23" s="38" t="s">
        <v>203</v>
      </c>
      <c r="G23" s="107">
        <f>SUM(G10-G22)</f>
        <v>705481</v>
      </c>
      <c r="H23" s="107">
        <f>SUM(H10-H22)</f>
        <v>617644</v>
      </c>
      <c r="I23" s="23">
        <f t="shared" si="2"/>
        <v>87.54934576551318</v>
      </c>
      <c r="J23" s="107">
        <f>H23-'[3]Oktobris'!H23</f>
        <v>58958</v>
      </c>
    </row>
    <row r="24" spans="1:10" ht="20.25" customHeight="1">
      <c r="A24" s="29" t="s">
        <v>204</v>
      </c>
      <c r="B24" s="104">
        <f>SUM(B25)</f>
        <v>699762222</v>
      </c>
      <c r="C24" s="104">
        <f>SUM(C25)</f>
        <v>0</v>
      </c>
      <c r="D24" s="106">
        <f t="shared" si="0"/>
        <v>0</v>
      </c>
      <c r="E24" s="104">
        <f t="shared" si="1"/>
        <v>0</v>
      </c>
      <c r="F24" s="29" t="s">
        <v>204</v>
      </c>
      <c r="G24" s="107">
        <f>SUM(G25)</f>
        <v>692932</v>
      </c>
      <c r="H24" s="107">
        <f>SUM(H25)</f>
        <v>619760</v>
      </c>
      <c r="I24" s="23">
        <f t="shared" si="2"/>
        <v>89.44023367372267</v>
      </c>
      <c r="J24" s="107">
        <f>H24-'[3]Oktobris'!H24-1</f>
        <v>56049</v>
      </c>
    </row>
    <row r="25" spans="1:10" ht="12.75">
      <c r="A25" s="28" t="s">
        <v>205</v>
      </c>
      <c r="B25" s="108">
        <f>SUM(B26:B30)</f>
        <v>699762222</v>
      </c>
      <c r="C25" s="108">
        <f>SUM(C26:C30)</f>
        <v>0</v>
      </c>
      <c r="D25" s="109">
        <f t="shared" si="0"/>
        <v>0</v>
      </c>
      <c r="E25" s="104">
        <f t="shared" si="1"/>
        <v>0</v>
      </c>
      <c r="F25" s="28" t="s">
        <v>205</v>
      </c>
      <c r="G25" s="110">
        <f>SUM(G26:G30)</f>
        <v>692932</v>
      </c>
      <c r="H25" s="110">
        <f>SUM(H26:H30)</f>
        <v>619760</v>
      </c>
      <c r="I25" s="111">
        <f t="shared" si="2"/>
        <v>89.44023367372267</v>
      </c>
      <c r="J25" s="110">
        <f>H25-'[3]Oktobris'!H25-1</f>
        <v>56049</v>
      </c>
    </row>
    <row r="26" spans="1:206" s="4" customFormat="1" ht="12.75">
      <c r="A26" s="30" t="s">
        <v>206</v>
      </c>
      <c r="B26" s="108">
        <v>473580496</v>
      </c>
      <c r="C26" s="108"/>
      <c r="D26" s="109">
        <f t="shared" si="0"/>
        <v>0</v>
      </c>
      <c r="E26" s="104">
        <f t="shared" si="1"/>
        <v>0</v>
      </c>
      <c r="F26" s="30" t="s">
        <v>206</v>
      </c>
      <c r="G26" s="110">
        <v>476999</v>
      </c>
      <c r="H26" s="110">
        <v>422768</v>
      </c>
      <c r="I26" s="111">
        <f t="shared" si="2"/>
        <v>88.630793775249</v>
      </c>
      <c r="J26" s="110">
        <f>H26-'[3]Oktobris'!H26+1</f>
        <v>39402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</row>
    <row r="27" spans="1:206" s="4" customFormat="1" ht="12.75">
      <c r="A27" s="119" t="s">
        <v>207</v>
      </c>
      <c r="B27" s="108">
        <v>56546000</v>
      </c>
      <c r="C27" s="108"/>
      <c r="D27" s="109">
        <f t="shared" si="0"/>
        <v>0</v>
      </c>
      <c r="E27" s="104">
        <f t="shared" si="1"/>
        <v>0</v>
      </c>
      <c r="F27" s="119" t="s">
        <v>207</v>
      </c>
      <c r="G27" s="110">
        <v>46179</v>
      </c>
      <c r="H27" s="110">
        <v>42019</v>
      </c>
      <c r="I27" s="111">
        <f t="shared" si="2"/>
        <v>90.99157625760627</v>
      </c>
      <c r="J27" s="110">
        <f>H27-'[3]Oktobris'!H27</f>
        <v>3993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</row>
    <row r="28" spans="1:206" s="4" customFormat="1" ht="12.75">
      <c r="A28" s="119" t="s">
        <v>208</v>
      </c>
      <c r="B28" s="108">
        <v>74152400</v>
      </c>
      <c r="C28" s="108"/>
      <c r="D28" s="109">
        <f t="shared" si="0"/>
        <v>0</v>
      </c>
      <c r="E28" s="104">
        <f t="shared" si="1"/>
        <v>0</v>
      </c>
      <c r="F28" s="119" t="s">
        <v>208</v>
      </c>
      <c r="G28" s="110">
        <v>74152</v>
      </c>
      <c r="H28" s="110">
        <v>66344</v>
      </c>
      <c r="I28" s="111">
        <f t="shared" si="2"/>
        <v>89.47027726831374</v>
      </c>
      <c r="J28" s="110">
        <f>H28-'[3]Oktobris'!H28</f>
        <v>5937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</row>
    <row r="29" spans="1:206" s="4" customFormat="1" ht="12.75">
      <c r="A29" s="114" t="s">
        <v>209</v>
      </c>
      <c r="B29" s="108">
        <v>3371252</v>
      </c>
      <c r="C29" s="108"/>
      <c r="D29" s="109">
        <f t="shared" si="0"/>
        <v>0</v>
      </c>
      <c r="E29" s="104">
        <f t="shared" si="1"/>
        <v>0</v>
      </c>
      <c r="F29" s="114" t="s">
        <v>209</v>
      </c>
      <c r="G29" s="110">
        <v>2110</v>
      </c>
      <c r="H29" s="110">
        <v>1134</v>
      </c>
      <c r="I29" s="111">
        <f t="shared" si="2"/>
        <v>53.74407582938389</v>
      </c>
      <c r="J29" s="110">
        <f>H29-'[3]Oktobris'!H29</f>
        <v>120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</row>
    <row r="30" spans="1:206" s="4" customFormat="1" ht="12.75">
      <c r="A30" s="30" t="s">
        <v>210</v>
      </c>
      <c r="B30" s="108">
        <v>92112074</v>
      </c>
      <c r="C30" s="108"/>
      <c r="D30" s="109">
        <f t="shared" si="0"/>
        <v>0</v>
      </c>
      <c r="E30" s="104">
        <f t="shared" si="1"/>
        <v>0</v>
      </c>
      <c r="F30" s="30" t="s">
        <v>210</v>
      </c>
      <c r="G30" s="110">
        <v>93492</v>
      </c>
      <c r="H30" s="110">
        <v>87495</v>
      </c>
      <c r="I30" s="111">
        <f t="shared" si="2"/>
        <v>93.58554742651778</v>
      </c>
      <c r="J30" s="110">
        <f>H30-'[3]Oktobris'!H30-2</f>
        <v>6597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</row>
    <row r="31" spans="1:206" s="4" customFormat="1" ht="12.75">
      <c r="A31" s="120" t="s">
        <v>211</v>
      </c>
      <c r="B31" s="108">
        <v>62349187</v>
      </c>
      <c r="C31" s="108"/>
      <c r="D31" s="109">
        <f t="shared" si="0"/>
        <v>0</v>
      </c>
      <c r="E31" s="104">
        <f t="shared" si="1"/>
        <v>0</v>
      </c>
      <c r="F31" s="120" t="s">
        <v>211</v>
      </c>
      <c r="G31" s="116">
        <v>63228</v>
      </c>
      <c r="H31" s="108">
        <v>58010</v>
      </c>
      <c r="I31" s="118">
        <f t="shared" si="2"/>
        <v>91.74732713354842</v>
      </c>
      <c r="J31" s="116">
        <f>H31-'[3]Oktobris'!H31</f>
        <v>4716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</row>
    <row r="32" spans="1:10" ht="22.5" customHeight="1">
      <c r="A32" s="38" t="s">
        <v>212</v>
      </c>
      <c r="B32" s="104">
        <f>SUM(B24-B31)</f>
        <v>637413035</v>
      </c>
      <c r="C32" s="104">
        <f>SUM(C24-C31)</f>
        <v>0</v>
      </c>
      <c r="D32" s="106">
        <f t="shared" si="0"/>
        <v>0</v>
      </c>
      <c r="E32" s="104">
        <f t="shared" si="1"/>
        <v>0</v>
      </c>
      <c r="F32" s="38" t="s">
        <v>212</v>
      </c>
      <c r="G32" s="107">
        <f>SUM(G24-G31)</f>
        <v>629704</v>
      </c>
      <c r="H32" s="107">
        <f>SUM(H24-H31)</f>
        <v>561750</v>
      </c>
      <c r="I32" s="23">
        <f t="shared" si="2"/>
        <v>89.20858053942806</v>
      </c>
      <c r="J32" s="107">
        <f>H32-'[3]Oktobris'!H32</f>
        <v>51334</v>
      </c>
    </row>
    <row r="33" spans="1:10" ht="29.25" customHeight="1">
      <c r="A33" s="121" t="s">
        <v>213</v>
      </c>
      <c r="B33" s="104">
        <f>SUM(B34:B36)</f>
        <v>1439743280</v>
      </c>
      <c r="C33" s="104">
        <f>SUM(C34:C36)</f>
        <v>0</v>
      </c>
      <c r="D33" s="106">
        <f t="shared" si="0"/>
        <v>0</v>
      </c>
      <c r="E33" s="104">
        <f t="shared" si="1"/>
        <v>0</v>
      </c>
      <c r="F33" s="121" t="s">
        <v>213</v>
      </c>
      <c r="G33" s="107">
        <f>SUM(G34:G36)</f>
        <v>1449913</v>
      </c>
      <c r="H33" s="107">
        <f>SUM(H34:H36)</f>
        <v>1263444</v>
      </c>
      <c r="I33" s="23">
        <f t="shared" si="2"/>
        <v>87.13929732335664</v>
      </c>
      <c r="J33" s="107">
        <f>H33-'[3]Oktobris'!H33</f>
        <v>126969</v>
      </c>
    </row>
    <row r="34" spans="1:10" ht="28.5" customHeight="1">
      <c r="A34" s="121" t="s">
        <v>214</v>
      </c>
      <c r="B34" s="104">
        <f>SUM(B46+B63)</f>
        <v>1338259956</v>
      </c>
      <c r="C34" s="104">
        <f>SUM(C46+C63)</f>
        <v>0</v>
      </c>
      <c r="D34" s="106">
        <f t="shared" si="0"/>
        <v>0</v>
      </c>
      <c r="E34" s="104">
        <f t="shared" si="1"/>
        <v>0</v>
      </c>
      <c r="F34" s="121" t="s">
        <v>214</v>
      </c>
      <c r="G34" s="107">
        <f>SUM(G46+G63)</f>
        <v>1348589</v>
      </c>
      <c r="H34" s="107">
        <f>SUM(H46+H63)</f>
        <v>1190275</v>
      </c>
      <c r="I34" s="23">
        <f t="shared" si="2"/>
        <v>88.26076736500148</v>
      </c>
      <c r="J34" s="107">
        <f>H34-'[3]Oktobris'!H34</f>
        <v>118624</v>
      </c>
    </row>
    <row r="35" spans="1:10" ht="25.5" customHeight="1">
      <c r="A35" s="121" t="s">
        <v>215</v>
      </c>
      <c r="B35" s="104">
        <f>SUM(B48+B65)</f>
        <v>34787269</v>
      </c>
      <c r="C35" s="104">
        <f>SUM(C48+C65)</f>
        <v>0</v>
      </c>
      <c r="D35" s="106">
        <f t="shared" si="0"/>
        <v>0</v>
      </c>
      <c r="E35" s="104">
        <f t="shared" si="1"/>
        <v>0</v>
      </c>
      <c r="F35" s="121" t="s">
        <v>215</v>
      </c>
      <c r="G35" s="107">
        <f>SUM(G48+G65)</f>
        <v>36580</v>
      </c>
      <c r="H35" s="107">
        <f>SUM(H48+H65)</f>
        <v>27035</v>
      </c>
      <c r="I35" s="23">
        <f t="shared" si="2"/>
        <v>73.90650628758884</v>
      </c>
      <c r="J35" s="107">
        <f>H35-'[3]Oktobris'!H35</f>
        <v>4353</v>
      </c>
    </row>
    <row r="36" spans="1:10" ht="30" customHeight="1">
      <c r="A36" s="121" t="s">
        <v>216</v>
      </c>
      <c r="B36" s="104">
        <f>SUM(B51+B67)</f>
        <v>66696055</v>
      </c>
      <c r="C36" s="104">
        <f>SUM(C51+C67)</f>
        <v>0</v>
      </c>
      <c r="D36" s="106">
        <f t="shared" si="0"/>
        <v>0</v>
      </c>
      <c r="E36" s="104">
        <f t="shared" si="1"/>
        <v>0</v>
      </c>
      <c r="F36" s="121" t="s">
        <v>216</v>
      </c>
      <c r="G36" s="107">
        <f>SUM(G51+G67)</f>
        <v>64744</v>
      </c>
      <c r="H36" s="107">
        <f>SUM(H51+H67)</f>
        <v>46134</v>
      </c>
      <c r="I36" s="23">
        <f t="shared" si="2"/>
        <v>71.2560237242061</v>
      </c>
      <c r="J36" s="107">
        <f>H36-'[3]Oktobris'!H36</f>
        <v>3992</v>
      </c>
    </row>
    <row r="37" spans="1:10" ht="29.25" customHeight="1">
      <c r="A37" s="121" t="s">
        <v>217</v>
      </c>
      <c r="B37" s="104">
        <f>SUM(B9-B33)</f>
        <v>-66000176</v>
      </c>
      <c r="C37" s="104">
        <f>SUM(C9-C33)</f>
        <v>0</v>
      </c>
      <c r="D37" s="106">
        <f t="shared" si="0"/>
        <v>0</v>
      </c>
      <c r="E37" s="104">
        <f t="shared" si="1"/>
        <v>0</v>
      </c>
      <c r="F37" s="121" t="s">
        <v>217</v>
      </c>
      <c r="G37" s="107">
        <f>SUM(G9-G33)</f>
        <v>-114728</v>
      </c>
      <c r="H37" s="107">
        <f>SUM(H9-H33)</f>
        <v>-84050</v>
      </c>
      <c r="I37" s="23">
        <f t="shared" si="2"/>
        <v>73.2602328986821</v>
      </c>
      <c r="J37" s="107">
        <f>H37-'[3]Oktobris'!H37</f>
        <v>-16677</v>
      </c>
    </row>
    <row r="38" spans="1:10" ht="25.5">
      <c r="A38" s="121" t="s">
        <v>218</v>
      </c>
      <c r="B38" s="104">
        <f>SUM(B53+B69)</f>
        <v>14499012</v>
      </c>
      <c r="C38" s="104">
        <f>SUM(C53+C69)</f>
        <v>0</v>
      </c>
      <c r="D38" s="106">
        <f t="shared" si="0"/>
        <v>0</v>
      </c>
      <c r="E38" s="104">
        <f t="shared" si="1"/>
        <v>0</v>
      </c>
      <c r="F38" s="121" t="s">
        <v>218</v>
      </c>
      <c r="G38" s="107">
        <f>SUM(G53+G69)</f>
        <v>14562</v>
      </c>
      <c r="H38" s="107">
        <f>SUM(H53+H69)</f>
        <v>14082</v>
      </c>
      <c r="I38" s="23">
        <f t="shared" si="2"/>
        <v>96.70374948496085</v>
      </c>
      <c r="J38" s="107">
        <f>H38-'[3]Oktobris'!H38</f>
        <v>2059</v>
      </c>
    </row>
    <row r="39" spans="1:10" ht="25.5">
      <c r="A39" s="121" t="s">
        <v>219</v>
      </c>
      <c r="B39" s="104">
        <f>SUM(B33+B38)</f>
        <v>1454242292</v>
      </c>
      <c r="C39" s="104">
        <f>SUM(C33+C38)</f>
        <v>0</v>
      </c>
      <c r="D39" s="106">
        <f t="shared" si="0"/>
        <v>0</v>
      </c>
      <c r="E39" s="104">
        <f t="shared" si="1"/>
        <v>0</v>
      </c>
      <c r="F39" s="121" t="s">
        <v>219</v>
      </c>
      <c r="G39" s="107">
        <f>SUM(G33+G38)</f>
        <v>1464475</v>
      </c>
      <c r="H39" s="107">
        <f>SUM(H33+H38)</f>
        <v>1277526</v>
      </c>
      <c r="I39" s="23">
        <f t="shared" si="2"/>
        <v>87.23440140664744</v>
      </c>
      <c r="J39" s="107">
        <f>H39-'[3]Oktobris'!H39</f>
        <v>129028</v>
      </c>
    </row>
    <row r="40" spans="1:10" ht="27" customHeight="1">
      <c r="A40" s="121" t="s">
        <v>220</v>
      </c>
      <c r="B40" s="104">
        <f>IF((B37-B38=B9-B39)=TRUE,B37-B38,9)</f>
        <v>-80499188</v>
      </c>
      <c r="C40" s="107">
        <f>C37-C38</f>
        <v>0</v>
      </c>
      <c r="D40" s="106">
        <f t="shared" si="0"/>
        <v>0</v>
      </c>
      <c r="E40" s="104">
        <f t="shared" si="1"/>
        <v>0</v>
      </c>
      <c r="F40" s="121" t="s">
        <v>220</v>
      </c>
      <c r="G40" s="107">
        <f>IF((G37-G38=G9-G39)=TRUE,G37-G38,9)</f>
        <v>-129290</v>
      </c>
      <c r="H40" s="107">
        <f>IF((H37-H38=H9-H39)=TRUE,H37-H38,9)</f>
        <v>-98132</v>
      </c>
      <c r="I40" s="23">
        <f t="shared" si="2"/>
        <v>75.900688374971</v>
      </c>
      <c r="J40" s="107">
        <f>H40-'[3]Oktobris'!H40</f>
        <v>-18736</v>
      </c>
    </row>
    <row r="41" spans="1:10" ht="15.75" customHeight="1">
      <c r="A41" s="38" t="s">
        <v>221</v>
      </c>
      <c r="B41" s="104">
        <f>B44+B47+B49</f>
        <v>759846889</v>
      </c>
      <c r="C41" s="104">
        <f>C44+C47+C49</f>
        <v>0</v>
      </c>
      <c r="D41" s="106">
        <f t="shared" si="0"/>
        <v>0</v>
      </c>
      <c r="E41" s="104">
        <f t="shared" si="1"/>
        <v>0</v>
      </c>
      <c r="F41" s="38" t="s">
        <v>221</v>
      </c>
      <c r="G41" s="107">
        <f>G44+G47+G49</f>
        <v>776755</v>
      </c>
      <c r="H41" s="107">
        <f>H44+H47+H49</f>
        <v>666403</v>
      </c>
      <c r="I41" s="23">
        <f t="shared" si="2"/>
        <v>85.7932037772528</v>
      </c>
      <c r="J41" s="107">
        <f>H41-'[3]Oktobris'!H41+1</f>
        <v>70426</v>
      </c>
    </row>
    <row r="42" spans="1:10" ht="12.75">
      <c r="A42" s="122" t="s">
        <v>222</v>
      </c>
      <c r="B42" s="108">
        <f>B45+B50</f>
        <v>62349187</v>
      </c>
      <c r="C42" s="108">
        <f>C45+C50</f>
        <v>0</v>
      </c>
      <c r="D42" s="109">
        <f t="shared" si="0"/>
        <v>0</v>
      </c>
      <c r="E42" s="104">
        <f t="shared" si="1"/>
        <v>0</v>
      </c>
      <c r="F42" s="122" t="s">
        <v>222</v>
      </c>
      <c r="G42" s="116">
        <f>G45+G50</f>
        <v>63228</v>
      </c>
      <c r="H42" s="116">
        <f>H45+H50</f>
        <v>58010</v>
      </c>
      <c r="I42" s="118">
        <f t="shared" si="2"/>
        <v>91.74732713354842</v>
      </c>
      <c r="J42" s="116">
        <f>H42-'[3]Oktobris'!H42</f>
        <v>4716</v>
      </c>
    </row>
    <row r="43" spans="1:10" ht="20.25" customHeight="1">
      <c r="A43" s="38" t="s">
        <v>223</v>
      </c>
      <c r="B43" s="104">
        <f>SUM(B41-B42)</f>
        <v>697497702</v>
      </c>
      <c r="C43" s="104">
        <f>SUM(C41-C42)</f>
        <v>0</v>
      </c>
      <c r="D43" s="106">
        <f t="shared" si="0"/>
        <v>0</v>
      </c>
      <c r="E43" s="104">
        <f t="shared" si="1"/>
        <v>0</v>
      </c>
      <c r="F43" s="38" t="s">
        <v>223</v>
      </c>
      <c r="G43" s="107">
        <f>SUM(G41-G42)</f>
        <v>713527</v>
      </c>
      <c r="H43" s="107">
        <f>SUM(H41-H42)</f>
        <v>608393</v>
      </c>
      <c r="I43" s="23">
        <f t="shared" si="2"/>
        <v>85.26558910875131</v>
      </c>
      <c r="J43" s="107">
        <f>H43-'[3]Oktobris'!H43</f>
        <v>65709</v>
      </c>
    </row>
    <row r="44" spans="1:10" ht="12.75">
      <c r="A44" s="28" t="s">
        <v>224</v>
      </c>
      <c r="B44" s="108">
        <v>694317503</v>
      </c>
      <c r="C44" s="108"/>
      <c r="D44" s="109">
        <f t="shared" si="0"/>
        <v>0</v>
      </c>
      <c r="E44" s="104">
        <f t="shared" si="1"/>
        <v>0</v>
      </c>
      <c r="F44" s="28" t="s">
        <v>224</v>
      </c>
      <c r="G44" s="110">
        <v>705633</v>
      </c>
      <c r="H44" s="110">
        <v>615697</v>
      </c>
      <c r="I44" s="111">
        <f t="shared" si="2"/>
        <v>87.25456434152031</v>
      </c>
      <c r="J44" s="110">
        <f>H44-'[3]Oktobris'!H44</f>
        <v>64117</v>
      </c>
    </row>
    <row r="45" spans="1:10" ht="12.75">
      <c r="A45" s="120" t="s">
        <v>225</v>
      </c>
      <c r="B45" s="108">
        <v>60907187</v>
      </c>
      <c r="C45" s="108"/>
      <c r="D45" s="109">
        <f t="shared" si="0"/>
        <v>0</v>
      </c>
      <c r="E45" s="104">
        <f t="shared" si="1"/>
        <v>0</v>
      </c>
      <c r="F45" s="120" t="s">
        <v>225</v>
      </c>
      <c r="G45" s="116">
        <v>61786</v>
      </c>
      <c r="H45" s="116">
        <v>56568</v>
      </c>
      <c r="I45" s="118">
        <f t="shared" si="2"/>
        <v>91.55472113423752</v>
      </c>
      <c r="J45" s="116">
        <f>H45-'[3]Oktobris'!H45</f>
        <v>4680</v>
      </c>
    </row>
    <row r="46" spans="1:10" ht="15" customHeight="1">
      <c r="A46" s="38" t="s">
        <v>226</v>
      </c>
      <c r="B46" s="104">
        <f>SUM(B44-B45)</f>
        <v>633410316</v>
      </c>
      <c r="C46" s="104">
        <f>SUM(C44-C45)</f>
        <v>0</v>
      </c>
      <c r="D46" s="106">
        <f t="shared" si="0"/>
        <v>0</v>
      </c>
      <c r="E46" s="104">
        <f t="shared" si="1"/>
        <v>0</v>
      </c>
      <c r="F46" s="38" t="s">
        <v>226</v>
      </c>
      <c r="G46" s="107">
        <f>SUM(G44-G45)</f>
        <v>643847</v>
      </c>
      <c r="H46" s="107">
        <f>SUM(H44-H45)</f>
        <v>559129</v>
      </c>
      <c r="I46" s="23">
        <f t="shared" si="2"/>
        <v>86.84190498674374</v>
      </c>
      <c r="J46" s="107">
        <f>H46-'[3]Oktobris'!H46</f>
        <v>59437</v>
      </c>
    </row>
    <row r="47" spans="1:10" ht="15.75" customHeight="1">
      <c r="A47" s="28" t="s">
        <v>227</v>
      </c>
      <c r="B47" s="108">
        <v>24236583</v>
      </c>
      <c r="C47" s="108"/>
      <c r="D47" s="109">
        <f t="shared" si="0"/>
        <v>0</v>
      </c>
      <c r="E47" s="104">
        <f t="shared" si="1"/>
        <v>0</v>
      </c>
      <c r="F47" s="28" t="s">
        <v>227</v>
      </c>
      <c r="G47" s="110">
        <v>25544</v>
      </c>
      <c r="H47" s="110">
        <v>18048</v>
      </c>
      <c r="I47" s="111">
        <f t="shared" si="2"/>
        <v>70.65455684309427</v>
      </c>
      <c r="J47" s="110">
        <f>H47-'[3]Oktobris'!H47</f>
        <v>3603</v>
      </c>
    </row>
    <row r="48" spans="1:10" ht="12.75">
      <c r="A48" s="38" t="s">
        <v>228</v>
      </c>
      <c r="B48" s="104">
        <f>SUM(B47)</f>
        <v>24236583</v>
      </c>
      <c r="C48" s="104">
        <f>SUM(C47)</f>
        <v>0</v>
      </c>
      <c r="D48" s="106">
        <f t="shared" si="0"/>
        <v>0</v>
      </c>
      <c r="E48" s="104">
        <f t="shared" si="1"/>
        <v>0</v>
      </c>
      <c r="F48" s="38" t="s">
        <v>228</v>
      </c>
      <c r="G48" s="107">
        <f>SUM(G47)</f>
        <v>25544</v>
      </c>
      <c r="H48" s="107">
        <f>SUM(H47)</f>
        <v>18048</v>
      </c>
      <c r="I48" s="23">
        <f t="shared" si="2"/>
        <v>70.65455684309427</v>
      </c>
      <c r="J48" s="107">
        <f>H48-'[3]Oktobris'!H48</f>
        <v>3603</v>
      </c>
    </row>
    <row r="49" spans="1:10" ht="12.75">
      <c r="A49" s="28" t="s">
        <v>229</v>
      </c>
      <c r="B49" s="108">
        <v>41292803</v>
      </c>
      <c r="C49" s="108"/>
      <c r="D49" s="109">
        <f t="shared" si="0"/>
        <v>0</v>
      </c>
      <c r="E49" s="104">
        <f t="shared" si="1"/>
        <v>0</v>
      </c>
      <c r="F49" s="28" t="s">
        <v>229</v>
      </c>
      <c r="G49" s="110">
        <v>45578</v>
      </c>
      <c r="H49" s="110">
        <v>32658</v>
      </c>
      <c r="I49" s="111">
        <f t="shared" si="2"/>
        <v>71.65299047786212</v>
      </c>
      <c r="J49" s="110">
        <f>H49-'[3]Oktobris'!H49+1</f>
        <v>2706</v>
      </c>
    </row>
    <row r="50" spans="1:206" s="28" customFormat="1" ht="12.75">
      <c r="A50" s="120" t="s">
        <v>230</v>
      </c>
      <c r="B50" s="108">
        <v>1442000</v>
      </c>
      <c r="C50" s="108"/>
      <c r="D50" s="109">
        <f t="shared" si="0"/>
        <v>0</v>
      </c>
      <c r="E50" s="104">
        <f t="shared" si="1"/>
        <v>0</v>
      </c>
      <c r="F50" s="120" t="s">
        <v>230</v>
      </c>
      <c r="G50" s="116">
        <f>ROUND(B50/1000,0)</f>
        <v>1442</v>
      </c>
      <c r="H50" s="116">
        <v>1442</v>
      </c>
      <c r="I50" s="118">
        <f t="shared" si="2"/>
        <v>100</v>
      </c>
      <c r="J50" s="116">
        <f>H50-'[3]Oktobris'!H50</f>
        <v>36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</row>
    <row r="51" spans="1:206" s="28" customFormat="1" ht="17.25" customHeight="1">
      <c r="A51" s="38" t="s">
        <v>231</v>
      </c>
      <c r="B51" s="104">
        <f>SUM(B49-B50)</f>
        <v>39850803</v>
      </c>
      <c r="C51" s="104">
        <f>SUM(C49-C50)</f>
        <v>0</v>
      </c>
      <c r="D51" s="106">
        <f t="shared" si="0"/>
        <v>0</v>
      </c>
      <c r="E51" s="104">
        <f t="shared" si="1"/>
        <v>0</v>
      </c>
      <c r="F51" s="38" t="s">
        <v>231</v>
      </c>
      <c r="G51" s="107">
        <f>SUM(G49-G50)</f>
        <v>44136</v>
      </c>
      <c r="H51" s="107">
        <f>SUM(H49-H50)</f>
        <v>31216</v>
      </c>
      <c r="I51" s="23">
        <f t="shared" si="2"/>
        <v>70.7268442994381</v>
      </c>
      <c r="J51" s="107">
        <f>H51-'[3]Oktobris'!H51</f>
        <v>2669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</row>
    <row r="52" spans="1:206" s="28" customFormat="1" ht="30" customHeight="1">
      <c r="A52" s="121" t="s">
        <v>232</v>
      </c>
      <c r="B52" s="104">
        <f>SUM(B10-B41)</f>
        <v>-22315620</v>
      </c>
      <c r="C52" s="104">
        <f>SUM(C10-C41)</f>
        <v>0</v>
      </c>
      <c r="D52" s="106">
        <f t="shared" si="0"/>
        <v>0</v>
      </c>
      <c r="E52" s="104">
        <f t="shared" si="1"/>
        <v>0</v>
      </c>
      <c r="F52" s="121" t="s">
        <v>232</v>
      </c>
      <c r="G52" s="107">
        <f>SUM(G10-G41)</f>
        <v>-70073</v>
      </c>
      <c r="H52" s="107">
        <f>SUM(H10-H41)</f>
        <v>-47658</v>
      </c>
      <c r="I52" s="23">
        <f t="shared" si="2"/>
        <v>68.01193041542392</v>
      </c>
      <c r="J52" s="107">
        <f>H52-'[3]Oktobris'!H52</f>
        <v>-11367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</row>
    <row r="53" spans="1:206" s="28" customFormat="1" ht="17.25" customHeight="1">
      <c r="A53" s="38" t="s">
        <v>233</v>
      </c>
      <c r="B53" s="104">
        <f>B56</f>
        <v>7759392</v>
      </c>
      <c r="C53" s="104"/>
      <c r="D53" s="106">
        <f t="shared" si="0"/>
        <v>0</v>
      </c>
      <c r="E53" s="104">
        <f t="shared" si="1"/>
        <v>0</v>
      </c>
      <c r="F53" s="38" t="s">
        <v>233</v>
      </c>
      <c r="G53" s="107">
        <f>G56</f>
        <v>7822</v>
      </c>
      <c r="H53" s="107">
        <f>H56</f>
        <v>9398</v>
      </c>
      <c r="I53" s="23">
        <f t="shared" si="2"/>
        <v>120.14829966760419</v>
      </c>
      <c r="J53" s="107">
        <f>H53-'[3]Oktobris'!H53</f>
        <v>1241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</row>
    <row r="54" spans="1:206" s="28" customFormat="1" ht="16.5" customHeight="1">
      <c r="A54" s="28" t="s">
        <v>234</v>
      </c>
      <c r="B54" s="108">
        <v>55987963</v>
      </c>
      <c r="C54" s="108"/>
      <c r="D54" s="109">
        <f t="shared" si="0"/>
        <v>0</v>
      </c>
      <c r="E54" s="104">
        <f t="shared" si="1"/>
        <v>0</v>
      </c>
      <c r="F54" s="28" t="s">
        <v>235</v>
      </c>
      <c r="G54" s="110">
        <v>54889</v>
      </c>
      <c r="H54" s="110">
        <v>56150</v>
      </c>
      <c r="I54" s="111">
        <f t="shared" si="2"/>
        <v>102.29736377051867</v>
      </c>
      <c r="J54" s="110">
        <f>H54-'[3]Oktobris'!H54</f>
        <v>2771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</row>
    <row r="55" spans="1:206" s="28" customFormat="1" ht="12.75" customHeight="1">
      <c r="A55" s="120" t="s">
        <v>230</v>
      </c>
      <c r="B55" s="108">
        <v>48228571</v>
      </c>
      <c r="C55" s="108"/>
      <c r="D55" s="109">
        <f t="shared" si="0"/>
        <v>0</v>
      </c>
      <c r="E55" s="104">
        <f t="shared" si="1"/>
        <v>0</v>
      </c>
      <c r="F55" s="120" t="s">
        <v>230</v>
      </c>
      <c r="G55" s="116">
        <v>47067</v>
      </c>
      <c r="H55" s="116">
        <v>46752</v>
      </c>
      <c r="I55" s="118">
        <f t="shared" si="2"/>
        <v>99.33074128370197</v>
      </c>
      <c r="J55" s="116">
        <f>H55-'[3]Oktobris'!H55</f>
        <v>1530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</row>
    <row r="56" spans="1:206" s="28" customFormat="1" ht="15" customHeight="1">
      <c r="A56" s="28" t="s">
        <v>236</v>
      </c>
      <c r="B56" s="108">
        <f>B54-B55</f>
        <v>7759392</v>
      </c>
      <c r="C56" s="108"/>
      <c r="D56" s="109">
        <f t="shared" si="0"/>
        <v>0</v>
      </c>
      <c r="E56" s="104">
        <f t="shared" si="1"/>
        <v>0</v>
      </c>
      <c r="F56" s="28" t="s">
        <v>236</v>
      </c>
      <c r="G56" s="110">
        <f>G54-G55</f>
        <v>7822</v>
      </c>
      <c r="H56" s="110">
        <f>SUM(H54-H55)</f>
        <v>9398</v>
      </c>
      <c r="I56" s="111">
        <f t="shared" si="2"/>
        <v>120.14829966760419</v>
      </c>
      <c r="J56" s="110">
        <f>H56-'[3]Oktobris'!H56</f>
        <v>1241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</row>
    <row r="57" spans="1:206" s="28" customFormat="1" ht="32.25" customHeight="1">
      <c r="A57" s="121" t="s">
        <v>237</v>
      </c>
      <c r="B57" s="104">
        <f>B52-B54</f>
        <v>-78303583</v>
      </c>
      <c r="C57" s="104">
        <f>C52-C54</f>
        <v>0</v>
      </c>
      <c r="D57" s="106">
        <f t="shared" si="0"/>
        <v>0</v>
      </c>
      <c r="E57" s="104">
        <f t="shared" si="1"/>
        <v>0</v>
      </c>
      <c r="F57" s="121" t="s">
        <v>238</v>
      </c>
      <c r="G57" s="107">
        <f>G52-G54</f>
        <v>-124962</v>
      </c>
      <c r="H57" s="107">
        <f>H52-H54</f>
        <v>-103808</v>
      </c>
      <c r="I57" s="23">
        <f t="shared" si="2"/>
        <v>83.07165378274995</v>
      </c>
      <c r="J57" s="107">
        <f>H57-'[3]Oktobris'!H57</f>
        <v>-14138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</row>
    <row r="58" spans="1:206" s="28" customFormat="1" ht="17.25" customHeight="1">
      <c r="A58" s="38" t="s">
        <v>239</v>
      </c>
      <c r="B58" s="104">
        <v>743446778</v>
      </c>
      <c r="C58" s="104">
        <f>C61+C64+C66</f>
        <v>0</v>
      </c>
      <c r="D58" s="106">
        <f t="shared" si="0"/>
        <v>0</v>
      </c>
      <c r="E58" s="104">
        <f t="shared" si="1"/>
        <v>0</v>
      </c>
      <c r="F58" s="38" t="s">
        <v>239</v>
      </c>
      <c r="G58" s="107">
        <f>G61+G64+G66</f>
        <v>737587</v>
      </c>
      <c r="H58" s="107">
        <f>H61+H64+H66</f>
        <v>656152</v>
      </c>
      <c r="I58" s="23">
        <f t="shared" si="2"/>
        <v>88.95926853374586</v>
      </c>
      <c r="J58" s="107">
        <f>H58-'[3]Oktobris'!H58-1</f>
        <v>61359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</row>
    <row r="59" spans="1:206" s="28" customFormat="1" ht="12.75" customHeight="1">
      <c r="A59" s="120" t="s">
        <v>240</v>
      </c>
      <c r="B59" s="108">
        <f>B62</f>
        <v>1201200</v>
      </c>
      <c r="C59" s="108">
        <f>C22</f>
        <v>0</v>
      </c>
      <c r="D59" s="109">
        <f t="shared" si="0"/>
        <v>0</v>
      </c>
      <c r="E59" s="104">
        <f t="shared" si="1"/>
        <v>0</v>
      </c>
      <c r="F59" s="120" t="s">
        <v>240</v>
      </c>
      <c r="G59" s="116">
        <f>G62</f>
        <v>1201</v>
      </c>
      <c r="H59" s="116">
        <f>H62</f>
        <v>1101</v>
      </c>
      <c r="I59" s="118">
        <f t="shared" si="2"/>
        <v>91.67360532889259</v>
      </c>
      <c r="J59" s="116">
        <f>H59-'[3]Oktobris'!H59</f>
        <v>100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</row>
    <row r="60" spans="1:206" s="28" customFormat="1" ht="19.5" customHeight="1">
      <c r="A60" s="38" t="s">
        <v>241</v>
      </c>
      <c r="B60" s="104">
        <f>SUM(B58-B59)</f>
        <v>742245578</v>
      </c>
      <c r="C60" s="104">
        <f>SUM(C58-C59)</f>
        <v>0</v>
      </c>
      <c r="D60" s="106">
        <f t="shared" si="0"/>
        <v>0</v>
      </c>
      <c r="E60" s="104">
        <f t="shared" si="1"/>
        <v>0</v>
      </c>
      <c r="F60" s="38" t="s">
        <v>241</v>
      </c>
      <c r="G60" s="107">
        <f>SUM(G58-G59)</f>
        <v>736386</v>
      </c>
      <c r="H60" s="107">
        <f>SUM(H58-H59)</f>
        <v>655051</v>
      </c>
      <c r="I60" s="23">
        <f t="shared" si="2"/>
        <v>88.95484161839036</v>
      </c>
      <c r="J60" s="107">
        <f>H60-'[3]Oktobris'!H60</f>
        <v>61260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</row>
    <row r="61" spans="1:206" s="28" customFormat="1" ht="15.75" customHeight="1">
      <c r="A61" s="28" t="s">
        <v>242</v>
      </c>
      <c r="B61" s="108">
        <v>706050840</v>
      </c>
      <c r="C61" s="108"/>
      <c r="D61" s="109">
        <f t="shared" si="0"/>
        <v>0</v>
      </c>
      <c r="E61" s="104">
        <f t="shared" si="1"/>
        <v>0</v>
      </c>
      <c r="F61" s="28" t="s">
        <v>242</v>
      </c>
      <c r="G61" s="110">
        <v>705943</v>
      </c>
      <c r="H61" s="110">
        <v>632247</v>
      </c>
      <c r="I61" s="111">
        <f t="shared" si="2"/>
        <v>89.56063024918443</v>
      </c>
      <c r="J61" s="110">
        <f>H61-'[3]Oktobris'!H61-2</f>
        <v>59285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</row>
    <row r="62" spans="1:206" s="28" customFormat="1" ht="12.75" customHeight="1">
      <c r="A62" s="120" t="s">
        <v>243</v>
      </c>
      <c r="B62" s="108">
        <v>1201200</v>
      </c>
      <c r="C62" s="108">
        <f>C22</f>
        <v>0</v>
      </c>
      <c r="D62" s="109">
        <f t="shared" si="0"/>
        <v>0</v>
      </c>
      <c r="E62" s="104">
        <f t="shared" si="1"/>
        <v>0</v>
      </c>
      <c r="F62" s="120" t="s">
        <v>243</v>
      </c>
      <c r="G62" s="116">
        <f>ROUND(B62/1000,0)</f>
        <v>1201</v>
      </c>
      <c r="H62" s="117">
        <v>1101</v>
      </c>
      <c r="I62" s="118">
        <f t="shared" si="2"/>
        <v>91.67360532889259</v>
      </c>
      <c r="J62" s="116">
        <f>H62-'[3]Oktobris'!H62</f>
        <v>100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</row>
    <row r="63" spans="1:206" s="28" customFormat="1" ht="19.5" customHeight="1">
      <c r="A63" s="38" t="s">
        <v>244</v>
      </c>
      <c r="B63" s="104">
        <f>SUM(B61-B62)</f>
        <v>704849640</v>
      </c>
      <c r="C63" s="104">
        <f>SUM(C61-C62)</f>
        <v>0</v>
      </c>
      <c r="D63" s="106">
        <f t="shared" si="0"/>
        <v>0</v>
      </c>
      <c r="E63" s="104">
        <f t="shared" si="1"/>
        <v>0</v>
      </c>
      <c r="F63" s="38" t="s">
        <v>244</v>
      </c>
      <c r="G63" s="107">
        <f>SUM(G61-G62)</f>
        <v>704742</v>
      </c>
      <c r="H63" s="107">
        <f>SUM(H61-H62)</f>
        <v>631146</v>
      </c>
      <c r="I63" s="23">
        <f t="shared" si="2"/>
        <v>89.55702938096495</v>
      </c>
      <c r="J63" s="107">
        <f>H63-'[3]Oktobris'!H63</f>
        <v>59187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</row>
    <row r="64" spans="1:206" s="28" customFormat="1" ht="17.25" customHeight="1">
      <c r="A64" s="28" t="s">
        <v>245</v>
      </c>
      <c r="B64" s="108">
        <v>10550686</v>
      </c>
      <c r="C64" s="108"/>
      <c r="D64" s="109">
        <f t="shared" si="0"/>
        <v>0</v>
      </c>
      <c r="E64" s="104">
        <f t="shared" si="1"/>
        <v>0</v>
      </c>
      <c r="F64" s="28" t="s">
        <v>245</v>
      </c>
      <c r="G64" s="110">
        <v>11036</v>
      </c>
      <c r="H64" s="110">
        <v>8987</v>
      </c>
      <c r="I64" s="111">
        <f t="shared" si="2"/>
        <v>81.43349039507068</v>
      </c>
      <c r="J64" s="110">
        <f>H64-'[3]Oktobris'!H64</f>
        <v>750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</row>
    <row r="65" spans="1:206" s="28" customFormat="1" ht="18.75" customHeight="1">
      <c r="A65" s="38" t="s">
        <v>246</v>
      </c>
      <c r="B65" s="104">
        <f>SUM(B64)</f>
        <v>10550686</v>
      </c>
      <c r="C65" s="104">
        <f>SUM(C64)</f>
        <v>0</v>
      </c>
      <c r="D65" s="106">
        <f t="shared" si="0"/>
        <v>0</v>
      </c>
      <c r="E65" s="104">
        <f t="shared" si="1"/>
        <v>0</v>
      </c>
      <c r="F65" s="38" t="s">
        <v>246</v>
      </c>
      <c r="G65" s="107">
        <f>SUM(G64)</f>
        <v>11036</v>
      </c>
      <c r="H65" s="107">
        <f>SUM(H64)</f>
        <v>8987</v>
      </c>
      <c r="I65" s="23">
        <f t="shared" si="2"/>
        <v>81.43349039507068</v>
      </c>
      <c r="J65" s="107">
        <f>H65-'[3]Oktobris'!H65</f>
        <v>750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</row>
    <row r="66" spans="1:206" s="28" customFormat="1" ht="18" customHeight="1">
      <c r="A66" s="28" t="s">
        <v>247</v>
      </c>
      <c r="B66" s="108">
        <v>26845252</v>
      </c>
      <c r="C66" s="108"/>
      <c r="D66" s="109">
        <f t="shared" si="0"/>
        <v>0</v>
      </c>
      <c r="E66" s="104">
        <f t="shared" si="1"/>
        <v>0</v>
      </c>
      <c r="F66" s="28" t="s">
        <v>247</v>
      </c>
      <c r="G66" s="110">
        <v>20608</v>
      </c>
      <c r="H66" s="110">
        <v>14918</v>
      </c>
      <c r="I66" s="111">
        <f t="shared" si="2"/>
        <v>72.38936335403726</v>
      </c>
      <c r="J66" s="110">
        <f>H66-'[3]Oktobris'!H66</f>
        <v>1323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</row>
    <row r="67" spans="1:206" s="28" customFormat="1" ht="12.75">
      <c r="A67" s="38" t="s">
        <v>248</v>
      </c>
      <c r="B67" s="104">
        <f>SUM(B66)</f>
        <v>26845252</v>
      </c>
      <c r="C67" s="104">
        <f>SUM(C66)</f>
        <v>0</v>
      </c>
      <c r="D67" s="106">
        <f t="shared" si="0"/>
        <v>0</v>
      </c>
      <c r="E67" s="104">
        <f t="shared" si="1"/>
        <v>0</v>
      </c>
      <c r="F67" s="38" t="s">
        <v>248</v>
      </c>
      <c r="G67" s="107">
        <f>SUM(G66)</f>
        <v>20608</v>
      </c>
      <c r="H67" s="107">
        <f>SUM(H66)</f>
        <v>14918</v>
      </c>
      <c r="I67" s="23">
        <f t="shared" si="2"/>
        <v>72.38936335403726</v>
      </c>
      <c r="J67" s="107">
        <f>H67-'[3]Oktobris'!H67</f>
        <v>1323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</row>
    <row r="68" spans="1:206" s="28" customFormat="1" ht="28.5" customHeight="1">
      <c r="A68" s="121" t="s">
        <v>249</v>
      </c>
      <c r="B68" s="104">
        <f>SUM(B24-B58)</f>
        <v>-43684556</v>
      </c>
      <c r="C68" s="104">
        <f>SUM(C24-C58)</f>
        <v>0</v>
      </c>
      <c r="D68" s="106">
        <f t="shared" si="0"/>
        <v>0</v>
      </c>
      <c r="E68" s="104">
        <f t="shared" si="1"/>
        <v>0</v>
      </c>
      <c r="F68" s="121" t="s">
        <v>249</v>
      </c>
      <c r="G68" s="107">
        <f>SUM(G24-G58)</f>
        <v>-44655</v>
      </c>
      <c r="H68" s="107">
        <f>SUM(H24-H58)</f>
        <v>-36392</v>
      </c>
      <c r="I68" s="23">
        <f t="shared" si="2"/>
        <v>81.49591311163363</v>
      </c>
      <c r="J68" s="107">
        <f>H68-'[3]Oktobris'!H68</f>
        <v>-5310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</row>
    <row r="69" spans="1:206" s="28" customFormat="1" ht="12.75">
      <c r="A69" s="38" t="s">
        <v>250</v>
      </c>
      <c r="B69" s="104">
        <f>SUM(B70)</f>
        <v>6739620</v>
      </c>
      <c r="C69" s="104"/>
      <c r="D69" s="106">
        <f t="shared" si="0"/>
        <v>0</v>
      </c>
      <c r="E69" s="104">
        <f t="shared" si="1"/>
        <v>0</v>
      </c>
      <c r="F69" s="38" t="s">
        <v>250</v>
      </c>
      <c r="G69" s="107">
        <f>SUM(G70)</f>
        <v>6740</v>
      </c>
      <c r="H69" s="107">
        <f>SUM(H70)</f>
        <v>4684</v>
      </c>
      <c r="I69" s="23">
        <f t="shared" si="2"/>
        <v>69.49554896142433</v>
      </c>
      <c r="J69" s="107">
        <f>H69-'[3]Oktobris'!H69</f>
        <v>818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</row>
    <row r="70" spans="1:206" s="28" customFormat="1" ht="15.75" customHeight="1">
      <c r="A70" s="28" t="s">
        <v>251</v>
      </c>
      <c r="B70" s="108">
        <v>6739620</v>
      </c>
      <c r="C70" s="108"/>
      <c r="D70" s="109">
        <f>IF(ISERROR(C70/B70)," ",(C70/B70))</f>
        <v>0</v>
      </c>
      <c r="E70" s="104">
        <f>C70</f>
        <v>0</v>
      </c>
      <c r="F70" s="28" t="s">
        <v>251</v>
      </c>
      <c r="G70" s="108">
        <f>ROUND(B70/1000,0)</f>
        <v>6740</v>
      </c>
      <c r="H70" s="108">
        <v>4684</v>
      </c>
      <c r="I70" s="36">
        <f t="shared" si="2"/>
        <v>69.49554896142433</v>
      </c>
      <c r="J70" s="108">
        <f>H70-'[3]Oktobris'!H70</f>
        <v>818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</row>
    <row r="71" spans="1:206" s="28" customFormat="1" ht="15.75" customHeight="1">
      <c r="A71" s="28" t="s">
        <v>252</v>
      </c>
      <c r="B71" s="108">
        <f>SUM(B70)</f>
        <v>6739620</v>
      </c>
      <c r="C71" s="108">
        <f>SUM(C70)</f>
        <v>0</v>
      </c>
      <c r="D71" s="109">
        <f>IF(ISERROR(C71/B71)," ",(C71/B71))</f>
        <v>0</v>
      </c>
      <c r="E71" s="104">
        <f>C71</f>
        <v>0</v>
      </c>
      <c r="F71" s="28" t="s">
        <v>252</v>
      </c>
      <c r="G71" s="108">
        <f>SUM(G70)</f>
        <v>6740</v>
      </c>
      <c r="H71" s="108">
        <f>SUM(H70)</f>
        <v>4684</v>
      </c>
      <c r="I71" s="36">
        <f t="shared" si="2"/>
        <v>69.49554896142433</v>
      </c>
      <c r="J71" s="108">
        <f>H71-'[3]Oktobris'!H71</f>
        <v>818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</row>
    <row r="72" spans="1:206" s="28" customFormat="1" ht="30.75" customHeight="1">
      <c r="A72" s="121" t="s">
        <v>253</v>
      </c>
      <c r="B72" s="104">
        <f>SUM(B68-B69)</f>
        <v>-50424176</v>
      </c>
      <c r="C72" s="104">
        <f>SUM(C68-C69)</f>
        <v>0</v>
      </c>
      <c r="D72" s="106">
        <f>IF(ISERROR(C72/B72)," ",(C72/B72))</f>
        <v>0</v>
      </c>
      <c r="E72" s="104">
        <f>C72</f>
        <v>0</v>
      </c>
      <c r="F72" s="121" t="s">
        <v>253</v>
      </c>
      <c r="G72" s="107">
        <f>SUM(G68-G69)</f>
        <v>-51395</v>
      </c>
      <c r="H72" s="107">
        <f>SUM(H68-H69)</f>
        <v>-41076</v>
      </c>
      <c r="I72" s="23">
        <f t="shared" si="2"/>
        <v>79.92217141745306</v>
      </c>
      <c r="J72" s="107">
        <f>H72-'[3]Oktobris'!H72</f>
        <v>-6128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</row>
    <row r="73" spans="1:206" s="40" customFormat="1" ht="12.75">
      <c r="A73" s="123"/>
      <c r="B73" s="124"/>
      <c r="F73" s="86"/>
      <c r="G73" s="124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</row>
    <row r="74" spans="1:206" s="40" customFormat="1" ht="12.75">
      <c r="A74" s="123"/>
      <c r="B74" s="124"/>
      <c r="F74" s="125"/>
      <c r="G74" s="12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</row>
    <row r="76" spans="1:10" ht="12.75">
      <c r="A76" s="40"/>
      <c r="F76" s="126" t="s">
        <v>254</v>
      </c>
      <c r="G76" s="100"/>
      <c r="H76" s="127"/>
      <c r="I76" s="3"/>
      <c r="J76" s="3"/>
    </row>
    <row r="78" spans="1:10" ht="12.75">
      <c r="A78" s="126" t="s">
        <v>255</v>
      </c>
      <c r="B78" s="100"/>
      <c r="C78" s="127"/>
      <c r="D78" s="127"/>
      <c r="E78" s="127"/>
      <c r="F78" s="126"/>
      <c r="G78" s="100"/>
      <c r="H78" s="127"/>
      <c r="I78" s="127"/>
      <c r="J78" s="127"/>
    </row>
    <row r="79" spans="1:10" ht="12.75">
      <c r="A79" s="4"/>
      <c r="F79" s="4"/>
      <c r="G79" s="99"/>
      <c r="H79" s="3"/>
      <c r="I79" s="3"/>
      <c r="J79" s="3"/>
    </row>
    <row r="80" spans="6:10" ht="12.75">
      <c r="F80" s="4" t="s">
        <v>137</v>
      </c>
      <c r="G80" s="99"/>
      <c r="H80" s="3"/>
      <c r="I80" s="3"/>
      <c r="J80" s="3"/>
    </row>
    <row r="81" spans="6:10" ht="12.75">
      <c r="F81" s="4" t="s">
        <v>180</v>
      </c>
      <c r="I81" s="3"/>
      <c r="J81" s="3"/>
    </row>
    <row r="82" ht="12.75"/>
    <row r="83" ht="12.75"/>
    <row r="84" ht="12.75"/>
    <row r="85" ht="12.75"/>
    <row r="86" ht="12.75"/>
    <row r="87" ht="15" customHeight="1"/>
    <row r="88" ht="16.5" customHeight="1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</sheetData>
  <mergeCells count="2">
    <mergeCell ref="A4:E4"/>
    <mergeCell ref="F4:J4"/>
  </mergeCells>
  <printOptions/>
  <pageMargins left="0.75" right="0.19" top="1" bottom="0.16" header="0.5" footer="0.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/>
  <dimension ref="A1:DW62"/>
  <sheetViews>
    <sheetView workbookViewId="0" topLeftCell="A6">
      <selection activeCell="A15" sqref="A15"/>
    </sheetView>
  </sheetViews>
  <sheetFormatPr defaultColWidth="9.140625" defaultRowHeight="12.75"/>
  <cols>
    <col min="1" max="1" width="64.8515625" style="458" customWidth="1"/>
    <col min="2" max="2" width="19.140625" style="458" customWidth="1"/>
    <col min="3" max="16384" width="8.00390625" style="458" customWidth="1"/>
  </cols>
  <sheetData>
    <row r="1" spans="1:4" s="509" customFormat="1" ht="12.75">
      <c r="A1" s="459" t="s">
        <v>62</v>
      </c>
      <c r="B1" s="459" t="s">
        <v>63</v>
      </c>
      <c r="D1" s="682"/>
    </row>
    <row r="2" spans="1:2" s="509" customFormat="1" ht="12.75">
      <c r="A2" s="459"/>
      <c r="B2" s="459"/>
    </row>
    <row r="3" s="543" customFormat="1" ht="12"/>
    <row r="4" s="543" customFormat="1" ht="15.75">
      <c r="A4" s="611" t="s">
        <v>64</v>
      </c>
    </row>
    <row r="5" s="543" customFormat="1" ht="15.75">
      <c r="A5" s="686" t="s">
        <v>65</v>
      </c>
    </row>
    <row r="6" spans="1:2" s="543" customFormat="1" ht="12">
      <c r="A6" s="682"/>
      <c r="B6" s="682"/>
    </row>
    <row r="7" spans="1:2" s="543" customFormat="1" ht="12">
      <c r="A7" s="687"/>
      <c r="B7" s="688" t="s">
        <v>99</v>
      </c>
    </row>
    <row r="8" spans="1:2" s="543" customFormat="1" ht="12.75">
      <c r="A8" s="689" t="s">
        <v>101</v>
      </c>
      <c r="B8" s="690" t="s">
        <v>66</v>
      </c>
    </row>
    <row r="9" spans="1:127" s="693" customFormat="1" ht="12.75">
      <c r="A9" s="691">
        <v>1</v>
      </c>
      <c r="B9" s="692">
        <v>2</v>
      </c>
      <c r="C9" s="543"/>
      <c r="D9" s="543"/>
      <c r="E9" s="543"/>
      <c r="F9" s="543"/>
      <c r="G9" s="543"/>
      <c r="H9" s="543"/>
      <c r="I9" s="543"/>
      <c r="J9" s="543"/>
      <c r="K9" s="543"/>
      <c r="L9" s="543"/>
      <c r="M9" s="543"/>
      <c r="N9" s="543"/>
      <c r="O9" s="543"/>
      <c r="P9" s="543"/>
      <c r="Q9" s="543"/>
      <c r="R9" s="543"/>
      <c r="S9" s="543"/>
      <c r="T9" s="543"/>
      <c r="U9" s="543"/>
      <c r="V9" s="543"/>
      <c r="W9" s="543"/>
      <c r="X9" s="543"/>
      <c r="Y9" s="543"/>
      <c r="Z9" s="543"/>
      <c r="AA9" s="543"/>
      <c r="AB9" s="543"/>
      <c r="AC9" s="543"/>
      <c r="AD9" s="543"/>
      <c r="AE9" s="543"/>
      <c r="AF9" s="543"/>
      <c r="AG9" s="543"/>
      <c r="AH9" s="543"/>
      <c r="AI9" s="543"/>
      <c r="AJ9" s="543"/>
      <c r="AK9" s="543"/>
      <c r="AL9" s="543"/>
      <c r="AM9" s="543"/>
      <c r="AN9" s="543"/>
      <c r="AO9" s="543"/>
      <c r="AP9" s="543"/>
      <c r="AQ9" s="543"/>
      <c r="AR9" s="543"/>
      <c r="AS9" s="543"/>
      <c r="AT9" s="543"/>
      <c r="AU9" s="543"/>
      <c r="AV9" s="543"/>
      <c r="AW9" s="543"/>
      <c r="AX9" s="543"/>
      <c r="AY9" s="543"/>
      <c r="AZ9" s="543"/>
      <c r="BA9" s="543"/>
      <c r="BB9" s="543"/>
      <c r="BC9" s="543"/>
      <c r="BD9" s="543"/>
      <c r="BE9" s="543"/>
      <c r="BF9" s="543"/>
      <c r="BG9" s="543"/>
      <c r="BH9" s="543"/>
      <c r="BI9" s="543"/>
      <c r="BJ9" s="543"/>
      <c r="BK9" s="543"/>
      <c r="BL9" s="543"/>
      <c r="BM9" s="543"/>
      <c r="BN9" s="543"/>
      <c r="BO9" s="543"/>
      <c r="BP9" s="543"/>
      <c r="BQ9" s="543"/>
      <c r="BR9" s="543"/>
      <c r="BS9" s="543"/>
      <c r="BT9" s="543"/>
      <c r="BU9" s="543"/>
      <c r="BV9" s="543"/>
      <c r="BW9" s="543"/>
      <c r="BX9" s="543"/>
      <c r="BY9" s="543"/>
      <c r="BZ9" s="543"/>
      <c r="CA9" s="543"/>
      <c r="CB9" s="543"/>
      <c r="CC9" s="543"/>
      <c r="CD9" s="543"/>
      <c r="CE9" s="543"/>
      <c r="CF9" s="543"/>
      <c r="CG9" s="543"/>
      <c r="CH9" s="543"/>
      <c r="CI9" s="543"/>
      <c r="CJ9" s="543"/>
      <c r="CK9" s="543"/>
      <c r="CL9" s="543"/>
      <c r="CM9" s="543"/>
      <c r="CN9" s="543"/>
      <c r="CO9" s="543"/>
      <c r="CP9" s="543"/>
      <c r="CQ9" s="543"/>
      <c r="CR9" s="543"/>
      <c r="CS9" s="543"/>
      <c r="CT9" s="543"/>
      <c r="CU9" s="543"/>
      <c r="CV9" s="543"/>
      <c r="CW9" s="543"/>
      <c r="CX9" s="543"/>
      <c r="CY9" s="543"/>
      <c r="CZ9" s="543"/>
      <c r="DA9" s="543"/>
      <c r="DB9" s="543"/>
      <c r="DC9" s="543"/>
      <c r="DD9" s="543"/>
      <c r="DE9" s="543"/>
      <c r="DF9" s="543"/>
      <c r="DG9" s="543"/>
      <c r="DH9" s="543"/>
      <c r="DI9" s="543"/>
      <c r="DJ9" s="543"/>
      <c r="DK9" s="543"/>
      <c r="DL9" s="543"/>
      <c r="DM9" s="543"/>
      <c r="DN9" s="543"/>
      <c r="DO9" s="543"/>
      <c r="DP9" s="543"/>
      <c r="DQ9" s="543"/>
      <c r="DR9" s="543"/>
      <c r="DS9" s="543"/>
      <c r="DT9" s="543"/>
      <c r="DU9" s="543"/>
      <c r="DV9" s="543"/>
      <c r="DW9" s="543"/>
    </row>
    <row r="10" spans="1:127" s="693" customFormat="1" ht="23.25" customHeight="1">
      <c r="A10" s="469" t="s">
        <v>67</v>
      </c>
      <c r="B10" s="694">
        <f>SUM(B11:B16)</f>
        <v>28882513</v>
      </c>
      <c r="C10" s="543"/>
      <c r="D10" s="543"/>
      <c r="E10" s="543"/>
      <c r="F10" s="543"/>
      <c r="G10" s="543"/>
      <c r="H10" s="543"/>
      <c r="I10" s="543"/>
      <c r="J10" s="543"/>
      <c r="K10" s="543"/>
      <c r="L10" s="543"/>
      <c r="M10" s="543"/>
      <c r="N10" s="543"/>
      <c r="O10" s="543"/>
      <c r="P10" s="543"/>
      <c r="Q10" s="543"/>
      <c r="R10" s="543"/>
      <c r="S10" s="543"/>
      <c r="T10" s="543"/>
      <c r="U10" s="543"/>
      <c r="V10" s="543"/>
      <c r="W10" s="543"/>
      <c r="X10" s="543"/>
      <c r="Y10" s="543"/>
      <c r="Z10" s="543"/>
      <c r="AA10" s="543"/>
      <c r="AB10" s="543"/>
      <c r="AC10" s="543"/>
      <c r="AD10" s="543"/>
      <c r="AE10" s="543"/>
      <c r="AF10" s="543"/>
      <c r="AG10" s="543"/>
      <c r="AH10" s="543"/>
      <c r="AI10" s="543"/>
      <c r="AJ10" s="543"/>
      <c r="AK10" s="543"/>
      <c r="AL10" s="543"/>
      <c r="AM10" s="543"/>
      <c r="AN10" s="543"/>
      <c r="AO10" s="543"/>
      <c r="AP10" s="543"/>
      <c r="AQ10" s="543"/>
      <c r="AR10" s="543"/>
      <c r="AS10" s="543"/>
      <c r="AT10" s="543"/>
      <c r="AU10" s="543"/>
      <c r="AV10" s="543"/>
      <c r="AW10" s="543"/>
      <c r="AX10" s="543"/>
      <c r="AY10" s="543"/>
      <c r="AZ10" s="543"/>
      <c r="BA10" s="543"/>
      <c r="BB10" s="543"/>
      <c r="BC10" s="543"/>
      <c r="BD10" s="543"/>
      <c r="BE10" s="543"/>
      <c r="BF10" s="543"/>
      <c r="BG10" s="543"/>
      <c r="BH10" s="543"/>
      <c r="BI10" s="543"/>
      <c r="BJ10" s="543"/>
      <c r="BK10" s="543"/>
      <c r="BL10" s="543"/>
      <c r="BM10" s="543"/>
      <c r="BN10" s="543"/>
      <c r="BO10" s="543"/>
      <c r="BP10" s="543"/>
      <c r="BQ10" s="543"/>
      <c r="BR10" s="543"/>
      <c r="BS10" s="543"/>
      <c r="BT10" s="543"/>
      <c r="BU10" s="543"/>
      <c r="BV10" s="543"/>
      <c r="BW10" s="543"/>
      <c r="BX10" s="543"/>
      <c r="BY10" s="543"/>
      <c r="BZ10" s="543"/>
      <c r="CA10" s="543"/>
      <c r="CB10" s="543"/>
      <c r="CC10" s="543"/>
      <c r="CD10" s="543"/>
      <c r="CE10" s="543"/>
      <c r="CF10" s="543"/>
      <c r="CG10" s="543"/>
      <c r="CH10" s="543"/>
      <c r="CI10" s="543"/>
      <c r="CJ10" s="543"/>
      <c r="CK10" s="543"/>
      <c r="CL10" s="543"/>
      <c r="CM10" s="543"/>
      <c r="CN10" s="543"/>
      <c r="CO10" s="543"/>
      <c r="CP10" s="543"/>
      <c r="CQ10" s="543"/>
      <c r="CR10" s="543"/>
      <c r="CS10" s="543"/>
      <c r="CT10" s="543"/>
      <c r="CU10" s="543"/>
      <c r="CV10" s="543"/>
      <c r="CW10" s="543"/>
      <c r="CX10" s="543"/>
      <c r="CY10" s="543"/>
      <c r="CZ10" s="543"/>
      <c r="DA10" s="543"/>
      <c r="DB10" s="543"/>
      <c r="DC10" s="543"/>
      <c r="DD10" s="543"/>
      <c r="DE10" s="543"/>
      <c r="DF10" s="543"/>
      <c r="DG10" s="543"/>
      <c r="DH10" s="543"/>
      <c r="DI10" s="543"/>
      <c r="DJ10" s="543"/>
      <c r="DK10" s="543"/>
      <c r="DL10" s="543"/>
      <c r="DM10" s="543"/>
      <c r="DN10" s="543"/>
      <c r="DO10" s="543"/>
      <c r="DP10" s="543"/>
      <c r="DQ10" s="543"/>
      <c r="DR10" s="543"/>
      <c r="DS10" s="543"/>
      <c r="DT10" s="543"/>
      <c r="DU10" s="543"/>
      <c r="DV10" s="543"/>
      <c r="DW10" s="543"/>
    </row>
    <row r="11" spans="1:127" s="693" customFormat="1" ht="23.25" customHeight="1">
      <c r="A11" s="481" t="s">
        <v>68</v>
      </c>
      <c r="B11" s="695">
        <v>9182</v>
      </c>
      <c r="C11" s="543"/>
      <c r="D11" s="543"/>
      <c r="E11" s="543"/>
      <c r="F11" s="543"/>
      <c r="G11" s="543"/>
      <c r="H11" s="543"/>
      <c r="I11" s="543"/>
      <c r="J11" s="543"/>
      <c r="K11" s="543"/>
      <c r="L11" s="543"/>
      <c r="M11" s="543"/>
      <c r="N11" s="543"/>
      <c r="O11" s="543"/>
      <c r="P11" s="543"/>
      <c r="Q11" s="543"/>
      <c r="R11" s="543"/>
      <c r="S11" s="543"/>
      <c r="T11" s="543"/>
      <c r="U11" s="543"/>
      <c r="V11" s="543"/>
      <c r="W11" s="543"/>
      <c r="X11" s="543"/>
      <c r="Y11" s="543"/>
      <c r="Z11" s="543"/>
      <c r="AA11" s="543"/>
      <c r="AB11" s="543"/>
      <c r="AC11" s="543"/>
      <c r="AD11" s="543"/>
      <c r="AE11" s="543"/>
      <c r="AF11" s="543"/>
      <c r="AG11" s="543"/>
      <c r="AH11" s="543"/>
      <c r="AI11" s="543"/>
      <c r="AJ11" s="543"/>
      <c r="AK11" s="543"/>
      <c r="AL11" s="543"/>
      <c r="AM11" s="543"/>
      <c r="AN11" s="543"/>
      <c r="AO11" s="543"/>
      <c r="AP11" s="543"/>
      <c r="AQ11" s="543"/>
      <c r="AR11" s="543"/>
      <c r="AS11" s="543"/>
      <c r="AT11" s="543"/>
      <c r="AU11" s="543"/>
      <c r="AV11" s="543"/>
      <c r="AW11" s="543"/>
      <c r="AX11" s="543"/>
      <c r="AY11" s="543"/>
      <c r="AZ11" s="543"/>
      <c r="BA11" s="543"/>
      <c r="BB11" s="543"/>
      <c r="BC11" s="543"/>
      <c r="BD11" s="543"/>
      <c r="BE11" s="543"/>
      <c r="BF11" s="543"/>
      <c r="BG11" s="543"/>
      <c r="BH11" s="543"/>
      <c r="BI11" s="543"/>
      <c r="BJ11" s="543"/>
      <c r="BK11" s="543"/>
      <c r="BL11" s="543"/>
      <c r="BM11" s="543"/>
      <c r="BN11" s="543"/>
      <c r="BO11" s="543"/>
      <c r="BP11" s="543"/>
      <c r="BQ11" s="543"/>
      <c r="BR11" s="543"/>
      <c r="BS11" s="543"/>
      <c r="BT11" s="543"/>
      <c r="BU11" s="543"/>
      <c r="BV11" s="543"/>
      <c r="BW11" s="543"/>
      <c r="BX11" s="543"/>
      <c r="BY11" s="543"/>
      <c r="BZ11" s="543"/>
      <c r="CA11" s="543"/>
      <c r="CB11" s="543"/>
      <c r="CC11" s="543"/>
      <c r="CD11" s="543"/>
      <c r="CE11" s="543"/>
      <c r="CF11" s="543"/>
      <c r="CG11" s="543"/>
      <c r="CH11" s="543"/>
      <c r="CI11" s="543"/>
      <c r="CJ11" s="543"/>
      <c r="CK11" s="543"/>
      <c r="CL11" s="543"/>
      <c r="CM11" s="543"/>
      <c r="CN11" s="543"/>
      <c r="CO11" s="543"/>
      <c r="CP11" s="543"/>
      <c r="CQ11" s="543"/>
      <c r="CR11" s="543"/>
      <c r="CS11" s="543"/>
      <c r="CT11" s="543"/>
      <c r="CU11" s="543"/>
      <c r="CV11" s="543"/>
      <c r="CW11" s="543"/>
      <c r="CX11" s="543"/>
      <c r="CY11" s="543"/>
      <c r="CZ11" s="543"/>
      <c r="DA11" s="543"/>
      <c r="DB11" s="543"/>
      <c r="DC11" s="543"/>
      <c r="DD11" s="543"/>
      <c r="DE11" s="543"/>
      <c r="DF11" s="543"/>
      <c r="DG11" s="543"/>
      <c r="DH11" s="543"/>
      <c r="DI11" s="543"/>
      <c r="DJ11" s="543"/>
      <c r="DK11" s="543"/>
      <c r="DL11" s="543"/>
      <c r="DM11" s="543"/>
      <c r="DN11" s="543"/>
      <c r="DO11" s="543"/>
      <c r="DP11" s="543"/>
      <c r="DQ11" s="543"/>
      <c r="DR11" s="543"/>
      <c r="DS11" s="543"/>
      <c r="DT11" s="543"/>
      <c r="DU11" s="543"/>
      <c r="DV11" s="543"/>
      <c r="DW11" s="543"/>
    </row>
    <row r="12" spans="1:127" s="693" customFormat="1" ht="19.5" customHeight="1">
      <c r="A12" s="696" t="s">
        <v>69</v>
      </c>
      <c r="B12" s="697"/>
      <c r="C12" s="543"/>
      <c r="D12" s="543"/>
      <c r="E12" s="543"/>
      <c r="F12" s="543"/>
      <c r="G12" s="543"/>
      <c r="H12" s="543"/>
      <c r="I12" s="543"/>
      <c r="J12" s="543"/>
      <c r="K12" s="543"/>
      <c r="L12" s="543"/>
      <c r="M12" s="543"/>
      <c r="N12" s="543"/>
      <c r="O12" s="543"/>
      <c r="P12" s="543"/>
      <c r="Q12" s="543"/>
      <c r="R12" s="543"/>
      <c r="S12" s="543"/>
      <c r="T12" s="543"/>
      <c r="U12" s="543"/>
      <c r="V12" s="543"/>
      <c r="W12" s="543"/>
      <c r="X12" s="543"/>
      <c r="Y12" s="543"/>
      <c r="Z12" s="543"/>
      <c r="AA12" s="543"/>
      <c r="AB12" s="543"/>
      <c r="AC12" s="543"/>
      <c r="AD12" s="543"/>
      <c r="AE12" s="543"/>
      <c r="AF12" s="543"/>
      <c r="AG12" s="543"/>
      <c r="AH12" s="543"/>
      <c r="AI12" s="543"/>
      <c r="AJ12" s="543"/>
      <c r="AK12" s="543"/>
      <c r="AL12" s="543"/>
      <c r="AM12" s="543"/>
      <c r="AN12" s="543"/>
      <c r="AO12" s="543"/>
      <c r="AP12" s="543"/>
      <c r="AQ12" s="543"/>
      <c r="AR12" s="543"/>
      <c r="AS12" s="543"/>
      <c r="AT12" s="543"/>
      <c r="AU12" s="543"/>
      <c r="AV12" s="543"/>
      <c r="AW12" s="543"/>
      <c r="AX12" s="543"/>
      <c r="AY12" s="543"/>
      <c r="AZ12" s="543"/>
      <c r="BA12" s="543"/>
      <c r="BB12" s="543"/>
      <c r="BC12" s="543"/>
      <c r="BD12" s="543"/>
      <c r="BE12" s="543"/>
      <c r="BF12" s="543"/>
      <c r="BG12" s="543"/>
      <c r="BH12" s="543"/>
      <c r="BI12" s="543"/>
      <c r="BJ12" s="543"/>
      <c r="BK12" s="543"/>
      <c r="BL12" s="543"/>
      <c r="BM12" s="543"/>
      <c r="BN12" s="543"/>
      <c r="BO12" s="543"/>
      <c r="BP12" s="543"/>
      <c r="BQ12" s="543"/>
      <c r="BR12" s="543"/>
      <c r="BS12" s="543"/>
      <c r="BT12" s="543"/>
      <c r="BU12" s="543"/>
      <c r="BV12" s="543"/>
      <c r="BW12" s="543"/>
      <c r="BX12" s="543"/>
      <c r="BY12" s="543"/>
      <c r="BZ12" s="543"/>
      <c r="CA12" s="543"/>
      <c r="CB12" s="543"/>
      <c r="CC12" s="543"/>
      <c r="CD12" s="543"/>
      <c r="CE12" s="543"/>
      <c r="CF12" s="543"/>
      <c r="CG12" s="543"/>
      <c r="CH12" s="543"/>
      <c r="CI12" s="543"/>
      <c r="CJ12" s="543"/>
      <c r="CK12" s="543"/>
      <c r="CL12" s="543"/>
      <c r="CM12" s="543"/>
      <c r="CN12" s="543"/>
      <c r="CO12" s="543"/>
      <c r="CP12" s="543"/>
      <c r="CQ12" s="543"/>
      <c r="CR12" s="543"/>
      <c r="CS12" s="543"/>
      <c r="CT12" s="543"/>
      <c r="CU12" s="543"/>
      <c r="CV12" s="543"/>
      <c r="CW12" s="543"/>
      <c r="CX12" s="543"/>
      <c r="CY12" s="543"/>
      <c r="CZ12" s="543"/>
      <c r="DA12" s="543"/>
      <c r="DB12" s="543"/>
      <c r="DC12" s="543"/>
      <c r="DD12" s="543"/>
      <c r="DE12" s="543"/>
      <c r="DF12" s="543"/>
      <c r="DG12" s="543"/>
      <c r="DH12" s="543"/>
      <c r="DI12" s="543"/>
      <c r="DJ12" s="543"/>
      <c r="DK12" s="543"/>
      <c r="DL12" s="543"/>
      <c r="DM12" s="543"/>
      <c r="DN12" s="543"/>
      <c r="DO12" s="543"/>
      <c r="DP12" s="543"/>
      <c r="DQ12" s="543"/>
      <c r="DR12" s="543"/>
      <c r="DS12" s="543"/>
      <c r="DT12" s="543"/>
      <c r="DU12" s="543"/>
      <c r="DV12" s="543"/>
      <c r="DW12" s="543"/>
    </row>
    <row r="13" spans="1:127" s="693" customFormat="1" ht="17.25" customHeight="1">
      <c r="A13" s="698" t="s">
        <v>70</v>
      </c>
      <c r="B13" s="699"/>
      <c r="C13" s="543"/>
      <c r="D13" s="543"/>
      <c r="E13" s="543"/>
      <c r="F13" s="543"/>
      <c r="G13" s="543"/>
      <c r="H13" s="543"/>
      <c r="I13" s="543"/>
      <c r="J13" s="543"/>
      <c r="K13" s="543"/>
      <c r="L13" s="543"/>
      <c r="M13" s="543"/>
      <c r="N13" s="543"/>
      <c r="O13" s="543"/>
      <c r="P13" s="543"/>
      <c r="Q13" s="543"/>
      <c r="R13" s="543"/>
      <c r="S13" s="543"/>
      <c r="T13" s="543"/>
      <c r="U13" s="543"/>
      <c r="V13" s="543"/>
      <c r="W13" s="543"/>
      <c r="X13" s="543"/>
      <c r="Y13" s="543"/>
      <c r="Z13" s="543"/>
      <c r="AA13" s="543"/>
      <c r="AB13" s="543"/>
      <c r="AC13" s="543"/>
      <c r="AD13" s="543"/>
      <c r="AE13" s="543"/>
      <c r="AF13" s="543"/>
      <c r="AG13" s="543"/>
      <c r="AH13" s="543"/>
      <c r="AI13" s="543"/>
      <c r="AJ13" s="543"/>
      <c r="AK13" s="543"/>
      <c r="AL13" s="543"/>
      <c r="AM13" s="543"/>
      <c r="AN13" s="543"/>
      <c r="AO13" s="543"/>
      <c r="AP13" s="543"/>
      <c r="AQ13" s="543"/>
      <c r="AR13" s="543"/>
      <c r="AS13" s="543"/>
      <c r="AT13" s="543"/>
      <c r="AU13" s="543"/>
      <c r="AV13" s="543"/>
      <c r="AW13" s="543"/>
      <c r="AX13" s="543"/>
      <c r="AY13" s="543"/>
      <c r="AZ13" s="543"/>
      <c r="BA13" s="543"/>
      <c r="BB13" s="543"/>
      <c r="BC13" s="543"/>
      <c r="BD13" s="543"/>
      <c r="BE13" s="543"/>
      <c r="BF13" s="543"/>
      <c r="BG13" s="543"/>
      <c r="BH13" s="543"/>
      <c r="BI13" s="543"/>
      <c r="BJ13" s="543"/>
      <c r="BK13" s="543"/>
      <c r="BL13" s="543"/>
      <c r="BM13" s="543"/>
      <c r="BN13" s="543"/>
      <c r="BO13" s="543"/>
      <c r="BP13" s="543"/>
      <c r="BQ13" s="543"/>
      <c r="BR13" s="543"/>
      <c r="BS13" s="543"/>
      <c r="BT13" s="543"/>
      <c r="BU13" s="543"/>
      <c r="BV13" s="543"/>
      <c r="BW13" s="543"/>
      <c r="BX13" s="543"/>
      <c r="BY13" s="543"/>
      <c r="BZ13" s="543"/>
      <c r="CA13" s="543"/>
      <c r="CB13" s="543"/>
      <c r="CC13" s="543"/>
      <c r="CD13" s="543"/>
      <c r="CE13" s="543"/>
      <c r="CF13" s="543"/>
      <c r="CG13" s="543"/>
      <c r="CH13" s="543"/>
      <c r="CI13" s="543"/>
      <c r="CJ13" s="543"/>
      <c r="CK13" s="543"/>
      <c r="CL13" s="543"/>
      <c r="CM13" s="543"/>
      <c r="CN13" s="543"/>
      <c r="CO13" s="543"/>
      <c r="CP13" s="543"/>
      <c r="CQ13" s="543"/>
      <c r="CR13" s="543"/>
      <c r="CS13" s="543"/>
      <c r="CT13" s="543"/>
      <c r="CU13" s="543"/>
      <c r="CV13" s="543"/>
      <c r="CW13" s="543"/>
      <c r="CX13" s="543"/>
      <c r="CY13" s="543"/>
      <c r="CZ13" s="543"/>
      <c r="DA13" s="543"/>
      <c r="DB13" s="543"/>
      <c r="DC13" s="543"/>
      <c r="DD13" s="543"/>
      <c r="DE13" s="543"/>
      <c r="DF13" s="543"/>
      <c r="DG13" s="543"/>
      <c r="DH13" s="543"/>
      <c r="DI13" s="543"/>
      <c r="DJ13" s="543"/>
      <c r="DK13" s="543"/>
      <c r="DL13" s="543"/>
      <c r="DM13" s="543"/>
      <c r="DN13" s="543"/>
      <c r="DO13" s="543"/>
      <c r="DP13" s="543"/>
      <c r="DQ13" s="543"/>
      <c r="DR13" s="543"/>
      <c r="DS13" s="543"/>
      <c r="DT13" s="543"/>
      <c r="DU13" s="543"/>
      <c r="DV13" s="543"/>
      <c r="DW13" s="543"/>
    </row>
    <row r="14" spans="1:127" s="693" customFormat="1" ht="23.25" customHeight="1">
      <c r="A14" s="481" t="s">
        <v>71</v>
      </c>
      <c r="B14" s="695">
        <v>6373780</v>
      </c>
      <c r="C14" s="543"/>
      <c r="D14" s="543"/>
      <c r="E14" s="543"/>
      <c r="F14" s="543"/>
      <c r="G14" s="543"/>
      <c r="H14" s="543"/>
      <c r="I14" s="543"/>
      <c r="J14" s="543"/>
      <c r="K14" s="543"/>
      <c r="L14" s="543"/>
      <c r="M14" s="543"/>
      <c r="N14" s="543"/>
      <c r="O14" s="543"/>
      <c r="P14" s="543"/>
      <c r="Q14" s="543"/>
      <c r="R14" s="543"/>
      <c r="S14" s="543"/>
      <c r="T14" s="543"/>
      <c r="U14" s="543"/>
      <c r="V14" s="543"/>
      <c r="W14" s="543"/>
      <c r="X14" s="543"/>
      <c r="Y14" s="543"/>
      <c r="Z14" s="543"/>
      <c r="AA14" s="543"/>
      <c r="AB14" s="543"/>
      <c r="AC14" s="543"/>
      <c r="AD14" s="543"/>
      <c r="AE14" s="543"/>
      <c r="AF14" s="543"/>
      <c r="AG14" s="543"/>
      <c r="AH14" s="543"/>
      <c r="AI14" s="543"/>
      <c r="AJ14" s="543"/>
      <c r="AK14" s="543"/>
      <c r="AL14" s="543"/>
      <c r="AM14" s="543"/>
      <c r="AN14" s="543"/>
      <c r="AO14" s="543"/>
      <c r="AP14" s="543"/>
      <c r="AQ14" s="543"/>
      <c r="AR14" s="543"/>
      <c r="AS14" s="543"/>
      <c r="AT14" s="543"/>
      <c r="AU14" s="543"/>
      <c r="AV14" s="543"/>
      <c r="AW14" s="543"/>
      <c r="AX14" s="543"/>
      <c r="AY14" s="543"/>
      <c r="AZ14" s="543"/>
      <c r="BA14" s="543"/>
      <c r="BB14" s="543"/>
      <c r="BC14" s="543"/>
      <c r="BD14" s="543"/>
      <c r="BE14" s="543"/>
      <c r="BF14" s="543"/>
      <c r="BG14" s="543"/>
      <c r="BH14" s="543"/>
      <c r="BI14" s="543"/>
      <c r="BJ14" s="543"/>
      <c r="BK14" s="543"/>
      <c r="BL14" s="543"/>
      <c r="BM14" s="543"/>
      <c r="BN14" s="543"/>
      <c r="BO14" s="543"/>
      <c r="BP14" s="543"/>
      <c r="BQ14" s="543"/>
      <c r="BR14" s="543"/>
      <c r="BS14" s="543"/>
      <c r="BT14" s="543"/>
      <c r="BU14" s="543"/>
      <c r="BV14" s="543"/>
      <c r="BW14" s="543"/>
      <c r="BX14" s="543"/>
      <c r="BY14" s="543"/>
      <c r="BZ14" s="543"/>
      <c r="CA14" s="543"/>
      <c r="CB14" s="543"/>
      <c r="CC14" s="543"/>
      <c r="CD14" s="543"/>
      <c r="CE14" s="543"/>
      <c r="CF14" s="543"/>
      <c r="CG14" s="543"/>
      <c r="CH14" s="543"/>
      <c r="CI14" s="543"/>
      <c r="CJ14" s="543"/>
      <c r="CK14" s="543"/>
      <c r="CL14" s="543"/>
      <c r="CM14" s="543"/>
      <c r="CN14" s="543"/>
      <c r="CO14" s="543"/>
      <c r="CP14" s="543"/>
      <c r="CQ14" s="543"/>
      <c r="CR14" s="543"/>
      <c r="CS14" s="543"/>
      <c r="CT14" s="543"/>
      <c r="CU14" s="543"/>
      <c r="CV14" s="543"/>
      <c r="CW14" s="543"/>
      <c r="CX14" s="543"/>
      <c r="CY14" s="543"/>
      <c r="CZ14" s="543"/>
      <c r="DA14" s="543"/>
      <c r="DB14" s="543"/>
      <c r="DC14" s="543"/>
      <c r="DD14" s="543"/>
      <c r="DE14" s="543"/>
      <c r="DF14" s="543"/>
      <c r="DG14" s="543"/>
      <c r="DH14" s="543"/>
      <c r="DI14" s="543"/>
      <c r="DJ14" s="543"/>
      <c r="DK14" s="543"/>
      <c r="DL14" s="543"/>
      <c r="DM14" s="543"/>
      <c r="DN14" s="543"/>
      <c r="DO14" s="543"/>
      <c r="DP14" s="543"/>
      <c r="DQ14" s="543"/>
      <c r="DR14" s="543"/>
      <c r="DS14" s="543"/>
      <c r="DT14" s="543"/>
      <c r="DU14" s="543"/>
      <c r="DV14" s="543"/>
      <c r="DW14" s="543"/>
    </row>
    <row r="15" spans="1:127" s="693" customFormat="1" ht="23.25" customHeight="1">
      <c r="A15" s="481" t="s">
        <v>72</v>
      </c>
      <c r="B15" s="695">
        <v>22499551</v>
      </c>
      <c r="C15" s="543"/>
      <c r="D15" s="543"/>
      <c r="E15" s="543"/>
      <c r="F15" s="543"/>
      <c r="G15" s="543"/>
      <c r="H15" s="543"/>
      <c r="I15" s="543"/>
      <c r="J15" s="543"/>
      <c r="K15" s="543"/>
      <c r="L15" s="543"/>
      <c r="M15" s="543"/>
      <c r="N15" s="543"/>
      <c r="O15" s="543"/>
      <c r="P15" s="543"/>
      <c r="Q15" s="543"/>
      <c r="R15" s="543"/>
      <c r="S15" s="543"/>
      <c r="T15" s="543"/>
      <c r="U15" s="543"/>
      <c r="V15" s="543"/>
      <c r="W15" s="543"/>
      <c r="X15" s="543"/>
      <c r="Y15" s="543"/>
      <c r="Z15" s="543"/>
      <c r="AA15" s="543"/>
      <c r="AB15" s="543"/>
      <c r="AC15" s="543"/>
      <c r="AD15" s="543"/>
      <c r="AE15" s="543"/>
      <c r="AF15" s="543"/>
      <c r="AG15" s="543"/>
      <c r="AH15" s="543"/>
      <c r="AI15" s="543"/>
      <c r="AJ15" s="543"/>
      <c r="AK15" s="543"/>
      <c r="AL15" s="543"/>
      <c r="AM15" s="543"/>
      <c r="AN15" s="543"/>
      <c r="AO15" s="543"/>
      <c r="AP15" s="543"/>
      <c r="AQ15" s="543"/>
      <c r="AR15" s="543"/>
      <c r="AS15" s="543"/>
      <c r="AT15" s="543"/>
      <c r="AU15" s="543"/>
      <c r="AV15" s="543"/>
      <c r="AW15" s="543"/>
      <c r="AX15" s="543"/>
      <c r="AY15" s="543"/>
      <c r="AZ15" s="543"/>
      <c r="BA15" s="543"/>
      <c r="BB15" s="543"/>
      <c r="BC15" s="543"/>
      <c r="BD15" s="543"/>
      <c r="BE15" s="543"/>
      <c r="BF15" s="543"/>
      <c r="BG15" s="543"/>
      <c r="BH15" s="543"/>
      <c r="BI15" s="543"/>
      <c r="BJ15" s="543"/>
      <c r="BK15" s="543"/>
      <c r="BL15" s="543"/>
      <c r="BM15" s="543"/>
      <c r="BN15" s="543"/>
      <c r="BO15" s="543"/>
      <c r="BP15" s="543"/>
      <c r="BQ15" s="543"/>
      <c r="BR15" s="543"/>
      <c r="BS15" s="543"/>
      <c r="BT15" s="543"/>
      <c r="BU15" s="543"/>
      <c r="BV15" s="543"/>
      <c r="BW15" s="543"/>
      <c r="BX15" s="543"/>
      <c r="BY15" s="543"/>
      <c r="BZ15" s="543"/>
      <c r="CA15" s="543"/>
      <c r="CB15" s="543"/>
      <c r="CC15" s="543"/>
      <c r="CD15" s="543"/>
      <c r="CE15" s="543"/>
      <c r="CF15" s="543"/>
      <c r="CG15" s="543"/>
      <c r="CH15" s="543"/>
      <c r="CI15" s="543"/>
      <c r="CJ15" s="543"/>
      <c r="CK15" s="543"/>
      <c r="CL15" s="543"/>
      <c r="CM15" s="543"/>
      <c r="CN15" s="543"/>
      <c r="CO15" s="543"/>
      <c r="CP15" s="543"/>
      <c r="CQ15" s="543"/>
      <c r="CR15" s="543"/>
      <c r="CS15" s="543"/>
      <c r="CT15" s="543"/>
      <c r="CU15" s="543"/>
      <c r="CV15" s="543"/>
      <c r="CW15" s="543"/>
      <c r="CX15" s="543"/>
      <c r="CY15" s="543"/>
      <c r="CZ15" s="543"/>
      <c r="DA15" s="543"/>
      <c r="DB15" s="543"/>
      <c r="DC15" s="543"/>
      <c r="DD15" s="543"/>
      <c r="DE15" s="543"/>
      <c r="DF15" s="543"/>
      <c r="DG15" s="543"/>
      <c r="DH15" s="543"/>
      <c r="DI15" s="543"/>
      <c r="DJ15" s="543"/>
      <c r="DK15" s="543"/>
      <c r="DL15" s="543"/>
      <c r="DM15" s="543"/>
      <c r="DN15" s="543"/>
      <c r="DO15" s="543"/>
      <c r="DP15" s="543"/>
      <c r="DQ15" s="543"/>
      <c r="DR15" s="543"/>
      <c r="DS15" s="543"/>
      <c r="DT15" s="543"/>
      <c r="DU15" s="543"/>
      <c r="DV15" s="543"/>
      <c r="DW15" s="543"/>
    </row>
    <row r="16" spans="1:127" s="693" customFormat="1" ht="23.25" customHeight="1">
      <c r="A16" s="481" t="s">
        <v>73</v>
      </c>
      <c r="B16" s="695"/>
      <c r="C16" s="543"/>
      <c r="D16" s="543"/>
      <c r="E16" s="543"/>
      <c r="F16" s="543"/>
      <c r="G16" s="543"/>
      <c r="H16" s="543"/>
      <c r="I16" s="543"/>
      <c r="J16" s="543"/>
      <c r="K16" s="543"/>
      <c r="L16" s="543"/>
      <c r="M16" s="543"/>
      <c r="N16" s="543"/>
      <c r="O16" s="543"/>
      <c r="P16" s="543"/>
      <c r="Q16" s="543"/>
      <c r="R16" s="543"/>
      <c r="S16" s="543"/>
      <c r="T16" s="543"/>
      <c r="U16" s="543"/>
      <c r="V16" s="543"/>
      <c r="W16" s="543"/>
      <c r="X16" s="543"/>
      <c r="Y16" s="543"/>
      <c r="Z16" s="543"/>
      <c r="AA16" s="543"/>
      <c r="AB16" s="543"/>
      <c r="AC16" s="543"/>
      <c r="AD16" s="543"/>
      <c r="AE16" s="543"/>
      <c r="AF16" s="543"/>
      <c r="AG16" s="543"/>
      <c r="AH16" s="543"/>
      <c r="AI16" s="543"/>
      <c r="AJ16" s="543"/>
      <c r="AK16" s="543"/>
      <c r="AL16" s="543"/>
      <c r="AM16" s="543"/>
      <c r="AN16" s="543"/>
      <c r="AO16" s="543"/>
      <c r="AP16" s="543"/>
      <c r="AQ16" s="543"/>
      <c r="AR16" s="543"/>
      <c r="AS16" s="543"/>
      <c r="AT16" s="543"/>
      <c r="AU16" s="543"/>
      <c r="AV16" s="543"/>
      <c r="AW16" s="543"/>
      <c r="AX16" s="543"/>
      <c r="AY16" s="543"/>
      <c r="AZ16" s="543"/>
      <c r="BA16" s="543"/>
      <c r="BB16" s="543"/>
      <c r="BC16" s="543"/>
      <c r="BD16" s="543"/>
      <c r="BE16" s="543"/>
      <c r="BF16" s="543"/>
      <c r="BG16" s="543"/>
      <c r="BH16" s="543"/>
      <c r="BI16" s="543"/>
      <c r="BJ16" s="543"/>
      <c r="BK16" s="543"/>
      <c r="BL16" s="543"/>
      <c r="BM16" s="543"/>
      <c r="BN16" s="543"/>
      <c r="BO16" s="543"/>
      <c r="BP16" s="543"/>
      <c r="BQ16" s="543"/>
      <c r="BR16" s="543"/>
      <c r="BS16" s="543"/>
      <c r="BT16" s="543"/>
      <c r="BU16" s="543"/>
      <c r="BV16" s="543"/>
      <c r="BW16" s="543"/>
      <c r="BX16" s="543"/>
      <c r="BY16" s="543"/>
      <c r="BZ16" s="543"/>
      <c r="CA16" s="543"/>
      <c r="CB16" s="543"/>
      <c r="CC16" s="543"/>
      <c r="CD16" s="543"/>
      <c r="CE16" s="543"/>
      <c r="CF16" s="543"/>
      <c r="CG16" s="543"/>
      <c r="CH16" s="543"/>
      <c r="CI16" s="543"/>
      <c r="CJ16" s="543"/>
      <c r="CK16" s="543"/>
      <c r="CL16" s="543"/>
      <c r="CM16" s="543"/>
      <c r="CN16" s="543"/>
      <c r="CO16" s="543"/>
      <c r="CP16" s="543"/>
      <c r="CQ16" s="543"/>
      <c r="CR16" s="543"/>
      <c r="CS16" s="543"/>
      <c r="CT16" s="543"/>
      <c r="CU16" s="543"/>
      <c r="CV16" s="543"/>
      <c r="CW16" s="543"/>
      <c r="CX16" s="543"/>
      <c r="CY16" s="543"/>
      <c r="CZ16" s="543"/>
      <c r="DA16" s="543"/>
      <c r="DB16" s="543"/>
      <c r="DC16" s="543"/>
      <c r="DD16" s="543"/>
      <c r="DE16" s="543"/>
      <c r="DF16" s="543"/>
      <c r="DG16" s="543"/>
      <c r="DH16" s="543"/>
      <c r="DI16" s="543"/>
      <c r="DJ16" s="543"/>
      <c r="DK16" s="543"/>
      <c r="DL16" s="543"/>
      <c r="DM16" s="543"/>
      <c r="DN16" s="543"/>
      <c r="DO16" s="543"/>
      <c r="DP16" s="543"/>
      <c r="DQ16" s="543"/>
      <c r="DR16" s="543"/>
      <c r="DS16" s="543"/>
      <c r="DT16" s="543"/>
      <c r="DU16" s="543"/>
      <c r="DV16" s="543"/>
      <c r="DW16" s="543"/>
    </row>
    <row r="17" spans="1:127" s="693" customFormat="1" ht="23.25" customHeight="1">
      <c r="A17" s="700" t="s">
        <v>74</v>
      </c>
      <c r="B17" s="694">
        <f>SUM(B18:B19)</f>
        <v>28854986</v>
      </c>
      <c r="C17" s="543"/>
      <c r="D17" s="543"/>
      <c r="E17" s="543"/>
      <c r="F17" s="543"/>
      <c r="G17" s="543"/>
      <c r="H17" s="543"/>
      <c r="I17" s="543"/>
      <c r="J17" s="543"/>
      <c r="K17" s="543"/>
      <c r="L17" s="543"/>
      <c r="M17" s="543"/>
      <c r="N17" s="543"/>
      <c r="O17" s="543"/>
      <c r="P17" s="543"/>
      <c r="Q17" s="543"/>
      <c r="R17" s="543"/>
      <c r="S17" s="543"/>
      <c r="T17" s="543"/>
      <c r="U17" s="543"/>
      <c r="V17" s="543"/>
      <c r="W17" s="543"/>
      <c r="X17" s="543"/>
      <c r="Y17" s="543"/>
      <c r="Z17" s="543"/>
      <c r="AA17" s="543"/>
      <c r="AB17" s="543"/>
      <c r="AC17" s="543"/>
      <c r="AD17" s="543"/>
      <c r="AE17" s="543"/>
      <c r="AF17" s="543"/>
      <c r="AG17" s="543"/>
      <c r="AH17" s="543"/>
      <c r="AI17" s="543"/>
      <c r="AJ17" s="543"/>
      <c r="AK17" s="543"/>
      <c r="AL17" s="543"/>
      <c r="AM17" s="543"/>
      <c r="AN17" s="543"/>
      <c r="AO17" s="543"/>
      <c r="AP17" s="543"/>
      <c r="AQ17" s="543"/>
      <c r="AR17" s="543"/>
      <c r="AS17" s="543"/>
      <c r="AT17" s="543"/>
      <c r="AU17" s="543"/>
      <c r="AV17" s="543"/>
      <c r="AW17" s="543"/>
      <c r="AX17" s="543"/>
      <c r="AY17" s="543"/>
      <c r="AZ17" s="543"/>
      <c r="BA17" s="543"/>
      <c r="BB17" s="543"/>
      <c r="BC17" s="543"/>
      <c r="BD17" s="543"/>
      <c r="BE17" s="543"/>
      <c r="BF17" s="543"/>
      <c r="BG17" s="543"/>
      <c r="BH17" s="543"/>
      <c r="BI17" s="543"/>
      <c r="BJ17" s="543"/>
      <c r="BK17" s="543"/>
      <c r="BL17" s="543"/>
      <c r="BM17" s="543"/>
      <c r="BN17" s="543"/>
      <c r="BO17" s="543"/>
      <c r="BP17" s="543"/>
      <c r="BQ17" s="543"/>
      <c r="BR17" s="543"/>
      <c r="BS17" s="543"/>
      <c r="BT17" s="543"/>
      <c r="BU17" s="543"/>
      <c r="BV17" s="543"/>
      <c r="BW17" s="543"/>
      <c r="BX17" s="543"/>
      <c r="BY17" s="543"/>
      <c r="BZ17" s="543"/>
      <c r="CA17" s="543"/>
      <c r="CB17" s="543"/>
      <c r="CC17" s="543"/>
      <c r="CD17" s="543"/>
      <c r="CE17" s="543"/>
      <c r="CF17" s="543"/>
      <c r="CG17" s="543"/>
      <c r="CH17" s="543"/>
      <c r="CI17" s="543"/>
      <c r="CJ17" s="543"/>
      <c r="CK17" s="543"/>
      <c r="CL17" s="543"/>
      <c r="CM17" s="543"/>
      <c r="CN17" s="543"/>
      <c r="CO17" s="543"/>
      <c r="CP17" s="543"/>
      <c r="CQ17" s="543"/>
      <c r="CR17" s="543"/>
      <c r="CS17" s="543"/>
      <c r="CT17" s="543"/>
      <c r="CU17" s="543"/>
      <c r="CV17" s="543"/>
      <c r="CW17" s="543"/>
      <c r="CX17" s="543"/>
      <c r="CY17" s="543"/>
      <c r="CZ17" s="543"/>
      <c r="DA17" s="543"/>
      <c r="DB17" s="543"/>
      <c r="DC17" s="543"/>
      <c r="DD17" s="543"/>
      <c r="DE17" s="543"/>
      <c r="DF17" s="543"/>
      <c r="DG17" s="543"/>
      <c r="DH17" s="543"/>
      <c r="DI17" s="543"/>
      <c r="DJ17" s="543"/>
      <c r="DK17" s="543"/>
      <c r="DL17" s="543"/>
      <c r="DM17" s="543"/>
      <c r="DN17" s="543"/>
      <c r="DO17" s="543"/>
      <c r="DP17" s="543"/>
      <c r="DQ17" s="543"/>
      <c r="DR17" s="543"/>
      <c r="DS17" s="543"/>
      <c r="DT17" s="543"/>
      <c r="DU17" s="543"/>
      <c r="DV17" s="543"/>
      <c r="DW17" s="543"/>
    </row>
    <row r="18" spans="1:127" s="693" customFormat="1" ht="23.25" customHeight="1">
      <c r="A18" s="481" t="s">
        <v>75</v>
      </c>
      <c r="B18" s="695">
        <v>28854986</v>
      </c>
      <c r="C18" s="543"/>
      <c r="D18" s="543"/>
      <c r="E18" s="543"/>
      <c r="F18" s="543"/>
      <c r="G18" s="543"/>
      <c r="H18" s="543"/>
      <c r="I18" s="543"/>
      <c r="J18" s="543"/>
      <c r="K18" s="543"/>
      <c r="L18" s="543"/>
      <c r="M18" s="543"/>
      <c r="N18" s="543"/>
      <c r="O18" s="543"/>
      <c r="P18" s="543"/>
      <c r="Q18" s="543"/>
      <c r="R18" s="543"/>
      <c r="S18" s="543"/>
      <c r="T18" s="543"/>
      <c r="U18" s="543"/>
      <c r="V18" s="543"/>
      <c r="W18" s="543"/>
      <c r="X18" s="543"/>
      <c r="Y18" s="543"/>
      <c r="Z18" s="543"/>
      <c r="AA18" s="543"/>
      <c r="AB18" s="543"/>
      <c r="AC18" s="543"/>
      <c r="AD18" s="543"/>
      <c r="AE18" s="543"/>
      <c r="AF18" s="543"/>
      <c r="AG18" s="543"/>
      <c r="AH18" s="543"/>
      <c r="AI18" s="543"/>
      <c r="AJ18" s="543"/>
      <c r="AK18" s="543"/>
      <c r="AL18" s="543"/>
      <c r="AM18" s="543"/>
      <c r="AN18" s="543"/>
      <c r="AO18" s="543"/>
      <c r="AP18" s="543"/>
      <c r="AQ18" s="543"/>
      <c r="AR18" s="543"/>
      <c r="AS18" s="543"/>
      <c r="AT18" s="543"/>
      <c r="AU18" s="543"/>
      <c r="AV18" s="543"/>
      <c r="AW18" s="543"/>
      <c r="AX18" s="543"/>
      <c r="AY18" s="543"/>
      <c r="AZ18" s="543"/>
      <c r="BA18" s="543"/>
      <c r="BB18" s="543"/>
      <c r="BC18" s="543"/>
      <c r="BD18" s="543"/>
      <c r="BE18" s="543"/>
      <c r="BF18" s="543"/>
      <c r="BG18" s="543"/>
      <c r="BH18" s="543"/>
      <c r="BI18" s="543"/>
      <c r="BJ18" s="543"/>
      <c r="BK18" s="543"/>
      <c r="BL18" s="543"/>
      <c r="BM18" s="543"/>
      <c r="BN18" s="543"/>
      <c r="BO18" s="543"/>
      <c r="BP18" s="543"/>
      <c r="BQ18" s="543"/>
      <c r="BR18" s="543"/>
      <c r="BS18" s="543"/>
      <c r="BT18" s="543"/>
      <c r="BU18" s="543"/>
      <c r="BV18" s="543"/>
      <c r="BW18" s="543"/>
      <c r="BX18" s="543"/>
      <c r="BY18" s="543"/>
      <c r="BZ18" s="543"/>
      <c r="CA18" s="543"/>
      <c r="CB18" s="543"/>
      <c r="CC18" s="543"/>
      <c r="CD18" s="543"/>
      <c r="CE18" s="543"/>
      <c r="CF18" s="543"/>
      <c r="CG18" s="543"/>
      <c r="CH18" s="543"/>
      <c r="CI18" s="543"/>
      <c r="CJ18" s="543"/>
      <c r="CK18" s="543"/>
      <c r="CL18" s="543"/>
      <c r="CM18" s="543"/>
      <c r="CN18" s="543"/>
      <c r="CO18" s="543"/>
      <c r="CP18" s="543"/>
      <c r="CQ18" s="543"/>
      <c r="CR18" s="543"/>
      <c r="CS18" s="543"/>
      <c r="CT18" s="543"/>
      <c r="CU18" s="543"/>
      <c r="CV18" s="543"/>
      <c r="CW18" s="543"/>
      <c r="CX18" s="543"/>
      <c r="CY18" s="543"/>
      <c r="CZ18" s="543"/>
      <c r="DA18" s="543"/>
      <c r="DB18" s="543"/>
      <c r="DC18" s="543"/>
      <c r="DD18" s="543"/>
      <c r="DE18" s="543"/>
      <c r="DF18" s="543"/>
      <c r="DG18" s="543"/>
      <c r="DH18" s="543"/>
      <c r="DI18" s="543"/>
      <c r="DJ18" s="543"/>
      <c r="DK18" s="543"/>
      <c r="DL18" s="543"/>
      <c r="DM18" s="543"/>
      <c r="DN18" s="543"/>
      <c r="DO18" s="543"/>
      <c r="DP18" s="543"/>
      <c r="DQ18" s="543"/>
      <c r="DR18" s="543"/>
      <c r="DS18" s="543"/>
      <c r="DT18" s="543"/>
      <c r="DU18" s="543"/>
      <c r="DV18" s="543"/>
      <c r="DW18" s="543"/>
    </row>
    <row r="19" spans="1:127" s="693" customFormat="1" ht="23.25" customHeight="1">
      <c r="A19" s="481" t="s">
        <v>76</v>
      </c>
      <c r="B19" s="695"/>
      <c r="C19" s="543"/>
      <c r="D19" s="543"/>
      <c r="E19" s="543"/>
      <c r="F19" s="543"/>
      <c r="G19" s="543"/>
      <c r="H19" s="543"/>
      <c r="I19" s="543"/>
      <c r="J19" s="543"/>
      <c r="K19" s="543"/>
      <c r="L19" s="543"/>
      <c r="M19" s="543"/>
      <c r="N19" s="543"/>
      <c r="O19" s="543"/>
      <c r="P19" s="543"/>
      <c r="Q19" s="543"/>
      <c r="R19" s="543"/>
      <c r="S19" s="543"/>
      <c r="T19" s="543"/>
      <c r="U19" s="543"/>
      <c r="V19" s="543"/>
      <c r="W19" s="543"/>
      <c r="X19" s="543"/>
      <c r="Y19" s="543"/>
      <c r="Z19" s="543"/>
      <c r="AA19" s="543"/>
      <c r="AB19" s="543"/>
      <c r="AC19" s="543"/>
      <c r="AD19" s="543"/>
      <c r="AE19" s="543"/>
      <c r="AF19" s="543"/>
      <c r="AG19" s="543"/>
      <c r="AH19" s="543"/>
      <c r="AI19" s="543"/>
      <c r="AJ19" s="543"/>
      <c r="AK19" s="543"/>
      <c r="AL19" s="543"/>
      <c r="AM19" s="543"/>
      <c r="AN19" s="543"/>
      <c r="AO19" s="543"/>
      <c r="AP19" s="543"/>
      <c r="AQ19" s="543"/>
      <c r="AR19" s="543"/>
      <c r="AS19" s="543"/>
      <c r="AT19" s="543"/>
      <c r="AU19" s="543"/>
      <c r="AV19" s="543"/>
      <c r="AW19" s="543"/>
      <c r="AX19" s="543"/>
      <c r="AY19" s="543"/>
      <c r="AZ19" s="543"/>
      <c r="BA19" s="543"/>
      <c r="BB19" s="543"/>
      <c r="BC19" s="543"/>
      <c r="BD19" s="543"/>
      <c r="BE19" s="543"/>
      <c r="BF19" s="543"/>
      <c r="BG19" s="543"/>
      <c r="BH19" s="543"/>
      <c r="BI19" s="543"/>
      <c r="BJ19" s="543"/>
      <c r="BK19" s="543"/>
      <c r="BL19" s="543"/>
      <c r="BM19" s="543"/>
      <c r="BN19" s="543"/>
      <c r="BO19" s="543"/>
      <c r="BP19" s="543"/>
      <c r="BQ19" s="543"/>
      <c r="BR19" s="543"/>
      <c r="BS19" s="543"/>
      <c r="BT19" s="543"/>
      <c r="BU19" s="543"/>
      <c r="BV19" s="543"/>
      <c r="BW19" s="543"/>
      <c r="BX19" s="543"/>
      <c r="BY19" s="543"/>
      <c r="BZ19" s="543"/>
      <c r="CA19" s="543"/>
      <c r="CB19" s="543"/>
      <c r="CC19" s="543"/>
      <c r="CD19" s="543"/>
      <c r="CI19" s="543"/>
      <c r="CJ19" s="543"/>
      <c r="CK19" s="543"/>
      <c r="CL19" s="543"/>
      <c r="CM19" s="543"/>
      <c r="CN19" s="543"/>
      <c r="CO19" s="543"/>
      <c r="CP19" s="543"/>
      <c r="CQ19" s="543"/>
      <c r="CR19" s="543"/>
      <c r="CS19" s="543"/>
      <c r="CT19" s="543"/>
      <c r="CU19" s="543"/>
      <c r="CV19" s="543"/>
      <c r="CW19" s="543"/>
      <c r="CX19" s="543"/>
      <c r="CY19" s="543"/>
      <c r="CZ19" s="543"/>
      <c r="DA19" s="543"/>
      <c r="DB19" s="543"/>
      <c r="DC19" s="543"/>
      <c r="DD19" s="543"/>
      <c r="DE19" s="543"/>
      <c r="DF19" s="543"/>
      <c r="DG19" s="543"/>
      <c r="DH19" s="543"/>
      <c r="DI19" s="543"/>
      <c r="DJ19" s="543"/>
      <c r="DK19" s="543"/>
      <c r="DL19" s="543"/>
      <c r="DM19" s="543"/>
      <c r="DN19" s="543"/>
      <c r="DO19" s="543"/>
      <c r="DP19" s="543"/>
      <c r="DQ19" s="543"/>
      <c r="DR19" s="543"/>
      <c r="DS19" s="543"/>
      <c r="DT19" s="543"/>
      <c r="DU19" s="543"/>
      <c r="DV19" s="543"/>
      <c r="DW19" s="543"/>
    </row>
    <row r="20" spans="1:97" s="693" customFormat="1" ht="23.25" customHeight="1">
      <c r="A20" s="701" t="s">
        <v>77</v>
      </c>
      <c r="B20" s="702">
        <f>SUM(B10-B17)</f>
        <v>27527</v>
      </c>
      <c r="C20" s="543"/>
      <c r="D20" s="543"/>
      <c r="E20" s="543"/>
      <c r="F20" s="543"/>
      <c r="G20" s="543"/>
      <c r="H20" s="543"/>
      <c r="I20" s="543"/>
      <c r="J20" s="543"/>
      <c r="K20" s="543"/>
      <c r="L20" s="543"/>
      <c r="M20" s="543"/>
      <c r="N20" s="543"/>
      <c r="O20" s="543"/>
      <c r="P20" s="543"/>
      <c r="Q20" s="543"/>
      <c r="R20" s="543"/>
      <c r="S20" s="543"/>
      <c r="T20" s="543"/>
      <c r="U20" s="543"/>
      <c r="V20" s="543"/>
      <c r="W20" s="543"/>
      <c r="X20" s="543"/>
      <c r="Y20" s="543"/>
      <c r="Z20" s="543"/>
      <c r="AA20" s="543"/>
      <c r="AB20" s="543"/>
      <c r="AC20" s="543"/>
      <c r="AD20" s="543"/>
      <c r="AE20" s="543"/>
      <c r="AF20" s="543"/>
      <c r="AG20" s="543"/>
      <c r="AH20" s="543"/>
      <c r="AI20" s="543"/>
      <c r="AJ20" s="543"/>
      <c r="AK20" s="543"/>
      <c r="AL20" s="543"/>
      <c r="AM20" s="543"/>
      <c r="AN20" s="543"/>
      <c r="AO20" s="543"/>
      <c r="AP20" s="543"/>
      <c r="AQ20" s="543"/>
      <c r="AR20" s="543"/>
      <c r="AS20" s="543"/>
      <c r="AT20" s="543"/>
      <c r="AU20" s="543"/>
      <c r="AV20" s="543"/>
      <c r="AW20" s="543"/>
      <c r="AX20" s="543"/>
      <c r="AY20" s="543"/>
      <c r="AZ20" s="543"/>
      <c r="BA20" s="543"/>
      <c r="BB20" s="543"/>
      <c r="BC20" s="543"/>
      <c r="BD20" s="543"/>
      <c r="BE20" s="543"/>
      <c r="BF20" s="543"/>
      <c r="BG20" s="543"/>
      <c r="BH20" s="543"/>
      <c r="BI20" s="543"/>
      <c r="BJ20" s="543"/>
      <c r="BK20" s="543"/>
      <c r="BL20" s="543"/>
      <c r="BM20" s="543"/>
      <c r="BN20" s="543"/>
      <c r="BO20" s="543"/>
      <c r="BP20" s="543"/>
      <c r="BQ20" s="543"/>
      <c r="BR20" s="543"/>
      <c r="BS20" s="543"/>
      <c r="BT20" s="543"/>
      <c r="BU20" s="543"/>
      <c r="BV20" s="543"/>
      <c r="BW20" s="543"/>
      <c r="BX20" s="543"/>
      <c r="BY20" s="543"/>
      <c r="BZ20" s="543"/>
      <c r="CA20" s="543"/>
      <c r="CB20" s="543"/>
      <c r="CC20" s="543"/>
      <c r="CD20" s="543"/>
      <c r="CI20" s="543"/>
      <c r="CJ20" s="543"/>
      <c r="CK20" s="543"/>
      <c r="CL20" s="543"/>
      <c r="CM20" s="543"/>
      <c r="CN20" s="543"/>
      <c r="CO20" s="543"/>
      <c r="CP20" s="543"/>
      <c r="CQ20" s="543"/>
      <c r="CR20" s="543"/>
      <c r="CS20" s="543"/>
    </row>
    <row r="21" spans="1:97" s="646" customFormat="1" ht="12.75">
      <c r="A21" s="684"/>
      <c r="B21" s="684"/>
      <c r="C21" s="543"/>
      <c r="D21" s="543"/>
      <c r="E21" s="543"/>
      <c r="F21" s="543"/>
      <c r="G21" s="543"/>
      <c r="H21" s="543"/>
      <c r="I21" s="543"/>
      <c r="J21" s="543"/>
      <c r="K21" s="543"/>
      <c r="L21" s="543"/>
      <c r="M21" s="543"/>
      <c r="N21" s="543"/>
      <c r="O21" s="543"/>
      <c r="P21" s="543"/>
      <c r="Q21" s="543"/>
      <c r="R21" s="543"/>
      <c r="S21" s="543"/>
      <c r="T21" s="543"/>
      <c r="U21" s="543"/>
      <c r="V21" s="543"/>
      <c r="W21" s="543"/>
      <c r="X21" s="543"/>
      <c r="Y21" s="543"/>
      <c r="Z21" s="543"/>
      <c r="AA21" s="543"/>
      <c r="AB21" s="543"/>
      <c r="AC21" s="543"/>
      <c r="AD21" s="543"/>
      <c r="AE21" s="543"/>
      <c r="AF21" s="543"/>
      <c r="AG21" s="543"/>
      <c r="AH21" s="543"/>
      <c r="AI21" s="543"/>
      <c r="AJ21" s="543"/>
      <c r="AK21" s="543"/>
      <c r="AL21" s="543"/>
      <c r="AM21" s="543"/>
      <c r="AN21" s="543"/>
      <c r="AO21" s="543"/>
      <c r="AP21" s="543"/>
      <c r="AQ21" s="543"/>
      <c r="AR21" s="543"/>
      <c r="AS21" s="543"/>
      <c r="AT21" s="543"/>
      <c r="AU21" s="543"/>
      <c r="AV21" s="543"/>
      <c r="AW21" s="543"/>
      <c r="AX21" s="543"/>
      <c r="AY21" s="543"/>
      <c r="AZ21" s="543"/>
      <c r="BA21" s="543"/>
      <c r="BB21" s="543"/>
      <c r="BC21" s="543"/>
      <c r="BD21" s="543"/>
      <c r="BE21" s="543"/>
      <c r="BF21" s="543"/>
      <c r="BG21" s="543"/>
      <c r="BH21" s="543"/>
      <c r="BI21" s="543"/>
      <c r="BJ21" s="543"/>
      <c r="BK21" s="543"/>
      <c r="BL21" s="543"/>
      <c r="BM21" s="543"/>
      <c r="BN21" s="543"/>
      <c r="BO21" s="543"/>
      <c r="BP21" s="543"/>
      <c r="BQ21" s="543"/>
      <c r="BR21" s="543"/>
      <c r="BS21" s="543"/>
      <c r="BT21" s="543"/>
      <c r="BU21" s="543"/>
      <c r="BV21" s="543"/>
      <c r="BW21" s="543"/>
      <c r="BX21" s="543"/>
      <c r="BY21" s="543"/>
      <c r="BZ21" s="543"/>
      <c r="CA21" s="543"/>
      <c r="CB21" s="543"/>
      <c r="CC21" s="543"/>
      <c r="CD21" s="543"/>
      <c r="CI21" s="543"/>
      <c r="CJ21" s="543"/>
      <c r="CK21" s="543"/>
      <c r="CL21" s="543"/>
      <c r="CM21" s="543"/>
      <c r="CN21" s="543"/>
      <c r="CO21" s="543"/>
      <c r="CP21" s="543"/>
      <c r="CQ21" s="543"/>
      <c r="CR21" s="543"/>
      <c r="CS21" s="543"/>
    </row>
    <row r="22" spans="1:97" s="646" customFormat="1" ht="12.75">
      <c r="A22" s="684"/>
      <c r="B22" s="684"/>
      <c r="C22" s="543"/>
      <c r="D22" s="543"/>
      <c r="E22" s="543"/>
      <c r="F22" s="543"/>
      <c r="G22" s="543"/>
      <c r="H22" s="543"/>
      <c r="I22" s="543"/>
      <c r="J22" s="543"/>
      <c r="K22" s="543"/>
      <c r="L22" s="543"/>
      <c r="M22" s="543"/>
      <c r="N22" s="543"/>
      <c r="O22" s="543"/>
      <c r="P22" s="543"/>
      <c r="Q22" s="543"/>
      <c r="R22" s="543"/>
      <c r="S22" s="543"/>
      <c r="T22" s="543"/>
      <c r="U22" s="543"/>
      <c r="V22" s="543"/>
      <c r="W22" s="543"/>
      <c r="X22" s="543"/>
      <c r="Y22" s="543"/>
      <c r="Z22" s="543"/>
      <c r="AA22" s="543"/>
      <c r="AB22" s="543"/>
      <c r="AC22" s="543"/>
      <c r="AD22" s="543"/>
      <c r="AE22" s="543"/>
      <c r="AF22" s="543"/>
      <c r="AG22" s="543"/>
      <c r="AH22" s="543"/>
      <c r="AI22" s="543"/>
      <c r="AJ22" s="543"/>
      <c r="AK22" s="543"/>
      <c r="AL22" s="543"/>
      <c r="AM22" s="543"/>
      <c r="AN22" s="543"/>
      <c r="AO22" s="543"/>
      <c r="AP22" s="543"/>
      <c r="AQ22" s="543"/>
      <c r="AR22" s="543"/>
      <c r="AS22" s="543"/>
      <c r="AT22" s="543"/>
      <c r="AU22" s="543"/>
      <c r="AV22" s="543"/>
      <c r="AW22" s="543"/>
      <c r="AX22" s="543"/>
      <c r="AY22" s="543"/>
      <c r="AZ22" s="543"/>
      <c r="BA22" s="543"/>
      <c r="BB22" s="543"/>
      <c r="BC22" s="543"/>
      <c r="BD22" s="543"/>
      <c r="BE22" s="543"/>
      <c r="BF22" s="543"/>
      <c r="BG22" s="543"/>
      <c r="BH22" s="543"/>
      <c r="BI22" s="543"/>
      <c r="BJ22" s="543"/>
      <c r="BK22" s="543"/>
      <c r="BL22" s="543"/>
      <c r="BM22" s="543"/>
      <c r="BN22" s="543"/>
      <c r="BO22" s="543"/>
      <c r="BP22" s="543"/>
      <c r="BQ22" s="543"/>
      <c r="BR22" s="543"/>
      <c r="BS22" s="543"/>
      <c r="BT22" s="543"/>
      <c r="BU22" s="543"/>
      <c r="BV22" s="543"/>
      <c r="BW22" s="543"/>
      <c r="BX22" s="543"/>
      <c r="BY22" s="543"/>
      <c r="BZ22" s="543"/>
      <c r="CA22" s="543"/>
      <c r="CB22" s="543"/>
      <c r="CC22" s="543"/>
      <c r="CD22" s="543"/>
      <c r="CI22" s="543"/>
      <c r="CJ22" s="543"/>
      <c r="CK22" s="543"/>
      <c r="CL22" s="543"/>
      <c r="CM22" s="543"/>
      <c r="CN22" s="543"/>
      <c r="CO22" s="543"/>
      <c r="CP22" s="543"/>
      <c r="CQ22" s="543"/>
      <c r="CR22" s="543"/>
      <c r="CS22" s="543"/>
    </row>
    <row r="23" spans="1:82" s="646" customFormat="1" ht="12.75">
      <c r="A23" s="684"/>
      <c r="B23" s="684"/>
      <c r="C23" s="543"/>
      <c r="D23" s="543"/>
      <c r="E23" s="543"/>
      <c r="F23" s="543"/>
      <c r="G23" s="543"/>
      <c r="H23" s="543"/>
      <c r="I23" s="543"/>
      <c r="J23" s="543"/>
      <c r="K23" s="543"/>
      <c r="L23" s="543"/>
      <c r="M23" s="543"/>
      <c r="N23" s="543"/>
      <c r="O23" s="543"/>
      <c r="P23" s="543"/>
      <c r="Q23" s="543"/>
      <c r="R23" s="543"/>
      <c r="S23" s="543"/>
      <c r="T23" s="543"/>
      <c r="U23" s="543"/>
      <c r="V23" s="543"/>
      <c r="W23" s="543"/>
      <c r="X23" s="543"/>
      <c r="Y23" s="543"/>
      <c r="Z23" s="543"/>
      <c r="AA23" s="543"/>
      <c r="AB23" s="543"/>
      <c r="AC23" s="543"/>
      <c r="AD23" s="543"/>
      <c r="AE23" s="543"/>
      <c r="AF23" s="543"/>
      <c r="AG23" s="543"/>
      <c r="AH23" s="543"/>
      <c r="AI23" s="543"/>
      <c r="AJ23" s="543"/>
      <c r="AK23" s="543"/>
      <c r="AL23" s="543"/>
      <c r="AM23" s="543"/>
      <c r="AN23" s="543"/>
      <c r="AO23" s="543"/>
      <c r="AP23" s="543"/>
      <c r="AQ23" s="543"/>
      <c r="AR23" s="543"/>
      <c r="AS23" s="543"/>
      <c r="AT23" s="543"/>
      <c r="AU23" s="543"/>
      <c r="AV23" s="543"/>
      <c r="AW23" s="543"/>
      <c r="AX23" s="543"/>
      <c r="AY23" s="543"/>
      <c r="AZ23" s="543"/>
      <c r="BA23" s="543"/>
      <c r="BB23" s="543"/>
      <c r="BC23" s="543"/>
      <c r="BD23" s="543"/>
      <c r="BE23" s="543"/>
      <c r="BF23" s="543"/>
      <c r="BG23" s="543"/>
      <c r="BH23" s="543"/>
      <c r="BI23" s="543"/>
      <c r="BJ23" s="543"/>
      <c r="BK23" s="543"/>
      <c r="BL23" s="543"/>
      <c r="BM23" s="543"/>
      <c r="BN23" s="543"/>
      <c r="BO23" s="543"/>
      <c r="BP23" s="543"/>
      <c r="BQ23" s="543"/>
      <c r="BR23" s="543"/>
      <c r="BS23" s="543"/>
      <c r="BT23" s="543"/>
      <c r="BU23" s="543"/>
      <c r="BV23" s="543"/>
      <c r="BW23" s="543"/>
      <c r="BX23" s="543"/>
      <c r="BY23" s="543"/>
      <c r="BZ23" s="543"/>
      <c r="CA23" s="543"/>
      <c r="CB23" s="543"/>
      <c r="CC23" s="543"/>
      <c r="CD23" s="543"/>
    </row>
    <row r="24" spans="1:82" s="646" customFormat="1" ht="12.75">
      <c r="A24" s="684"/>
      <c r="B24" s="684"/>
      <c r="C24" s="543"/>
      <c r="D24" s="543"/>
      <c r="E24" s="543"/>
      <c r="F24" s="543"/>
      <c r="G24" s="543"/>
      <c r="H24" s="543"/>
      <c r="I24" s="543"/>
      <c r="J24" s="543"/>
      <c r="K24" s="543"/>
      <c r="L24" s="543"/>
      <c r="M24" s="543"/>
      <c r="N24" s="543"/>
      <c r="O24" s="543"/>
      <c r="P24" s="543"/>
      <c r="Q24" s="543"/>
      <c r="R24" s="543"/>
      <c r="S24" s="543"/>
      <c r="T24" s="543"/>
      <c r="U24" s="543"/>
      <c r="V24" s="543"/>
      <c r="W24" s="543"/>
      <c r="X24" s="543"/>
      <c r="Y24" s="543"/>
      <c r="Z24" s="543"/>
      <c r="AA24" s="543"/>
      <c r="AB24" s="543"/>
      <c r="AC24" s="543"/>
      <c r="AD24" s="543"/>
      <c r="AE24" s="543"/>
      <c r="AF24" s="543"/>
      <c r="AG24" s="543"/>
      <c r="AH24" s="543"/>
      <c r="AI24" s="543"/>
      <c r="AJ24" s="543"/>
      <c r="AK24" s="543"/>
      <c r="AL24" s="543"/>
      <c r="AM24" s="543"/>
      <c r="AN24" s="543"/>
      <c r="AO24" s="543"/>
      <c r="AP24" s="543"/>
      <c r="AQ24" s="543"/>
      <c r="AR24" s="543"/>
      <c r="AS24" s="543"/>
      <c r="AT24" s="543"/>
      <c r="AU24" s="543"/>
      <c r="AV24" s="543"/>
      <c r="AW24" s="543"/>
      <c r="AX24" s="543"/>
      <c r="AY24" s="543"/>
      <c r="AZ24" s="543"/>
      <c r="BA24" s="543"/>
      <c r="BB24" s="543"/>
      <c r="BC24" s="543"/>
      <c r="BD24" s="543"/>
      <c r="BE24" s="543"/>
      <c r="BF24" s="543"/>
      <c r="BG24" s="543"/>
      <c r="BH24" s="543"/>
      <c r="BI24" s="543"/>
      <c r="BJ24" s="543"/>
      <c r="BK24" s="543"/>
      <c r="BL24" s="543"/>
      <c r="BM24" s="543"/>
      <c r="BN24" s="543"/>
      <c r="BO24" s="543"/>
      <c r="BP24" s="543"/>
      <c r="BQ24" s="543"/>
      <c r="BR24" s="543"/>
      <c r="BS24" s="543"/>
      <c r="BT24" s="543"/>
      <c r="BU24" s="543"/>
      <c r="BV24" s="543"/>
      <c r="BW24" s="543"/>
      <c r="BX24" s="543"/>
      <c r="BY24" s="543"/>
      <c r="BZ24" s="543"/>
      <c r="CA24" s="543"/>
      <c r="CB24" s="543"/>
      <c r="CC24" s="543"/>
      <c r="CD24" s="543"/>
    </row>
    <row r="25" spans="1:82" s="684" customFormat="1" ht="12.75">
      <c r="A25" s="646" t="s">
        <v>78</v>
      </c>
      <c r="B25" s="498" t="s">
        <v>653</v>
      </c>
      <c r="C25" s="543"/>
      <c r="D25" s="543"/>
      <c r="E25" s="543"/>
      <c r="F25" s="543"/>
      <c r="G25" s="543"/>
      <c r="H25" s="543"/>
      <c r="I25" s="543"/>
      <c r="J25" s="543"/>
      <c r="K25" s="543"/>
      <c r="L25" s="543"/>
      <c r="M25" s="543"/>
      <c r="N25" s="543"/>
      <c r="O25" s="543"/>
      <c r="P25" s="543"/>
      <c r="Q25" s="543"/>
      <c r="R25" s="543"/>
      <c r="S25" s="543"/>
      <c r="T25" s="543"/>
      <c r="U25" s="543"/>
      <c r="V25" s="543"/>
      <c r="W25" s="543"/>
      <c r="X25" s="543"/>
      <c r="Y25" s="543"/>
      <c r="Z25" s="543"/>
      <c r="AA25" s="543"/>
      <c r="AB25" s="543"/>
      <c r="AC25" s="543"/>
      <c r="AD25" s="543"/>
      <c r="AE25" s="543"/>
      <c r="AF25" s="543"/>
      <c r="AG25" s="543"/>
      <c r="AH25" s="543"/>
      <c r="AI25" s="543"/>
      <c r="AJ25" s="543"/>
      <c r="AK25" s="543"/>
      <c r="AL25" s="543"/>
      <c r="AM25" s="543"/>
      <c r="AN25" s="543"/>
      <c r="AO25" s="543"/>
      <c r="AP25" s="543"/>
      <c r="AQ25" s="543"/>
      <c r="AR25" s="543"/>
      <c r="AS25" s="543"/>
      <c r="AT25" s="543"/>
      <c r="AU25" s="543"/>
      <c r="AV25" s="543"/>
      <c r="AW25" s="543"/>
      <c r="AX25" s="543"/>
      <c r="AY25" s="543"/>
      <c r="AZ25" s="543"/>
      <c r="BA25" s="543"/>
      <c r="BB25" s="543"/>
      <c r="BC25" s="543"/>
      <c r="BD25" s="543"/>
      <c r="BE25" s="543"/>
      <c r="BF25" s="543"/>
      <c r="BG25" s="543"/>
      <c r="BH25" s="543"/>
      <c r="BI25" s="543"/>
      <c r="BJ25" s="543"/>
      <c r="BK25" s="543"/>
      <c r="BL25" s="543"/>
      <c r="BM25" s="543"/>
      <c r="BN25" s="543"/>
      <c r="BO25" s="543"/>
      <c r="BP25" s="543"/>
      <c r="BQ25" s="543"/>
      <c r="BR25" s="543"/>
      <c r="BS25" s="543"/>
      <c r="BT25" s="543"/>
      <c r="BU25" s="543"/>
      <c r="BV25" s="543"/>
      <c r="BW25" s="543"/>
      <c r="BX25" s="543"/>
      <c r="BY25" s="543"/>
      <c r="BZ25" s="543"/>
      <c r="CA25" s="543"/>
      <c r="CB25" s="543"/>
      <c r="CC25" s="543"/>
      <c r="CD25" s="543"/>
    </row>
    <row r="26" spans="1:82" s="684" customFormat="1" ht="12.75">
      <c r="A26" s="543"/>
      <c r="C26" s="543"/>
      <c r="D26" s="543"/>
      <c r="E26" s="543"/>
      <c r="F26" s="543"/>
      <c r="G26" s="543"/>
      <c r="H26" s="543"/>
      <c r="I26" s="543"/>
      <c r="J26" s="543"/>
      <c r="K26" s="543"/>
      <c r="L26" s="543"/>
      <c r="M26" s="543"/>
      <c r="N26" s="543"/>
      <c r="O26" s="543"/>
      <c r="P26" s="543"/>
      <c r="Q26" s="543"/>
      <c r="R26" s="543"/>
      <c r="S26" s="543"/>
      <c r="T26" s="543"/>
      <c r="U26" s="543"/>
      <c r="V26" s="543"/>
      <c r="W26" s="543"/>
      <c r="X26" s="543"/>
      <c r="Y26" s="543"/>
      <c r="Z26" s="543"/>
      <c r="AA26" s="543"/>
      <c r="AB26" s="543"/>
      <c r="AC26" s="543"/>
      <c r="AD26" s="543"/>
      <c r="AE26" s="543"/>
      <c r="AF26" s="543"/>
      <c r="AG26" s="543"/>
      <c r="AH26" s="543"/>
      <c r="AI26" s="543"/>
      <c r="AJ26" s="543"/>
      <c r="AK26" s="543"/>
      <c r="AL26" s="543"/>
      <c r="AM26" s="543"/>
      <c r="AN26" s="543"/>
      <c r="AO26" s="543"/>
      <c r="AP26" s="543"/>
      <c r="AQ26" s="543"/>
      <c r="AR26" s="543"/>
      <c r="AS26" s="543"/>
      <c r="AT26" s="543"/>
      <c r="AU26" s="543"/>
      <c r="AV26" s="543"/>
      <c r="AW26" s="543"/>
      <c r="AX26" s="543"/>
      <c r="AY26" s="543"/>
      <c r="AZ26" s="543"/>
      <c r="BA26" s="543"/>
      <c r="BB26" s="543"/>
      <c r="BC26" s="543"/>
      <c r="BD26" s="543"/>
      <c r="BE26" s="543"/>
      <c r="BF26" s="543"/>
      <c r="BG26" s="543"/>
      <c r="BH26" s="543"/>
      <c r="BI26" s="543"/>
      <c r="BJ26" s="543"/>
      <c r="BK26" s="543"/>
      <c r="BL26" s="543"/>
      <c r="BM26" s="543"/>
      <c r="BN26" s="543"/>
      <c r="BO26" s="543"/>
      <c r="BP26" s="543"/>
      <c r="BQ26" s="543"/>
      <c r="BR26" s="543"/>
      <c r="BS26" s="543"/>
      <c r="BT26" s="543"/>
      <c r="BU26" s="543"/>
      <c r="BV26" s="543"/>
      <c r="BW26" s="543"/>
      <c r="BX26" s="543"/>
      <c r="BY26" s="543"/>
      <c r="BZ26" s="543"/>
      <c r="CA26" s="543"/>
      <c r="CB26" s="543"/>
      <c r="CC26" s="543"/>
      <c r="CD26" s="543"/>
    </row>
    <row r="27" s="543" customFormat="1" ht="12"/>
    <row r="28" spans="1:2" s="543" customFormat="1" ht="14.25">
      <c r="A28" s="703"/>
      <c r="B28" s="704"/>
    </row>
    <row r="29" spans="1:2" s="543" customFormat="1" ht="14.25">
      <c r="A29" s="703"/>
      <c r="B29" s="704"/>
    </row>
    <row r="30" spans="1:2" s="543" customFormat="1" ht="14.25">
      <c r="A30" s="703"/>
      <c r="B30" s="536"/>
    </row>
    <row r="31" s="543" customFormat="1" ht="14.25">
      <c r="A31" s="703"/>
    </row>
    <row r="32" s="543" customFormat="1" ht="14.25">
      <c r="A32" s="703"/>
    </row>
    <row r="33" s="543" customFormat="1" ht="14.25">
      <c r="A33" s="703"/>
    </row>
    <row r="34" s="543" customFormat="1" ht="14.25">
      <c r="A34" s="703"/>
    </row>
    <row r="35" s="543" customFormat="1" ht="14.25">
      <c r="A35" s="703"/>
    </row>
    <row r="36" s="543" customFormat="1" ht="14.25">
      <c r="A36" s="703"/>
    </row>
    <row r="37" s="543" customFormat="1" ht="14.25">
      <c r="A37" s="703"/>
    </row>
    <row r="38" s="543" customFormat="1" ht="14.25">
      <c r="A38" s="703"/>
    </row>
    <row r="39" s="543" customFormat="1" ht="14.25">
      <c r="A39" s="703"/>
    </row>
    <row r="40" spans="1:82" ht="14.25">
      <c r="A40" s="703"/>
      <c r="L40" s="543"/>
      <c r="M40" s="543"/>
      <c r="N40" s="543"/>
      <c r="O40" s="543"/>
      <c r="P40" s="543"/>
      <c r="Q40" s="543"/>
      <c r="R40" s="543"/>
      <c r="S40" s="543"/>
      <c r="T40" s="543"/>
      <c r="U40" s="543"/>
      <c r="V40" s="543"/>
      <c r="W40" s="543"/>
      <c r="X40" s="543"/>
      <c r="Y40" s="543"/>
      <c r="Z40" s="543"/>
      <c r="AA40" s="543"/>
      <c r="AB40" s="543"/>
      <c r="AC40" s="543"/>
      <c r="AD40" s="543"/>
      <c r="AE40" s="543"/>
      <c r="AF40" s="543"/>
      <c r="AG40" s="543"/>
      <c r="AH40" s="543"/>
      <c r="AI40" s="543"/>
      <c r="AJ40" s="543"/>
      <c r="AK40" s="543"/>
      <c r="AL40" s="543"/>
      <c r="AM40" s="543"/>
      <c r="AN40" s="543"/>
      <c r="AO40" s="543"/>
      <c r="AP40" s="543"/>
      <c r="AQ40" s="543"/>
      <c r="AR40" s="543"/>
      <c r="AS40" s="543"/>
      <c r="AT40" s="543"/>
      <c r="AU40" s="543"/>
      <c r="AV40" s="543"/>
      <c r="AW40" s="543"/>
      <c r="AX40" s="543"/>
      <c r="AY40" s="543"/>
      <c r="AZ40" s="543"/>
      <c r="BA40" s="543"/>
      <c r="BB40" s="543"/>
      <c r="BC40" s="543"/>
      <c r="BD40" s="543"/>
      <c r="BE40" s="543"/>
      <c r="BF40" s="543"/>
      <c r="BG40" s="543"/>
      <c r="BH40" s="543"/>
      <c r="BI40" s="543"/>
      <c r="BJ40" s="543"/>
      <c r="BK40" s="543"/>
      <c r="BL40" s="543"/>
      <c r="BM40" s="543"/>
      <c r="BN40" s="543"/>
      <c r="BO40" s="543"/>
      <c r="BP40" s="543"/>
      <c r="BQ40" s="543"/>
      <c r="BR40" s="543"/>
      <c r="BS40" s="543"/>
      <c r="BT40" s="543"/>
      <c r="BU40" s="543"/>
      <c r="BV40" s="543"/>
      <c r="BW40" s="543"/>
      <c r="BX40" s="543"/>
      <c r="BY40" s="543"/>
      <c r="BZ40" s="543"/>
      <c r="CA40" s="543"/>
      <c r="CB40" s="543"/>
      <c r="CC40" s="543"/>
      <c r="CD40" s="543"/>
    </row>
    <row r="41" spans="1:82" ht="14.25">
      <c r="A41" s="703"/>
      <c r="L41" s="543"/>
      <c r="M41" s="543"/>
      <c r="N41" s="543"/>
      <c r="O41" s="543"/>
      <c r="P41" s="543"/>
      <c r="Q41" s="543"/>
      <c r="R41" s="543"/>
      <c r="S41" s="543"/>
      <c r="T41" s="543"/>
      <c r="U41" s="543"/>
      <c r="V41" s="543"/>
      <c r="W41" s="543"/>
      <c r="X41" s="543"/>
      <c r="Y41" s="543"/>
      <c r="Z41" s="543"/>
      <c r="AA41" s="543"/>
      <c r="AB41" s="543"/>
      <c r="AC41" s="543"/>
      <c r="AD41" s="543"/>
      <c r="AE41" s="543"/>
      <c r="AF41" s="543"/>
      <c r="AG41" s="543"/>
      <c r="AH41" s="543"/>
      <c r="AI41" s="543"/>
      <c r="AJ41" s="543"/>
      <c r="AK41" s="543"/>
      <c r="AL41" s="543"/>
      <c r="AM41" s="543"/>
      <c r="AN41" s="543"/>
      <c r="AO41" s="543"/>
      <c r="AP41" s="543"/>
      <c r="AQ41" s="543"/>
      <c r="AR41" s="543"/>
      <c r="AS41" s="543"/>
      <c r="AT41" s="543"/>
      <c r="AU41" s="543"/>
      <c r="AV41" s="543"/>
      <c r="AW41" s="543"/>
      <c r="AX41" s="543"/>
      <c r="AY41" s="543"/>
      <c r="AZ41" s="543"/>
      <c r="BA41" s="543"/>
      <c r="BB41" s="543"/>
      <c r="BC41" s="543"/>
      <c r="BD41" s="543"/>
      <c r="BE41" s="543"/>
      <c r="BF41" s="543"/>
      <c r="BG41" s="543"/>
      <c r="BH41" s="543"/>
      <c r="BI41" s="543"/>
      <c r="BJ41" s="543"/>
      <c r="BK41" s="543"/>
      <c r="BL41" s="543"/>
      <c r="BM41" s="543"/>
      <c r="BN41" s="543"/>
      <c r="BO41" s="543"/>
      <c r="BP41" s="543"/>
      <c r="BQ41" s="543"/>
      <c r="BR41" s="543"/>
      <c r="BS41" s="543"/>
      <c r="BT41" s="543"/>
      <c r="BU41" s="543"/>
      <c r="BV41" s="543"/>
      <c r="BW41" s="543"/>
      <c r="BX41" s="543"/>
      <c r="BY41" s="543"/>
      <c r="BZ41" s="543"/>
      <c r="CA41" s="543"/>
      <c r="CB41" s="543"/>
      <c r="CC41" s="543"/>
      <c r="CD41" s="543"/>
    </row>
    <row r="42" spans="1:82" ht="14.25">
      <c r="A42" s="703"/>
      <c r="L42" s="543"/>
      <c r="M42" s="543"/>
      <c r="N42" s="543"/>
      <c r="O42" s="543"/>
      <c r="P42" s="543"/>
      <c r="Q42" s="543"/>
      <c r="R42" s="543"/>
      <c r="S42" s="543"/>
      <c r="T42" s="543"/>
      <c r="U42" s="543"/>
      <c r="V42" s="543"/>
      <c r="W42" s="543"/>
      <c r="X42" s="543"/>
      <c r="Y42" s="543"/>
      <c r="Z42" s="543"/>
      <c r="AA42" s="543"/>
      <c r="AB42" s="543"/>
      <c r="AC42" s="543"/>
      <c r="AD42" s="543"/>
      <c r="AE42" s="543"/>
      <c r="AF42" s="543"/>
      <c r="AG42" s="543"/>
      <c r="AH42" s="543"/>
      <c r="AI42" s="543"/>
      <c r="AJ42" s="543"/>
      <c r="AK42" s="543"/>
      <c r="AL42" s="543"/>
      <c r="AM42" s="543"/>
      <c r="AN42" s="543"/>
      <c r="AO42" s="543"/>
      <c r="AP42" s="543"/>
      <c r="AQ42" s="543"/>
      <c r="AR42" s="543"/>
      <c r="AS42" s="543"/>
      <c r="AT42" s="543"/>
      <c r="AU42" s="543"/>
      <c r="AV42" s="543"/>
      <c r="AW42" s="543"/>
      <c r="AX42" s="543"/>
      <c r="AY42" s="543"/>
      <c r="AZ42" s="543"/>
      <c r="BA42" s="543"/>
      <c r="BB42" s="543"/>
      <c r="BC42" s="543"/>
      <c r="BD42" s="543"/>
      <c r="BE42" s="543"/>
      <c r="BF42" s="543"/>
      <c r="BG42" s="543"/>
      <c r="BH42" s="543"/>
      <c r="BI42" s="543"/>
      <c r="BJ42" s="543"/>
      <c r="BK42" s="543"/>
      <c r="BL42" s="543"/>
      <c r="BM42" s="543"/>
      <c r="BN42" s="543"/>
      <c r="BO42" s="543"/>
      <c r="BP42" s="543"/>
      <c r="BQ42" s="543"/>
      <c r="BR42" s="543"/>
      <c r="BS42" s="543"/>
      <c r="BT42" s="543"/>
      <c r="BU42" s="543"/>
      <c r="BV42" s="543"/>
      <c r="BW42" s="543"/>
      <c r="BX42" s="543"/>
      <c r="BY42" s="543"/>
      <c r="BZ42" s="543"/>
      <c r="CA42" s="543"/>
      <c r="CB42" s="543"/>
      <c r="CC42" s="543"/>
      <c r="CD42" s="543"/>
    </row>
    <row r="43" spans="1:82" ht="14.25">
      <c r="A43" s="703"/>
      <c r="L43" s="543"/>
      <c r="M43" s="543"/>
      <c r="N43" s="543"/>
      <c r="O43" s="543"/>
      <c r="P43" s="543"/>
      <c r="Q43" s="543"/>
      <c r="R43" s="543"/>
      <c r="S43" s="543"/>
      <c r="T43" s="543"/>
      <c r="U43" s="543"/>
      <c r="V43" s="543"/>
      <c r="W43" s="543"/>
      <c r="X43" s="543"/>
      <c r="Y43" s="543"/>
      <c r="Z43" s="543"/>
      <c r="AA43" s="543"/>
      <c r="AB43" s="543"/>
      <c r="AC43" s="543"/>
      <c r="AD43" s="543"/>
      <c r="AE43" s="543"/>
      <c r="AF43" s="543"/>
      <c r="AG43" s="543"/>
      <c r="AH43" s="543"/>
      <c r="AI43" s="543"/>
      <c r="AJ43" s="543"/>
      <c r="AK43" s="543"/>
      <c r="AL43" s="543"/>
      <c r="AM43" s="543"/>
      <c r="AN43" s="543"/>
      <c r="AO43" s="543"/>
      <c r="AP43" s="543"/>
      <c r="AQ43" s="543"/>
      <c r="AR43" s="543"/>
      <c r="AS43" s="543"/>
      <c r="AT43" s="543"/>
      <c r="AU43" s="543"/>
      <c r="AV43" s="543"/>
      <c r="AW43" s="543"/>
      <c r="AX43" s="543"/>
      <c r="AY43" s="543"/>
      <c r="AZ43" s="543"/>
      <c r="BA43" s="543"/>
      <c r="BB43" s="543"/>
      <c r="BC43" s="543"/>
      <c r="BD43" s="543"/>
      <c r="BE43" s="543"/>
      <c r="BF43" s="543"/>
      <c r="BG43" s="543"/>
      <c r="BH43" s="543"/>
      <c r="BI43" s="543"/>
      <c r="BJ43" s="543"/>
      <c r="BK43" s="543"/>
      <c r="BL43" s="543"/>
      <c r="BM43" s="543"/>
      <c r="BN43" s="543"/>
      <c r="BO43" s="543"/>
      <c r="BP43" s="543"/>
      <c r="BQ43" s="543"/>
      <c r="BR43" s="543"/>
      <c r="BS43" s="543"/>
      <c r="BT43" s="543"/>
      <c r="BU43" s="543"/>
      <c r="BV43" s="543"/>
      <c r="BW43" s="543"/>
      <c r="BX43" s="543"/>
      <c r="BY43" s="543"/>
      <c r="BZ43" s="543"/>
      <c r="CA43" s="543"/>
      <c r="CB43" s="543"/>
      <c r="CC43" s="543"/>
      <c r="CD43" s="543"/>
    </row>
    <row r="44" spans="1:82" ht="14.25">
      <c r="A44" s="703"/>
      <c r="L44" s="543"/>
      <c r="M44" s="543"/>
      <c r="N44" s="543"/>
      <c r="O44" s="543"/>
      <c r="P44" s="543"/>
      <c r="Q44" s="543"/>
      <c r="R44" s="543"/>
      <c r="S44" s="543"/>
      <c r="T44" s="543"/>
      <c r="U44" s="543"/>
      <c r="V44" s="543"/>
      <c r="W44" s="543"/>
      <c r="X44" s="543"/>
      <c r="Y44" s="543"/>
      <c r="Z44" s="543"/>
      <c r="AA44" s="543"/>
      <c r="AB44" s="543"/>
      <c r="AC44" s="543"/>
      <c r="AD44" s="543"/>
      <c r="AE44" s="543"/>
      <c r="AF44" s="543"/>
      <c r="AG44" s="543"/>
      <c r="AH44" s="543"/>
      <c r="AI44" s="543"/>
      <c r="AJ44" s="543"/>
      <c r="AK44" s="543"/>
      <c r="AL44" s="543"/>
      <c r="AM44" s="543"/>
      <c r="AN44" s="543"/>
      <c r="AO44" s="543"/>
      <c r="AP44" s="543"/>
      <c r="AQ44" s="543"/>
      <c r="AR44" s="543"/>
      <c r="AS44" s="543"/>
      <c r="AT44" s="543"/>
      <c r="AU44" s="543"/>
      <c r="AV44" s="543"/>
      <c r="AW44" s="543"/>
      <c r="AX44" s="543"/>
      <c r="AY44" s="543"/>
      <c r="AZ44" s="543"/>
      <c r="BA44" s="543"/>
      <c r="BB44" s="543"/>
      <c r="BC44" s="543"/>
      <c r="BD44" s="543"/>
      <c r="BE44" s="543"/>
      <c r="BF44" s="543"/>
      <c r="BG44" s="543"/>
      <c r="BH44" s="543"/>
      <c r="BI44" s="543"/>
      <c r="BJ44" s="543"/>
      <c r="BK44" s="543"/>
      <c r="BL44" s="543"/>
      <c r="BM44" s="543"/>
      <c r="BN44" s="543"/>
      <c r="BO44" s="543"/>
      <c r="BP44" s="543"/>
      <c r="BQ44" s="543"/>
      <c r="BR44" s="543"/>
      <c r="BS44" s="543"/>
      <c r="BT44" s="543"/>
      <c r="BU44" s="543"/>
      <c r="BV44" s="543"/>
      <c r="BW44" s="543"/>
      <c r="BX44" s="543"/>
      <c r="BY44" s="543"/>
      <c r="BZ44" s="543"/>
      <c r="CA44" s="543"/>
      <c r="CB44" s="543"/>
      <c r="CC44" s="543"/>
      <c r="CD44" s="543"/>
    </row>
    <row r="45" spans="1:82" ht="14.25">
      <c r="A45" s="703"/>
      <c r="L45" s="543"/>
      <c r="M45" s="543"/>
      <c r="N45" s="543"/>
      <c r="O45" s="543"/>
      <c r="P45" s="543"/>
      <c r="Q45" s="543"/>
      <c r="R45" s="543"/>
      <c r="S45" s="543"/>
      <c r="T45" s="543"/>
      <c r="U45" s="543"/>
      <c r="V45" s="543"/>
      <c r="W45" s="543"/>
      <c r="X45" s="543"/>
      <c r="Y45" s="543"/>
      <c r="Z45" s="543"/>
      <c r="AA45" s="543"/>
      <c r="AB45" s="543"/>
      <c r="AC45" s="543"/>
      <c r="AD45" s="543"/>
      <c r="AE45" s="543"/>
      <c r="AF45" s="543"/>
      <c r="AG45" s="543"/>
      <c r="AH45" s="543"/>
      <c r="AI45" s="543"/>
      <c r="AJ45" s="543"/>
      <c r="AK45" s="543"/>
      <c r="AL45" s="543"/>
      <c r="AM45" s="543"/>
      <c r="AN45" s="543"/>
      <c r="AO45" s="543"/>
      <c r="AP45" s="543"/>
      <c r="AQ45" s="543"/>
      <c r="AR45" s="543"/>
      <c r="AS45" s="543"/>
      <c r="AT45" s="543"/>
      <c r="AU45" s="543"/>
      <c r="AV45" s="543"/>
      <c r="AW45" s="543"/>
      <c r="AX45" s="543"/>
      <c r="AY45" s="543"/>
      <c r="AZ45" s="543"/>
      <c r="BA45" s="543"/>
      <c r="BB45" s="543"/>
      <c r="BC45" s="543"/>
      <c r="BD45" s="543"/>
      <c r="BE45" s="543"/>
      <c r="BF45" s="543"/>
      <c r="BG45" s="543"/>
      <c r="BH45" s="543"/>
      <c r="BI45" s="543"/>
      <c r="BJ45" s="543"/>
      <c r="BK45" s="543"/>
      <c r="BL45" s="543"/>
      <c r="BM45" s="543"/>
      <c r="BN45" s="543"/>
      <c r="BO45" s="543"/>
      <c r="BP45" s="543"/>
      <c r="BQ45" s="543"/>
      <c r="BR45" s="543"/>
      <c r="BS45" s="543"/>
      <c r="BT45" s="543"/>
      <c r="BU45" s="543"/>
      <c r="BV45" s="543"/>
      <c r="BW45" s="543"/>
      <c r="BX45" s="543"/>
      <c r="BY45" s="543"/>
      <c r="BZ45" s="543"/>
      <c r="CA45" s="543"/>
      <c r="CB45" s="543"/>
      <c r="CC45" s="543"/>
      <c r="CD45" s="543"/>
    </row>
    <row r="46" spans="1:82" ht="14.25">
      <c r="A46" s="703"/>
      <c r="L46" s="543"/>
      <c r="M46" s="543"/>
      <c r="N46" s="543"/>
      <c r="O46" s="543"/>
      <c r="P46" s="543"/>
      <c r="Q46" s="543"/>
      <c r="R46" s="543"/>
      <c r="S46" s="543"/>
      <c r="T46" s="543"/>
      <c r="U46" s="543"/>
      <c r="V46" s="543"/>
      <c r="W46" s="543"/>
      <c r="X46" s="543"/>
      <c r="Y46" s="543"/>
      <c r="Z46" s="543"/>
      <c r="AA46" s="543"/>
      <c r="AB46" s="543"/>
      <c r="AC46" s="543"/>
      <c r="AD46" s="543"/>
      <c r="AE46" s="543"/>
      <c r="AF46" s="543"/>
      <c r="AG46" s="543"/>
      <c r="AH46" s="543"/>
      <c r="AI46" s="543"/>
      <c r="AJ46" s="543"/>
      <c r="AK46" s="543"/>
      <c r="AL46" s="543"/>
      <c r="AM46" s="543"/>
      <c r="AN46" s="543"/>
      <c r="AO46" s="543"/>
      <c r="AP46" s="543"/>
      <c r="AQ46" s="543"/>
      <c r="AR46" s="543"/>
      <c r="AS46" s="543"/>
      <c r="AT46" s="543"/>
      <c r="AU46" s="543"/>
      <c r="AV46" s="543"/>
      <c r="AW46" s="543"/>
      <c r="AX46" s="543"/>
      <c r="AY46" s="543"/>
      <c r="AZ46" s="543"/>
      <c r="BA46" s="543"/>
      <c r="BB46" s="543"/>
      <c r="BC46" s="543"/>
      <c r="BD46" s="543"/>
      <c r="BE46" s="543"/>
      <c r="BF46" s="543"/>
      <c r="BG46" s="543"/>
      <c r="BH46" s="543"/>
      <c r="BI46" s="543"/>
      <c r="BJ46" s="543"/>
      <c r="BK46" s="543"/>
      <c r="BL46" s="543"/>
      <c r="BM46" s="543"/>
      <c r="BN46" s="543"/>
      <c r="BO46" s="543"/>
      <c r="BP46" s="543"/>
      <c r="BQ46" s="543"/>
      <c r="BR46" s="543"/>
      <c r="BS46" s="543"/>
      <c r="BT46" s="543"/>
      <c r="BU46" s="543"/>
      <c r="BV46" s="543"/>
      <c r="BW46" s="543"/>
      <c r="BX46" s="543"/>
      <c r="BY46" s="543"/>
      <c r="BZ46" s="543"/>
      <c r="CA46" s="543"/>
      <c r="CB46" s="543"/>
      <c r="CC46" s="543"/>
      <c r="CD46" s="543"/>
    </row>
    <row r="47" spans="1:82" ht="14.25">
      <c r="A47" s="703"/>
      <c r="L47" s="543"/>
      <c r="M47" s="543"/>
      <c r="N47" s="543"/>
      <c r="O47" s="543"/>
      <c r="P47" s="543"/>
      <c r="Q47" s="543"/>
      <c r="R47" s="543"/>
      <c r="S47" s="543"/>
      <c r="T47" s="543"/>
      <c r="U47" s="543"/>
      <c r="V47" s="543"/>
      <c r="W47" s="543"/>
      <c r="X47" s="543"/>
      <c r="Y47" s="543"/>
      <c r="Z47" s="543"/>
      <c r="AA47" s="543"/>
      <c r="AB47" s="543"/>
      <c r="AC47" s="543"/>
      <c r="AD47" s="543"/>
      <c r="AE47" s="543"/>
      <c r="AF47" s="543"/>
      <c r="AG47" s="543"/>
      <c r="AH47" s="543"/>
      <c r="AI47" s="543"/>
      <c r="AJ47" s="543"/>
      <c r="AK47" s="543"/>
      <c r="AL47" s="543"/>
      <c r="AM47" s="543"/>
      <c r="AN47" s="543"/>
      <c r="AO47" s="543"/>
      <c r="AP47" s="543"/>
      <c r="AQ47" s="543"/>
      <c r="AR47" s="543"/>
      <c r="AS47" s="543"/>
      <c r="AT47" s="543"/>
      <c r="AU47" s="543"/>
      <c r="AV47" s="543"/>
      <c r="AW47" s="543"/>
      <c r="AX47" s="543"/>
      <c r="AY47" s="543"/>
      <c r="AZ47" s="543"/>
      <c r="BA47" s="543"/>
      <c r="BB47" s="543"/>
      <c r="BC47" s="543"/>
      <c r="BD47" s="543"/>
      <c r="BE47" s="543"/>
      <c r="BF47" s="543"/>
      <c r="BG47" s="543"/>
      <c r="BH47" s="543"/>
      <c r="BI47" s="543"/>
      <c r="BJ47" s="543"/>
      <c r="BK47" s="543"/>
      <c r="BL47" s="543"/>
      <c r="BM47" s="543"/>
      <c r="BN47" s="543"/>
      <c r="BO47" s="543"/>
      <c r="BP47" s="543"/>
      <c r="BQ47" s="543"/>
      <c r="BR47" s="543"/>
      <c r="BS47" s="543"/>
      <c r="BT47" s="543"/>
      <c r="BU47" s="543"/>
      <c r="BV47" s="543"/>
      <c r="BW47" s="543"/>
      <c r="BX47" s="543"/>
      <c r="BY47" s="543"/>
      <c r="BZ47" s="543"/>
      <c r="CA47" s="543"/>
      <c r="CB47" s="543"/>
      <c r="CC47" s="543"/>
      <c r="CD47" s="543"/>
    </row>
    <row r="48" spans="1:82" ht="14.25">
      <c r="A48" s="703"/>
      <c r="L48" s="543"/>
      <c r="M48" s="543"/>
      <c r="N48" s="543"/>
      <c r="O48" s="543"/>
      <c r="P48" s="543"/>
      <c r="Q48" s="543"/>
      <c r="R48" s="543"/>
      <c r="S48" s="543"/>
      <c r="T48" s="543"/>
      <c r="U48" s="543"/>
      <c r="V48" s="543"/>
      <c r="W48" s="543"/>
      <c r="X48" s="543"/>
      <c r="Y48" s="543"/>
      <c r="Z48" s="543"/>
      <c r="AA48" s="543"/>
      <c r="AB48" s="543"/>
      <c r="AC48" s="543"/>
      <c r="AD48" s="543"/>
      <c r="AE48" s="543"/>
      <c r="AF48" s="543"/>
      <c r="AG48" s="543"/>
      <c r="AH48" s="543"/>
      <c r="AI48" s="543"/>
      <c r="AJ48" s="543"/>
      <c r="AK48" s="543"/>
      <c r="AL48" s="543"/>
      <c r="AM48" s="543"/>
      <c r="AN48" s="543"/>
      <c r="AO48" s="543"/>
      <c r="AP48" s="543"/>
      <c r="AQ48" s="543"/>
      <c r="AR48" s="543"/>
      <c r="AS48" s="543"/>
      <c r="AT48" s="543"/>
      <c r="AU48" s="543"/>
      <c r="AV48" s="543"/>
      <c r="AW48" s="543"/>
      <c r="AX48" s="543"/>
      <c r="AY48" s="543"/>
      <c r="AZ48" s="543"/>
      <c r="BA48" s="543"/>
      <c r="BB48" s="543"/>
      <c r="BC48" s="543"/>
      <c r="BD48" s="543"/>
      <c r="BE48" s="543"/>
      <c r="BF48" s="543"/>
      <c r="BG48" s="543"/>
      <c r="BH48" s="543"/>
      <c r="BI48" s="543"/>
      <c r="BJ48" s="543"/>
      <c r="BK48" s="543"/>
      <c r="BL48" s="543"/>
      <c r="BM48" s="543"/>
      <c r="BN48" s="543"/>
      <c r="BO48" s="543"/>
      <c r="BP48" s="543"/>
      <c r="BQ48" s="543"/>
      <c r="BR48" s="543"/>
      <c r="BS48" s="543"/>
      <c r="BT48" s="543"/>
      <c r="BU48" s="543"/>
      <c r="BV48" s="543"/>
      <c r="BW48" s="543"/>
      <c r="BX48" s="543"/>
      <c r="BY48" s="543"/>
      <c r="BZ48" s="543"/>
      <c r="CA48" s="543"/>
      <c r="CB48" s="543"/>
      <c r="CC48" s="543"/>
      <c r="CD48" s="543"/>
    </row>
    <row r="49" spans="1:82" ht="14.25">
      <c r="A49" s="703"/>
      <c r="L49" s="543"/>
      <c r="M49" s="543"/>
      <c r="N49" s="543"/>
      <c r="O49" s="543"/>
      <c r="P49" s="543"/>
      <c r="Q49" s="543"/>
      <c r="R49" s="543"/>
      <c r="S49" s="543"/>
      <c r="T49" s="543"/>
      <c r="U49" s="543"/>
      <c r="V49" s="543"/>
      <c r="W49" s="543"/>
      <c r="X49" s="543"/>
      <c r="Y49" s="543"/>
      <c r="Z49" s="543"/>
      <c r="AA49" s="543"/>
      <c r="AB49" s="543"/>
      <c r="AC49" s="543"/>
      <c r="AD49" s="543"/>
      <c r="AE49" s="543"/>
      <c r="AF49" s="543"/>
      <c r="AG49" s="543"/>
      <c r="AH49" s="543"/>
      <c r="AI49" s="543"/>
      <c r="AJ49" s="543"/>
      <c r="AK49" s="543"/>
      <c r="AL49" s="543"/>
      <c r="AM49" s="543"/>
      <c r="AN49" s="543"/>
      <c r="AO49" s="543"/>
      <c r="AP49" s="543"/>
      <c r="AQ49" s="543"/>
      <c r="AR49" s="543"/>
      <c r="AS49" s="543"/>
      <c r="AT49" s="543"/>
      <c r="AU49" s="543"/>
      <c r="AV49" s="543"/>
      <c r="AW49" s="543"/>
      <c r="AX49" s="543"/>
      <c r="AY49" s="543"/>
      <c r="AZ49" s="543"/>
      <c r="BA49" s="543"/>
      <c r="BB49" s="543"/>
      <c r="BC49" s="543"/>
      <c r="BD49" s="543"/>
      <c r="BE49" s="543"/>
      <c r="BF49" s="543"/>
      <c r="BG49" s="543"/>
      <c r="BH49" s="543"/>
      <c r="BI49" s="543"/>
      <c r="BJ49" s="543"/>
      <c r="BK49" s="543"/>
      <c r="BL49" s="543"/>
      <c r="BM49" s="543"/>
      <c r="BN49" s="543"/>
      <c r="BO49" s="543"/>
      <c r="BP49" s="543"/>
      <c r="BQ49" s="543"/>
      <c r="BR49" s="543"/>
      <c r="BS49" s="543"/>
      <c r="BT49" s="543"/>
      <c r="BU49" s="543"/>
      <c r="BV49" s="543"/>
      <c r="BW49" s="543"/>
      <c r="BX49" s="543"/>
      <c r="BY49" s="543"/>
      <c r="BZ49" s="543"/>
      <c r="CA49" s="543"/>
      <c r="CB49" s="543"/>
      <c r="CC49" s="543"/>
      <c r="CD49" s="543"/>
    </row>
    <row r="50" spans="1:82" ht="14.25">
      <c r="A50" s="703"/>
      <c r="L50" s="543"/>
      <c r="M50" s="543"/>
      <c r="N50" s="543"/>
      <c r="O50" s="543"/>
      <c r="P50" s="543"/>
      <c r="Q50" s="543"/>
      <c r="R50" s="543"/>
      <c r="S50" s="543"/>
      <c r="T50" s="543"/>
      <c r="U50" s="543"/>
      <c r="V50" s="543"/>
      <c r="W50" s="543"/>
      <c r="X50" s="543"/>
      <c r="Y50" s="543"/>
      <c r="Z50" s="543"/>
      <c r="AA50" s="543"/>
      <c r="AB50" s="543"/>
      <c r="AC50" s="543"/>
      <c r="AD50" s="543"/>
      <c r="AE50" s="543"/>
      <c r="AF50" s="543"/>
      <c r="AG50" s="543"/>
      <c r="AH50" s="543"/>
      <c r="AI50" s="543"/>
      <c r="AJ50" s="543"/>
      <c r="AK50" s="543"/>
      <c r="AL50" s="543"/>
      <c r="AM50" s="543"/>
      <c r="AN50" s="543"/>
      <c r="AO50" s="543"/>
      <c r="AP50" s="543"/>
      <c r="AQ50" s="543"/>
      <c r="AR50" s="543"/>
      <c r="AS50" s="543"/>
      <c r="AT50" s="543"/>
      <c r="AU50" s="543"/>
      <c r="AV50" s="543"/>
      <c r="AW50" s="543"/>
      <c r="AX50" s="543"/>
      <c r="AY50" s="543"/>
      <c r="AZ50" s="543"/>
      <c r="BA50" s="543"/>
      <c r="BB50" s="543"/>
      <c r="BC50" s="543"/>
      <c r="BD50" s="543"/>
      <c r="BE50" s="543"/>
      <c r="BF50" s="543"/>
      <c r="BG50" s="543"/>
      <c r="BH50" s="543"/>
      <c r="BI50" s="543"/>
      <c r="BJ50" s="543"/>
      <c r="BK50" s="543"/>
      <c r="BL50" s="543"/>
      <c r="BM50" s="543"/>
      <c r="BN50" s="543"/>
      <c r="BO50" s="543"/>
      <c r="BP50" s="543"/>
      <c r="BQ50" s="543"/>
      <c r="BR50" s="543"/>
      <c r="BS50" s="543"/>
      <c r="BT50" s="543"/>
      <c r="BU50" s="543"/>
      <c r="BV50" s="543"/>
      <c r="BW50" s="543"/>
      <c r="BX50" s="543"/>
      <c r="BY50" s="543"/>
      <c r="BZ50" s="543"/>
      <c r="CA50" s="543"/>
      <c r="CB50" s="543"/>
      <c r="CC50" s="543"/>
      <c r="CD50" s="543"/>
    </row>
    <row r="51" spans="1:82" ht="14.25">
      <c r="A51" s="703"/>
      <c r="L51" s="543"/>
      <c r="M51" s="543"/>
      <c r="N51" s="543"/>
      <c r="O51" s="543"/>
      <c r="P51" s="543"/>
      <c r="Q51" s="543"/>
      <c r="R51" s="543"/>
      <c r="S51" s="543"/>
      <c r="T51" s="543"/>
      <c r="U51" s="543"/>
      <c r="V51" s="543"/>
      <c r="W51" s="543"/>
      <c r="X51" s="543"/>
      <c r="Y51" s="543"/>
      <c r="Z51" s="543"/>
      <c r="AA51" s="543"/>
      <c r="AB51" s="543"/>
      <c r="AC51" s="543"/>
      <c r="AD51" s="543"/>
      <c r="AE51" s="543"/>
      <c r="AF51" s="543"/>
      <c r="AG51" s="543"/>
      <c r="AH51" s="543"/>
      <c r="AI51" s="543"/>
      <c r="AJ51" s="543"/>
      <c r="AK51" s="543"/>
      <c r="AL51" s="543"/>
      <c r="AM51" s="543"/>
      <c r="AN51" s="543"/>
      <c r="AO51" s="543"/>
      <c r="AP51" s="543"/>
      <c r="AQ51" s="543"/>
      <c r="AR51" s="543"/>
      <c r="AS51" s="543"/>
      <c r="AT51" s="543"/>
      <c r="AU51" s="543"/>
      <c r="AV51" s="543"/>
      <c r="AW51" s="543"/>
      <c r="AX51" s="543"/>
      <c r="AY51" s="543"/>
      <c r="AZ51" s="543"/>
      <c r="BA51" s="543"/>
      <c r="BB51" s="543"/>
      <c r="BC51" s="543"/>
      <c r="BD51" s="543"/>
      <c r="BE51" s="543"/>
      <c r="BF51" s="543"/>
      <c r="BG51" s="543"/>
      <c r="BH51" s="543"/>
      <c r="BI51" s="543"/>
      <c r="BJ51" s="543"/>
      <c r="BK51" s="543"/>
      <c r="BL51" s="543"/>
      <c r="BM51" s="543"/>
      <c r="BN51" s="543"/>
      <c r="BO51" s="543"/>
      <c r="BP51" s="543"/>
      <c r="BQ51" s="543"/>
      <c r="BR51" s="543"/>
      <c r="BS51" s="543"/>
      <c r="BT51" s="543"/>
      <c r="BU51" s="543"/>
      <c r="BV51" s="543"/>
      <c r="BW51" s="543"/>
      <c r="BX51" s="543"/>
      <c r="BY51" s="543"/>
      <c r="BZ51" s="543"/>
      <c r="CA51" s="543"/>
      <c r="CB51" s="543"/>
      <c r="CC51" s="543"/>
      <c r="CD51" s="543"/>
    </row>
    <row r="52" spans="1:82" ht="14.25">
      <c r="A52" s="703"/>
      <c r="L52" s="543"/>
      <c r="M52" s="543"/>
      <c r="N52" s="543"/>
      <c r="O52" s="543"/>
      <c r="P52" s="543"/>
      <c r="Q52" s="543"/>
      <c r="R52" s="543"/>
      <c r="S52" s="543"/>
      <c r="T52" s="543"/>
      <c r="U52" s="543"/>
      <c r="V52" s="543"/>
      <c r="W52" s="543"/>
      <c r="X52" s="543"/>
      <c r="Y52" s="543"/>
      <c r="Z52" s="543"/>
      <c r="AA52" s="543"/>
      <c r="AB52" s="543"/>
      <c r="AC52" s="543"/>
      <c r="AD52" s="543"/>
      <c r="AE52" s="543"/>
      <c r="AF52" s="543"/>
      <c r="AG52" s="543"/>
      <c r="AH52" s="543"/>
      <c r="AI52" s="543"/>
      <c r="AJ52" s="543"/>
      <c r="AK52" s="543"/>
      <c r="AL52" s="543"/>
      <c r="AM52" s="543"/>
      <c r="AN52" s="543"/>
      <c r="AO52" s="543"/>
      <c r="AP52" s="543"/>
      <c r="AQ52" s="543"/>
      <c r="AR52" s="543"/>
      <c r="AS52" s="543"/>
      <c r="AT52" s="543"/>
      <c r="AU52" s="543"/>
      <c r="AV52" s="543"/>
      <c r="AW52" s="543"/>
      <c r="AX52" s="543"/>
      <c r="AY52" s="543"/>
      <c r="AZ52" s="543"/>
      <c r="BA52" s="543"/>
      <c r="BB52" s="543"/>
      <c r="BC52" s="543"/>
      <c r="BD52" s="543"/>
      <c r="BE52" s="543"/>
      <c r="BF52" s="543"/>
      <c r="BG52" s="543"/>
      <c r="BH52" s="543"/>
      <c r="BI52" s="543"/>
      <c r="BJ52" s="543"/>
      <c r="BK52" s="543"/>
      <c r="BL52" s="543"/>
      <c r="BM52" s="543"/>
      <c r="BN52" s="543"/>
      <c r="BO52" s="543"/>
      <c r="BP52" s="543"/>
      <c r="BQ52" s="543"/>
      <c r="BR52" s="543"/>
      <c r="BS52" s="543"/>
      <c r="BT52" s="543"/>
      <c r="BU52" s="543"/>
      <c r="BV52" s="543"/>
      <c r="BW52" s="543"/>
      <c r="BX52" s="543"/>
      <c r="BY52" s="543"/>
      <c r="BZ52" s="543"/>
      <c r="CA52" s="543"/>
      <c r="CB52" s="543"/>
      <c r="CC52" s="543"/>
      <c r="CD52" s="543"/>
    </row>
    <row r="53" spans="1:82" ht="14.25">
      <c r="A53" s="703"/>
      <c r="L53" s="543"/>
      <c r="M53" s="543"/>
      <c r="N53" s="543"/>
      <c r="O53" s="543"/>
      <c r="P53" s="543"/>
      <c r="Q53" s="543"/>
      <c r="R53" s="543"/>
      <c r="S53" s="543"/>
      <c r="T53" s="543"/>
      <c r="U53" s="543"/>
      <c r="V53" s="543"/>
      <c r="W53" s="543"/>
      <c r="X53" s="543"/>
      <c r="Y53" s="543"/>
      <c r="Z53" s="543"/>
      <c r="AA53" s="543"/>
      <c r="AB53" s="543"/>
      <c r="AC53" s="543"/>
      <c r="AD53" s="543"/>
      <c r="AE53" s="543"/>
      <c r="AF53" s="543"/>
      <c r="AG53" s="543"/>
      <c r="AH53" s="543"/>
      <c r="AI53" s="543"/>
      <c r="AJ53" s="543"/>
      <c r="AK53" s="543"/>
      <c r="AL53" s="543"/>
      <c r="AM53" s="543"/>
      <c r="AN53" s="543"/>
      <c r="AO53" s="543"/>
      <c r="AP53" s="543"/>
      <c r="AQ53" s="543"/>
      <c r="AR53" s="543"/>
      <c r="AS53" s="543"/>
      <c r="AT53" s="543"/>
      <c r="AU53" s="543"/>
      <c r="AV53" s="543"/>
      <c r="AW53" s="543"/>
      <c r="AX53" s="543"/>
      <c r="AY53" s="543"/>
      <c r="AZ53" s="543"/>
      <c r="BA53" s="543"/>
      <c r="BB53" s="543"/>
      <c r="BC53" s="543"/>
      <c r="BD53" s="543"/>
      <c r="BE53" s="543"/>
      <c r="BF53" s="543"/>
      <c r="BG53" s="543"/>
      <c r="BH53" s="543"/>
      <c r="BI53" s="543"/>
      <c r="BJ53" s="543"/>
      <c r="BK53" s="543"/>
      <c r="BL53" s="543"/>
      <c r="BM53" s="543"/>
      <c r="BN53" s="543"/>
      <c r="BO53" s="543"/>
      <c r="BP53" s="543"/>
      <c r="BQ53" s="543"/>
      <c r="BR53" s="543"/>
      <c r="BS53" s="543"/>
      <c r="BT53" s="543"/>
      <c r="BU53" s="543"/>
      <c r="BV53" s="543"/>
      <c r="BW53" s="543"/>
      <c r="BX53" s="543"/>
      <c r="BY53" s="543"/>
      <c r="BZ53" s="543"/>
      <c r="CA53" s="543"/>
      <c r="CB53" s="543"/>
      <c r="CC53" s="543"/>
      <c r="CD53" s="543"/>
    </row>
    <row r="54" spans="1:82" ht="14.25">
      <c r="A54" s="703"/>
      <c r="L54" s="543"/>
      <c r="M54" s="543"/>
      <c r="N54" s="543"/>
      <c r="O54" s="543"/>
      <c r="P54" s="543"/>
      <c r="Q54" s="543"/>
      <c r="R54" s="543"/>
      <c r="S54" s="543"/>
      <c r="T54" s="543"/>
      <c r="U54" s="543"/>
      <c r="V54" s="543"/>
      <c r="W54" s="543"/>
      <c r="X54" s="543"/>
      <c r="Y54" s="543"/>
      <c r="Z54" s="543"/>
      <c r="AA54" s="543"/>
      <c r="AB54" s="543"/>
      <c r="AC54" s="543"/>
      <c r="AD54" s="543"/>
      <c r="AE54" s="543"/>
      <c r="AF54" s="543"/>
      <c r="AG54" s="543"/>
      <c r="AH54" s="543"/>
      <c r="AI54" s="543"/>
      <c r="AJ54" s="543"/>
      <c r="AK54" s="543"/>
      <c r="AL54" s="543"/>
      <c r="AM54" s="543"/>
      <c r="AN54" s="543"/>
      <c r="AO54" s="543"/>
      <c r="AP54" s="543"/>
      <c r="AQ54" s="543"/>
      <c r="AR54" s="543"/>
      <c r="AS54" s="543"/>
      <c r="AT54" s="543"/>
      <c r="AU54" s="543"/>
      <c r="AV54" s="543"/>
      <c r="AW54" s="543"/>
      <c r="AX54" s="543"/>
      <c r="AY54" s="543"/>
      <c r="AZ54" s="543"/>
      <c r="BA54" s="543"/>
      <c r="BB54" s="543"/>
      <c r="BC54" s="543"/>
      <c r="BD54" s="543"/>
      <c r="BE54" s="543"/>
      <c r="BF54" s="543"/>
      <c r="BG54" s="543"/>
      <c r="BH54" s="543"/>
      <c r="BI54" s="543"/>
      <c r="BJ54" s="543"/>
      <c r="BK54" s="543"/>
      <c r="BL54" s="543"/>
      <c r="BM54" s="543"/>
      <c r="BN54" s="543"/>
      <c r="BO54" s="543"/>
      <c r="BP54" s="543"/>
      <c r="BQ54" s="543"/>
      <c r="BR54" s="543"/>
      <c r="BS54" s="543"/>
      <c r="BT54" s="543"/>
      <c r="BU54" s="543"/>
      <c r="BV54" s="543"/>
      <c r="BW54" s="543"/>
      <c r="BX54" s="543"/>
      <c r="BY54" s="543"/>
      <c r="BZ54" s="543"/>
      <c r="CA54" s="543"/>
      <c r="CB54" s="543"/>
      <c r="CC54" s="543"/>
      <c r="CD54" s="543"/>
    </row>
    <row r="55" spans="1:82" ht="14.25">
      <c r="A55" s="703"/>
      <c r="L55" s="543"/>
      <c r="M55" s="543"/>
      <c r="N55" s="543"/>
      <c r="O55" s="543"/>
      <c r="P55" s="543"/>
      <c r="Q55" s="543"/>
      <c r="R55" s="543"/>
      <c r="S55" s="543"/>
      <c r="T55" s="543"/>
      <c r="U55" s="543"/>
      <c r="V55" s="543"/>
      <c r="W55" s="543"/>
      <c r="X55" s="543"/>
      <c r="Y55" s="543"/>
      <c r="Z55" s="543"/>
      <c r="AA55" s="543"/>
      <c r="AB55" s="543"/>
      <c r="AC55" s="543"/>
      <c r="AD55" s="543"/>
      <c r="AE55" s="543"/>
      <c r="AF55" s="543"/>
      <c r="AG55" s="543"/>
      <c r="AH55" s="543"/>
      <c r="AI55" s="543"/>
      <c r="AJ55" s="543"/>
      <c r="AK55" s="543"/>
      <c r="AL55" s="543"/>
      <c r="AM55" s="543"/>
      <c r="AN55" s="543"/>
      <c r="AO55" s="543"/>
      <c r="AP55" s="543"/>
      <c r="AQ55" s="543"/>
      <c r="AR55" s="543"/>
      <c r="AS55" s="543"/>
      <c r="AT55" s="543"/>
      <c r="AU55" s="543"/>
      <c r="AV55" s="543"/>
      <c r="AW55" s="543"/>
      <c r="AX55" s="543"/>
      <c r="AY55" s="543"/>
      <c r="AZ55" s="543"/>
      <c r="BA55" s="543"/>
      <c r="BB55" s="543"/>
      <c r="BC55" s="543"/>
      <c r="BD55" s="543"/>
      <c r="BE55" s="543"/>
      <c r="BF55" s="543"/>
      <c r="BG55" s="543"/>
      <c r="BH55" s="543"/>
      <c r="BI55" s="543"/>
      <c r="BJ55" s="543"/>
      <c r="BK55" s="543"/>
      <c r="BL55" s="543"/>
      <c r="BM55" s="543"/>
      <c r="BN55" s="543"/>
      <c r="BO55" s="543"/>
      <c r="BP55" s="543"/>
      <c r="BQ55" s="543"/>
      <c r="BR55" s="543"/>
      <c r="BS55" s="543"/>
      <c r="BT55" s="543"/>
      <c r="BU55" s="543"/>
      <c r="BV55" s="543"/>
      <c r="BW55" s="543"/>
      <c r="BX55" s="543"/>
      <c r="BY55" s="543"/>
      <c r="BZ55" s="543"/>
      <c r="CA55" s="543"/>
      <c r="CB55" s="543"/>
      <c r="CC55" s="543"/>
      <c r="CD55" s="543"/>
    </row>
    <row r="56" spans="1:82" ht="14.25">
      <c r="A56" s="703"/>
      <c r="L56" s="543"/>
      <c r="M56" s="543"/>
      <c r="N56" s="543"/>
      <c r="O56" s="543"/>
      <c r="P56" s="543"/>
      <c r="Q56" s="543"/>
      <c r="R56" s="543"/>
      <c r="S56" s="543"/>
      <c r="T56" s="543"/>
      <c r="U56" s="543"/>
      <c r="V56" s="543"/>
      <c r="W56" s="543"/>
      <c r="X56" s="543"/>
      <c r="Y56" s="543"/>
      <c r="Z56" s="543"/>
      <c r="AA56" s="543"/>
      <c r="AB56" s="543"/>
      <c r="AC56" s="543"/>
      <c r="AD56" s="543"/>
      <c r="AE56" s="543"/>
      <c r="AF56" s="543"/>
      <c r="AG56" s="543"/>
      <c r="AH56" s="543"/>
      <c r="AI56" s="543"/>
      <c r="AJ56" s="543"/>
      <c r="AK56" s="543"/>
      <c r="AL56" s="543"/>
      <c r="AM56" s="543"/>
      <c r="AN56" s="543"/>
      <c r="AO56" s="543"/>
      <c r="AP56" s="543"/>
      <c r="AQ56" s="543"/>
      <c r="AR56" s="543"/>
      <c r="AS56" s="543"/>
      <c r="AT56" s="543"/>
      <c r="AU56" s="543"/>
      <c r="AV56" s="543"/>
      <c r="AW56" s="543"/>
      <c r="AX56" s="543"/>
      <c r="AY56" s="543"/>
      <c r="AZ56" s="543"/>
      <c r="BA56" s="543"/>
      <c r="BB56" s="543"/>
      <c r="BC56" s="543"/>
      <c r="BD56" s="543"/>
      <c r="BE56" s="543"/>
      <c r="BF56" s="543"/>
      <c r="BG56" s="543"/>
      <c r="BH56" s="543"/>
      <c r="BI56" s="543"/>
      <c r="BJ56" s="543"/>
      <c r="BK56" s="543"/>
      <c r="BL56" s="543"/>
      <c r="BM56" s="543"/>
      <c r="BN56" s="543"/>
      <c r="BO56" s="543"/>
      <c r="BP56" s="543"/>
      <c r="BQ56" s="543"/>
      <c r="BR56" s="543"/>
      <c r="BS56" s="543"/>
      <c r="BT56" s="543"/>
      <c r="BU56" s="543"/>
      <c r="BV56" s="543"/>
      <c r="BW56" s="543"/>
      <c r="BX56" s="543"/>
      <c r="BY56" s="543"/>
      <c r="BZ56" s="543"/>
      <c r="CA56" s="543"/>
      <c r="CB56" s="543"/>
      <c r="CC56" s="543"/>
      <c r="CD56" s="543"/>
    </row>
    <row r="57" spans="12:82" ht="12">
      <c r="L57" s="543"/>
      <c r="M57" s="543"/>
      <c r="N57" s="543"/>
      <c r="O57" s="543"/>
      <c r="P57" s="543"/>
      <c r="Q57" s="543"/>
      <c r="R57" s="543"/>
      <c r="S57" s="543"/>
      <c r="T57" s="543"/>
      <c r="U57" s="543"/>
      <c r="V57" s="543"/>
      <c r="W57" s="543"/>
      <c r="X57" s="543"/>
      <c r="Y57" s="543"/>
      <c r="Z57" s="543"/>
      <c r="AA57" s="543"/>
      <c r="AB57" s="543"/>
      <c r="AC57" s="543"/>
      <c r="AD57" s="543"/>
      <c r="AE57" s="543"/>
      <c r="AF57" s="543"/>
      <c r="AG57" s="543"/>
      <c r="AH57" s="543"/>
      <c r="AI57" s="543"/>
      <c r="AJ57" s="543"/>
      <c r="AK57" s="543"/>
      <c r="AL57" s="543"/>
      <c r="AM57" s="543"/>
      <c r="AN57" s="543"/>
      <c r="AO57" s="543"/>
      <c r="AP57" s="543"/>
      <c r="AQ57" s="543"/>
      <c r="AR57" s="543"/>
      <c r="AS57" s="543"/>
      <c r="AT57" s="543"/>
      <c r="AU57" s="543"/>
      <c r="AV57" s="543"/>
      <c r="AW57" s="543"/>
      <c r="AX57" s="543"/>
      <c r="AY57" s="543"/>
      <c r="AZ57" s="543"/>
      <c r="BA57" s="543"/>
      <c r="BB57" s="543"/>
      <c r="BC57" s="543"/>
      <c r="BD57" s="543"/>
      <c r="BE57" s="543"/>
      <c r="BF57" s="543"/>
      <c r="BG57" s="543"/>
      <c r="BH57" s="543"/>
      <c r="BI57" s="543"/>
      <c r="BJ57" s="543"/>
      <c r="BK57" s="543"/>
      <c r="BL57" s="543"/>
      <c r="BM57" s="543"/>
      <c r="BN57" s="543"/>
      <c r="BO57" s="543"/>
      <c r="BP57" s="543"/>
      <c r="BQ57" s="543"/>
      <c r="BR57" s="543"/>
      <c r="BS57" s="543"/>
      <c r="BT57" s="543"/>
      <c r="BU57" s="543"/>
      <c r="BV57" s="543"/>
      <c r="BW57" s="543"/>
      <c r="BX57" s="543"/>
      <c r="BY57" s="543"/>
      <c r="BZ57" s="543"/>
      <c r="CA57" s="543"/>
      <c r="CB57" s="543"/>
      <c r="CC57" s="543"/>
      <c r="CD57" s="543"/>
    </row>
    <row r="58" spans="12:82" ht="12">
      <c r="L58" s="543"/>
      <c r="M58" s="543"/>
      <c r="N58" s="543"/>
      <c r="O58" s="543"/>
      <c r="P58" s="543"/>
      <c r="Q58" s="543"/>
      <c r="R58" s="543"/>
      <c r="S58" s="543"/>
      <c r="T58" s="543"/>
      <c r="U58" s="543"/>
      <c r="V58" s="543"/>
      <c r="W58" s="543"/>
      <c r="X58" s="543"/>
      <c r="Y58" s="543"/>
      <c r="Z58" s="543"/>
      <c r="AA58" s="543"/>
      <c r="AB58" s="543"/>
      <c r="AC58" s="543"/>
      <c r="AD58" s="543"/>
      <c r="AE58" s="543"/>
      <c r="AF58" s="543"/>
      <c r="AG58" s="543"/>
      <c r="AH58" s="543"/>
      <c r="AI58" s="543"/>
      <c r="AJ58" s="543"/>
      <c r="AK58" s="543"/>
      <c r="AL58" s="543"/>
      <c r="AM58" s="543"/>
      <c r="AN58" s="543"/>
      <c r="AO58" s="543"/>
      <c r="AP58" s="543"/>
      <c r="AQ58" s="543"/>
      <c r="AR58" s="543"/>
      <c r="AS58" s="543"/>
      <c r="AT58" s="543"/>
      <c r="AU58" s="543"/>
      <c r="AV58" s="543"/>
      <c r="AW58" s="543"/>
      <c r="AX58" s="543"/>
      <c r="AY58" s="543"/>
      <c r="AZ58" s="543"/>
      <c r="BA58" s="543"/>
      <c r="BB58" s="543"/>
      <c r="BC58" s="543"/>
      <c r="BD58" s="543"/>
      <c r="BE58" s="543"/>
      <c r="BF58" s="543"/>
      <c r="BG58" s="543"/>
      <c r="BH58" s="543"/>
      <c r="BI58" s="543"/>
      <c r="BJ58" s="543"/>
      <c r="BK58" s="543"/>
      <c r="BL58" s="543"/>
      <c r="BM58" s="543"/>
      <c r="BN58" s="543"/>
      <c r="BO58" s="543"/>
      <c r="BP58" s="543"/>
      <c r="BQ58" s="543"/>
      <c r="BR58" s="543"/>
      <c r="BS58" s="543"/>
      <c r="BT58" s="543"/>
      <c r="BU58" s="543"/>
      <c r="BV58" s="543"/>
      <c r="BW58" s="543"/>
      <c r="BX58" s="543"/>
      <c r="BY58" s="543"/>
      <c r="BZ58" s="543"/>
      <c r="CA58" s="543"/>
      <c r="CB58" s="543"/>
      <c r="CC58" s="543"/>
      <c r="CD58" s="543"/>
    </row>
    <row r="59" spans="12:82" ht="12">
      <c r="L59" s="543"/>
      <c r="M59" s="543"/>
      <c r="N59" s="543"/>
      <c r="O59" s="543"/>
      <c r="P59" s="543"/>
      <c r="Q59" s="543"/>
      <c r="R59" s="543"/>
      <c r="S59" s="543"/>
      <c r="T59" s="543"/>
      <c r="U59" s="543"/>
      <c r="V59" s="543"/>
      <c r="W59" s="543"/>
      <c r="X59" s="543"/>
      <c r="Y59" s="543"/>
      <c r="Z59" s="543"/>
      <c r="AA59" s="543"/>
      <c r="AB59" s="543"/>
      <c r="AC59" s="543"/>
      <c r="AD59" s="543"/>
      <c r="AE59" s="543"/>
      <c r="AF59" s="543"/>
      <c r="AG59" s="543"/>
      <c r="AH59" s="543"/>
      <c r="AI59" s="543"/>
      <c r="AJ59" s="543"/>
      <c r="AK59" s="543"/>
      <c r="AL59" s="543"/>
      <c r="AM59" s="543"/>
      <c r="AN59" s="543"/>
      <c r="AO59" s="543"/>
      <c r="AP59" s="543"/>
      <c r="AQ59" s="543"/>
      <c r="AR59" s="543"/>
      <c r="AS59" s="543"/>
      <c r="AT59" s="543"/>
      <c r="AU59" s="543"/>
      <c r="AV59" s="543"/>
      <c r="AW59" s="543"/>
      <c r="AX59" s="543"/>
      <c r="AY59" s="543"/>
      <c r="AZ59" s="543"/>
      <c r="BA59" s="543"/>
      <c r="BB59" s="543"/>
      <c r="BC59" s="543"/>
      <c r="BD59" s="543"/>
      <c r="BE59" s="543"/>
      <c r="BF59" s="543"/>
      <c r="BG59" s="543"/>
      <c r="BH59" s="543"/>
      <c r="BI59" s="543"/>
      <c r="BJ59" s="543"/>
      <c r="BK59" s="543"/>
      <c r="BL59" s="543"/>
      <c r="BM59" s="543"/>
      <c r="BN59" s="543"/>
      <c r="BO59" s="543"/>
      <c r="BP59" s="543"/>
      <c r="BQ59" s="543"/>
      <c r="BR59" s="543"/>
      <c r="BS59" s="543"/>
      <c r="BT59" s="543"/>
      <c r="BU59" s="543"/>
      <c r="BV59" s="543"/>
      <c r="BW59" s="543"/>
      <c r="BX59" s="543"/>
      <c r="BY59" s="543"/>
      <c r="BZ59" s="543"/>
      <c r="CA59" s="543"/>
      <c r="CB59" s="543"/>
      <c r="CC59" s="543"/>
      <c r="CD59" s="543"/>
    </row>
    <row r="60" spans="12:82" ht="12"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3"/>
      <c r="AL60" s="543"/>
      <c r="AM60" s="543"/>
      <c r="AN60" s="543"/>
      <c r="AO60" s="543"/>
      <c r="AP60" s="543"/>
      <c r="AQ60" s="543"/>
      <c r="AR60" s="543"/>
      <c r="AS60" s="543"/>
      <c r="AT60" s="543"/>
      <c r="AU60" s="543"/>
      <c r="AV60" s="543"/>
      <c r="AW60" s="543"/>
      <c r="AX60" s="543"/>
      <c r="AY60" s="543"/>
      <c r="AZ60" s="543"/>
      <c r="BA60" s="543"/>
      <c r="BB60" s="543"/>
      <c r="BC60" s="543"/>
      <c r="BD60" s="543"/>
      <c r="BE60" s="543"/>
      <c r="BF60" s="543"/>
      <c r="BG60" s="543"/>
      <c r="BH60" s="543"/>
      <c r="BI60" s="543"/>
      <c r="BJ60" s="543"/>
      <c r="BK60" s="543"/>
      <c r="BL60" s="543"/>
      <c r="BM60" s="543"/>
      <c r="BN60" s="543"/>
      <c r="BO60" s="543"/>
      <c r="BP60" s="543"/>
      <c r="BQ60" s="543"/>
      <c r="BR60" s="543"/>
      <c r="BS60" s="543"/>
      <c r="BT60" s="543"/>
      <c r="BU60" s="543"/>
      <c r="BV60" s="543"/>
      <c r="BW60" s="543"/>
      <c r="BX60" s="543"/>
      <c r="BY60" s="543"/>
      <c r="BZ60" s="543"/>
      <c r="CA60" s="543"/>
      <c r="CB60" s="543"/>
      <c r="CC60" s="543"/>
      <c r="CD60" s="543"/>
    </row>
    <row r="61" spans="12:82" ht="12">
      <c r="L61" s="543"/>
      <c r="M61" s="543"/>
      <c r="N61" s="543"/>
      <c r="O61" s="543"/>
      <c r="P61" s="543"/>
      <c r="Q61" s="543"/>
      <c r="R61" s="543"/>
      <c r="S61" s="543"/>
      <c r="T61" s="543"/>
      <c r="U61" s="543"/>
      <c r="V61" s="543"/>
      <c r="W61" s="543"/>
      <c r="X61" s="543"/>
      <c r="Y61" s="543"/>
      <c r="Z61" s="543"/>
      <c r="AA61" s="543"/>
      <c r="AB61" s="543"/>
      <c r="AC61" s="543"/>
      <c r="AD61" s="543"/>
      <c r="AE61" s="543"/>
      <c r="AF61" s="543"/>
      <c r="AG61" s="543"/>
      <c r="AH61" s="543"/>
      <c r="AI61" s="543"/>
      <c r="AJ61" s="543"/>
      <c r="AK61" s="543"/>
      <c r="AL61" s="543"/>
      <c r="AM61" s="543"/>
      <c r="AN61" s="543"/>
      <c r="AO61" s="543"/>
      <c r="AP61" s="543"/>
      <c r="AQ61" s="543"/>
      <c r="AR61" s="543"/>
      <c r="AS61" s="543"/>
      <c r="AT61" s="543"/>
      <c r="AU61" s="543"/>
      <c r="AV61" s="543"/>
      <c r="AW61" s="543"/>
      <c r="AX61" s="543"/>
      <c r="AY61" s="543"/>
      <c r="AZ61" s="543"/>
      <c r="BA61" s="543"/>
      <c r="BB61" s="543"/>
      <c r="BC61" s="543"/>
      <c r="BD61" s="543"/>
      <c r="BE61" s="543"/>
      <c r="BF61" s="543"/>
      <c r="BG61" s="543"/>
      <c r="BH61" s="543"/>
      <c r="BI61" s="543"/>
      <c r="BJ61" s="543"/>
      <c r="BK61" s="543"/>
      <c r="BL61" s="543"/>
      <c r="BM61" s="543"/>
      <c r="BN61" s="543"/>
      <c r="BO61" s="543"/>
      <c r="BP61" s="543"/>
      <c r="BQ61" s="543"/>
      <c r="BR61" s="543"/>
      <c r="BS61" s="543"/>
      <c r="BT61" s="543"/>
      <c r="BU61" s="543"/>
      <c r="BV61" s="543"/>
      <c r="BW61" s="543"/>
      <c r="BX61" s="543"/>
      <c r="BY61" s="543"/>
      <c r="BZ61" s="543"/>
      <c r="CA61" s="543"/>
      <c r="CB61" s="543"/>
      <c r="CC61" s="543"/>
      <c r="CD61" s="543"/>
    </row>
    <row r="62" spans="12:82" ht="12">
      <c r="L62" s="543"/>
      <c r="M62" s="543"/>
      <c r="N62" s="543"/>
      <c r="O62" s="543"/>
      <c r="P62" s="543"/>
      <c r="Q62" s="543"/>
      <c r="R62" s="543"/>
      <c r="S62" s="543"/>
      <c r="T62" s="543"/>
      <c r="U62" s="543"/>
      <c r="V62" s="543"/>
      <c r="W62" s="543"/>
      <c r="X62" s="543"/>
      <c r="Y62" s="543"/>
      <c r="Z62" s="543"/>
      <c r="AA62" s="543"/>
      <c r="AB62" s="543"/>
      <c r="AC62" s="543"/>
      <c r="AD62" s="543"/>
      <c r="AE62" s="543"/>
      <c r="AF62" s="543"/>
      <c r="AG62" s="543"/>
      <c r="AH62" s="543"/>
      <c r="AI62" s="543"/>
      <c r="AJ62" s="543"/>
      <c r="AK62" s="543"/>
      <c r="AL62" s="543"/>
      <c r="AM62" s="543"/>
      <c r="AN62" s="543"/>
      <c r="AO62" s="543"/>
      <c r="AP62" s="543"/>
      <c r="AQ62" s="543"/>
      <c r="AR62" s="543"/>
      <c r="AS62" s="543"/>
      <c r="AT62" s="543"/>
      <c r="AU62" s="543"/>
      <c r="AV62" s="543"/>
      <c r="AW62" s="543"/>
      <c r="AX62" s="543"/>
      <c r="AY62" s="543"/>
      <c r="AZ62" s="543"/>
      <c r="BA62" s="543"/>
      <c r="BB62" s="543"/>
      <c r="BC62" s="543"/>
      <c r="BD62" s="543"/>
      <c r="BE62" s="543"/>
      <c r="BF62" s="543"/>
      <c r="BG62" s="543"/>
      <c r="BH62" s="543"/>
      <c r="BI62" s="543"/>
      <c r="BJ62" s="543"/>
      <c r="BK62" s="543"/>
      <c r="BL62" s="543"/>
      <c r="BM62" s="543"/>
      <c r="BN62" s="543"/>
      <c r="BO62" s="543"/>
      <c r="BP62" s="543"/>
      <c r="BQ62" s="543"/>
      <c r="BR62" s="543"/>
      <c r="BS62" s="543"/>
      <c r="BT62" s="543"/>
      <c r="BU62" s="543"/>
      <c r="BV62" s="543"/>
      <c r="BW62" s="543"/>
      <c r="BX62" s="543"/>
      <c r="BY62" s="543"/>
      <c r="BZ62" s="543"/>
      <c r="CA62" s="543"/>
      <c r="CB62" s="543"/>
      <c r="CC62" s="543"/>
      <c r="CD62" s="543"/>
    </row>
  </sheetData>
  <printOptions/>
  <pageMargins left="1.33" right="0.53" top="1.98" bottom="0.984251968503937" header="0.5118110236220472" footer="0.5118110236220472"/>
  <pageSetup firstPageNumber="35" useFirstPageNumber="1" horizontalDpi="300" verticalDpi="300" orientation="portrait" paperSize="9" r:id="rId1"/>
  <headerFooter alignWithMargins="0">
    <oddFooter>&amp;L&amp;"Arial,Regular"&amp;8Valsts kase / Pārskatu departaments
15.12.00.
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5"/>
  <dimension ref="A1:J63"/>
  <sheetViews>
    <sheetView workbookViewId="0" topLeftCell="B28">
      <selection activeCell="A15" sqref="A15"/>
    </sheetView>
  </sheetViews>
  <sheetFormatPr defaultColWidth="9.140625" defaultRowHeight="12.75"/>
  <cols>
    <col min="1" max="1" width="19.140625" style="458" customWidth="1"/>
    <col min="2" max="3" width="13.140625" style="458" customWidth="1"/>
    <col min="4" max="4" width="14.00390625" style="458" customWidth="1"/>
    <col min="5" max="5" width="16.57421875" style="458" customWidth="1"/>
    <col min="6" max="6" width="9.7109375" style="458" customWidth="1"/>
    <col min="7" max="8" width="8.8515625" style="458" customWidth="1"/>
    <col min="9" max="9" width="14.8515625" style="458" customWidth="1"/>
    <col min="10" max="16384" width="8.00390625" style="458" customWidth="1"/>
  </cols>
  <sheetData>
    <row r="1" spans="1:10" ht="12.75" customHeight="1">
      <c r="A1" s="459" t="s">
        <v>79</v>
      </c>
      <c r="B1" s="459"/>
      <c r="C1" s="459"/>
      <c r="D1" s="459"/>
      <c r="E1" s="459"/>
      <c r="F1" s="459"/>
      <c r="G1" s="459"/>
      <c r="H1" s="459"/>
      <c r="I1" s="705" t="s">
        <v>80</v>
      </c>
      <c r="J1" s="468"/>
    </row>
    <row r="2" spans="1:9" ht="12">
      <c r="A2" s="543"/>
      <c r="B2" s="543"/>
      <c r="C2" s="543"/>
      <c r="D2" s="543"/>
      <c r="E2" s="543"/>
      <c r="F2" s="543"/>
      <c r="G2" s="543"/>
      <c r="H2" s="543"/>
      <c r="I2" s="543"/>
    </row>
    <row r="3" spans="1:9" ht="12">
      <c r="A3" s="543"/>
      <c r="B3" s="543"/>
      <c r="C3" s="543"/>
      <c r="D3" s="543"/>
      <c r="E3" s="543"/>
      <c r="F3" s="543"/>
      <c r="G3" s="543"/>
      <c r="H3" s="543"/>
      <c r="I3" s="543"/>
    </row>
    <row r="4" spans="1:9" ht="15.75">
      <c r="A4" s="460" t="s">
        <v>81</v>
      </c>
      <c r="B4" s="608"/>
      <c r="C4" s="608"/>
      <c r="D4" s="608"/>
      <c r="E4" s="608"/>
      <c r="F4" s="608"/>
      <c r="G4" s="608"/>
      <c r="H4" s="608"/>
      <c r="I4" s="608"/>
    </row>
    <row r="5" spans="1:9" ht="15.75">
      <c r="A5" s="460" t="s">
        <v>82</v>
      </c>
      <c r="B5" s="508"/>
      <c r="C5" s="460"/>
      <c r="D5" s="460"/>
      <c r="E5" s="460"/>
      <c r="F5" s="505"/>
      <c r="G5" s="505"/>
      <c r="H5" s="505"/>
      <c r="I5" s="505"/>
    </row>
    <row r="6" spans="1:9" ht="15.75">
      <c r="A6" s="611"/>
      <c r="B6" s="543"/>
      <c r="C6" s="543"/>
      <c r="D6" s="543"/>
      <c r="E6" s="543"/>
      <c r="F6" s="543"/>
      <c r="G6" s="543"/>
      <c r="H6" s="543"/>
      <c r="I6" s="543"/>
    </row>
    <row r="7" spans="1:9" ht="11.25">
      <c r="A7" s="464"/>
      <c r="B7" s="464"/>
      <c r="C7" s="464"/>
      <c r="D7" s="464"/>
      <c r="E7" s="464"/>
      <c r="F7" s="464"/>
      <c r="G7" s="464"/>
      <c r="H7" s="464"/>
      <c r="I7" s="464" t="s">
        <v>83</v>
      </c>
    </row>
    <row r="8" spans="1:9" ht="56.25">
      <c r="A8" s="453" t="s">
        <v>84</v>
      </c>
      <c r="B8" s="706" t="s">
        <v>85</v>
      </c>
      <c r="C8" s="706" t="s">
        <v>86</v>
      </c>
      <c r="D8" s="706" t="s">
        <v>87</v>
      </c>
      <c r="E8" s="706" t="s">
        <v>88</v>
      </c>
      <c r="F8" s="706" t="s">
        <v>89</v>
      </c>
      <c r="G8" s="707" t="s">
        <v>90</v>
      </c>
      <c r="H8" s="708"/>
      <c r="I8" s="455" t="s">
        <v>91</v>
      </c>
    </row>
    <row r="9" spans="1:9" ht="11.25">
      <c r="A9" s="465"/>
      <c r="B9" s="466"/>
      <c r="C9" s="466"/>
      <c r="D9" s="466"/>
      <c r="E9" s="466"/>
      <c r="F9" s="466"/>
      <c r="G9" s="466" t="s">
        <v>92</v>
      </c>
      <c r="H9" s="466" t="s">
        <v>93</v>
      </c>
      <c r="I9" s="467"/>
    </row>
    <row r="10" spans="1:9" ht="11.25">
      <c r="A10" s="709">
        <v>1</v>
      </c>
      <c r="B10" s="710">
        <v>2</v>
      </c>
      <c r="C10" s="710">
        <v>3</v>
      </c>
      <c r="D10" s="710">
        <v>4</v>
      </c>
      <c r="E10" s="710">
        <v>5</v>
      </c>
      <c r="F10" s="710">
        <v>6</v>
      </c>
      <c r="G10" s="710">
        <v>7</v>
      </c>
      <c r="H10" s="710">
        <v>8</v>
      </c>
      <c r="I10" s="711">
        <v>9</v>
      </c>
    </row>
    <row r="11" spans="1:9" ht="12">
      <c r="A11" s="670" t="s">
        <v>7</v>
      </c>
      <c r="B11" s="712">
        <v>350000</v>
      </c>
      <c r="C11" s="712">
        <f>2247273+190563+286180+385954+362843</f>
        <v>3472813</v>
      </c>
      <c r="D11" s="470">
        <f>11087+11087+11087+11111</f>
        <v>44372</v>
      </c>
      <c r="E11" s="712">
        <f>12230091+746190+1186644+1827013+1716642</f>
        <v>17706580</v>
      </c>
      <c r="F11" s="470"/>
      <c r="G11" s="470"/>
      <c r="H11" s="470"/>
      <c r="I11" s="695">
        <f aca="true" t="shared" si="0" ref="I11:I44">SUM(B11:H11)</f>
        <v>21573765</v>
      </c>
    </row>
    <row r="12" spans="1:9" ht="12">
      <c r="A12" s="670" t="s">
        <v>8</v>
      </c>
      <c r="B12" s="470">
        <v>534000</v>
      </c>
      <c r="C12" s="470">
        <f>301496+25475+38334+54086+49812</f>
        <v>469203</v>
      </c>
      <c r="D12" s="470">
        <f>1090+1090+1090+1088</f>
        <v>4358</v>
      </c>
      <c r="E12" s="712">
        <f>1957039+134765+193972+310897+285245</f>
        <v>2881918</v>
      </c>
      <c r="F12" s="470"/>
      <c r="G12" s="470"/>
      <c r="H12" s="470">
        <v>11250</v>
      </c>
      <c r="I12" s="695">
        <f t="shared" si="0"/>
        <v>3900729</v>
      </c>
    </row>
    <row r="13" spans="1:9" ht="12">
      <c r="A13" s="670" t="s">
        <v>9</v>
      </c>
      <c r="B13" s="470">
        <v>651223</v>
      </c>
      <c r="C13" s="470">
        <f>245846+20586+31143+41362+39208</f>
        <v>378145</v>
      </c>
      <c r="D13" s="470">
        <f>3087+3087+3087+3086</f>
        <v>12347</v>
      </c>
      <c r="E13" s="712">
        <f>1228674+97254+119314+190798+177957</f>
        <v>1813997</v>
      </c>
      <c r="F13" s="470"/>
      <c r="G13" s="470"/>
      <c r="H13" s="470"/>
      <c r="I13" s="695">
        <f t="shared" si="0"/>
        <v>2855712</v>
      </c>
    </row>
    <row r="14" spans="1:9" ht="12">
      <c r="A14" s="670" t="s">
        <v>10</v>
      </c>
      <c r="B14" s="470">
        <v>39000</v>
      </c>
      <c r="C14" s="470">
        <f>71184+5770+9008+11728+11219</f>
        <v>108909</v>
      </c>
      <c r="D14" s="470">
        <f>194+194+194+192</f>
        <v>774</v>
      </c>
      <c r="E14" s="712">
        <f>950837+71455+90993+137365+131114</f>
        <v>1381764</v>
      </c>
      <c r="F14" s="470"/>
      <c r="G14" s="470"/>
      <c r="H14" s="470"/>
      <c r="I14" s="695">
        <f t="shared" si="0"/>
        <v>1530447</v>
      </c>
    </row>
    <row r="15" spans="1:9" ht="12">
      <c r="A15" s="670" t="s">
        <v>11</v>
      </c>
      <c r="B15" s="470">
        <v>655000</v>
      </c>
      <c r="C15" s="470">
        <f>360161+30369+45755+60803+57588</f>
        <v>554676</v>
      </c>
      <c r="D15" s="470">
        <f>1090+1090+1090+1088</f>
        <v>4358</v>
      </c>
      <c r="E15" s="712">
        <f>1467819+79286+140432+212107+200689</f>
        <v>2100333</v>
      </c>
      <c r="F15" s="470"/>
      <c r="G15" s="470"/>
      <c r="H15" s="470"/>
      <c r="I15" s="695">
        <f t="shared" si="0"/>
        <v>3314367</v>
      </c>
    </row>
    <row r="16" spans="1:9" ht="12">
      <c r="A16" s="670" t="s">
        <v>12</v>
      </c>
      <c r="B16" s="470">
        <v>86000</v>
      </c>
      <c r="C16" s="470">
        <f>260996+22002+33154+42900+41151</f>
        <v>400203</v>
      </c>
      <c r="D16" s="470">
        <f>908+908+908+907</f>
        <v>3631</v>
      </c>
      <c r="E16" s="470">
        <f>721716+64825+69733+106811+102094</f>
        <v>1065179</v>
      </c>
      <c r="F16" s="470"/>
      <c r="G16" s="470"/>
      <c r="H16" s="470">
        <v>7500</v>
      </c>
      <c r="I16" s="695">
        <f t="shared" si="0"/>
        <v>1562513</v>
      </c>
    </row>
    <row r="17" spans="1:9" ht="12">
      <c r="A17" s="670" t="s">
        <v>13</v>
      </c>
      <c r="B17" s="470">
        <v>276000</v>
      </c>
      <c r="C17" s="470">
        <f>26119+2158+3291+4181+4052</f>
        <v>39801</v>
      </c>
      <c r="D17" s="470">
        <f>726+726+726+727</f>
        <v>2905</v>
      </c>
      <c r="E17" s="712">
        <f>784173+49280+64425+104293+96373</f>
        <v>1098544</v>
      </c>
      <c r="F17" s="470"/>
      <c r="G17" s="470"/>
      <c r="H17" s="470">
        <v>11250</v>
      </c>
      <c r="I17" s="695">
        <f t="shared" si="0"/>
        <v>1428500</v>
      </c>
    </row>
    <row r="18" spans="1:9" ht="12">
      <c r="A18" s="670" t="s">
        <v>16</v>
      </c>
      <c r="B18" s="470">
        <v>457000</v>
      </c>
      <c r="C18" s="470">
        <f>244896+20721+31159+40153+38579</f>
        <v>375508</v>
      </c>
      <c r="D18" s="470">
        <f>726+726+726+727</f>
        <v>2905</v>
      </c>
      <c r="E18" s="712">
        <f>1051274+64984+90176+148183+139878</f>
        <v>1494495</v>
      </c>
      <c r="F18" s="470"/>
      <c r="G18" s="470"/>
      <c r="H18" s="470">
        <v>15750</v>
      </c>
      <c r="I18" s="695">
        <f t="shared" si="0"/>
        <v>2345658</v>
      </c>
    </row>
    <row r="19" spans="1:9" ht="12">
      <c r="A19" s="670" t="s">
        <v>17</v>
      </c>
      <c r="B19" s="470">
        <v>104000</v>
      </c>
      <c r="C19" s="470">
        <f>277130+23188+35095+45010+43387</f>
        <v>423810</v>
      </c>
      <c r="D19" s="470">
        <f>908+908+908+908</f>
        <v>3632</v>
      </c>
      <c r="E19" s="470">
        <f>628612+31498+64175+96222+91579</f>
        <v>912086</v>
      </c>
      <c r="F19" s="470"/>
      <c r="G19" s="470"/>
      <c r="H19" s="470"/>
      <c r="I19" s="695">
        <f t="shared" si="0"/>
        <v>1443528</v>
      </c>
    </row>
    <row r="20" spans="1:9" ht="12">
      <c r="A20" s="670" t="s">
        <v>18</v>
      </c>
      <c r="B20" s="470">
        <v>253000</v>
      </c>
      <c r="C20" s="470">
        <f>227939+19059+28857+36343+35343</f>
        <v>347541</v>
      </c>
      <c r="D20" s="470">
        <f>1453+1453+1453+1451</f>
        <v>5810</v>
      </c>
      <c r="E20" s="470">
        <f>723085+44715+71668+106574+102469</f>
        <v>1048511</v>
      </c>
      <c r="F20" s="470"/>
      <c r="G20" s="470">
        <v>1400</v>
      </c>
      <c r="H20" s="470"/>
      <c r="I20" s="695">
        <f t="shared" si="0"/>
        <v>1656262</v>
      </c>
    </row>
    <row r="21" spans="1:9" ht="12">
      <c r="A21" s="670" t="s">
        <v>19</v>
      </c>
      <c r="B21" s="470">
        <v>366000</v>
      </c>
      <c r="C21" s="470">
        <f>382329+30082+46197+64812+60519</f>
        <v>583939</v>
      </c>
      <c r="D21" s="470">
        <f>1271+1271+1271+1271</f>
        <v>5084</v>
      </c>
      <c r="E21" s="712">
        <f>1208867+62889+106404+172644+161429</f>
        <v>1712233</v>
      </c>
      <c r="F21" s="470"/>
      <c r="G21" s="470"/>
      <c r="H21" s="470">
        <v>9750</v>
      </c>
      <c r="I21" s="695">
        <f t="shared" si="0"/>
        <v>2677006</v>
      </c>
    </row>
    <row r="22" spans="1:9" ht="12">
      <c r="A22" s="670" t="s">
        <v>20</v>
      </c>
      <c r="B22" s="470">
        <v>294000</v>
      </c>
      <c r="C22" s="712">
        <f>674447+56343+85352+111733+106667</f>
        <v>1034542</v>
      </c>
      <c r="D22" s="470">
        <f>1453+1453+1453+1451</f>
        <v>5810</v>
      </c>
      <c r="E22" s="712">
        <f>1416663+78224+134368+208361+195034</f>
        <v>2032650</v>
      </c>
      <c r="F22" s="470"/>
      <c r="G22" s="470">
        <v>3000</v>
      </c>
      <c r="H22" s="470">
        <v>19838</v>
      </c>
      <c r="I22" s="695">
        <f t="shared" si="0"/>
        <v>3389840</v>
      </c>
    </row>
    <row r="23" spans="1:9" ht="12">
      <c r="A23" s="670" t="s">
        <v>21</v>
      </c>
      <c r="B23" s="470">
        <v>397000</v>
      </c>
      <c r="C23" s="470">
        <f>204840+17303+26042+36248+33594</f>
        <v>318027</v>
      </c>
      <c r="D23" s="470">
        <f>545+545+545+544</f>
        <v>2179</v>
      </c>
      <c r="E23" s="712">
        <f>854806+45586+81556+123468+118070</f>
        <v>1223486</v>
      </c>
      <c r="F23" s="470"/>
      <c r="G23" s="470">
        <v>4909</v>
      </c>
      <c r="H23" s="470">
        <v>37500</v>
      </c>
      <c r="I23" s="695">
        <f t="shared" si="0"/>
        <v>1983101</v>
      </c>
    </row>
    <row r="24" spans="1:9" ht="12">
      <c r="A24" s="670" t="s">
        <v>22</v>
      </c>
      <c r="B24" s="470">
        <v>334950</v>
      </c>
      <c r="C24" s="470">
        <f>90500+7665+11516+15942+14808</f>
        <v>140431</v>
      </c>
      <c r="D24" s="470">
        <f>908+908+908+908</f>
        <v>3632</v>
      </c>
      <c r="E24" s="712">
        <f>1007826+68789+96332+153435+142757</f>
        <v>1469139</v>
      </c>
      <c r="F24" s="470"/>
      <c r="G24" s="470"/>
      <c r="H24" s="470">
        <v>40763</v>
      </c>
      <c r="I24" s="695">
        <f t="shared" si="0"/>
        <v>1988915</v>
      </c>
    </row>
    <row r="25" spans="1:9" ht="12">
      <c r="A25" s="670" t="s">
        <v>23</v>
      </c>
      <c r="B25" s="470">
        <v>400000</v>
      </c>
      <c r="C25" s="470">
        <f>87699+7380+11134+18272+15753</f>
        <v>140238</v>
      </c>
      <c r="D25" s="470">
        <f>545+545+545+544</f>
        <v>2179</v>
      </c>
      <c r="E25" s="470">
        <f>659208+53206+68463+104439+99811</f>
        <v>985127</v>
      </c>
      <c r="F25" s="470"/>
      <c r="G25" s="470"/>
      <c r="H25" s="470">
        <v>5250</v>
      </c>
      <c r="I25" s="695">
        <f t="shared" si="0"/>
        <v>1532794</v>
      </c>
    </row>
    <row r="26" spans="1:9" ht="12">
      <c r="A26" s="670" t="s">
        <v>24</v>
      </c>
      <c r="B26" s="470"/>
      <c r="C26" s="470">
        <f>175729+14812+22322+32397+29464</f>
        <v>274724</v>
      </c>
      <c r="D26" s="470">
        <f>726+726+726+727</f>
        <v>2905</v>
      </c>
      <c r="E26" s="712">
        <f>844144+34438+79753+120918+113732</f>
        <v>1192985</v>
      </c>
      <c r="F26" s="470"/>
      <c r="G26" s="470"/>
      <c r="H26" s="470"/>
      <c r="I26" s="695">
        <f t="shared" si="0"/>
        <v>1470614</v>
      </c>
    </row>
    <row r="27" spans="1:9" ht="12">
      <c r="A27" s="670" t="s">
        <v>25</v>
      </c>
      <c r="B27" s="470">
        <v>348000</v>
      </c>
      <c r="C27" s="470">
        <f>302820+23933+37755+49216+47292</f>
        <v>461016</v>
      </c>
      <c r="D27" s="470">
        <f>908+908+908+908</f>
        <v>3632</v>
      </c>
      <c r="E27" s="712">
        <f>1182026+60351+109974+179811+168381</f>
        <v>1700543</v>
      </c>
      <c r="F27" s="470"/>
      <c r="G27" s="470">
        <v>1076</v>
      </c>
      <c r="H27" s="470">
        <v>19819</v>
      </c>
      <c r="I27" s="695">
        <f t="shared" si="0"/>
        <v>2534086</v>
      </c>
    </row>
    <row r="28" spans="1:9" ht="12">
      <c r="A28" s="670" t="s">
        <v>26</v>
      </c>
      <c r="B28" s="470">
        <v>100000</v>
      </c>
      <c r="C28" s="470">
        <f>91210+7724+11610+19576+16680</f>
        <v>146800</v>
      </c>
      <c r="D28" s="470">
        <f>578+578+578+576</f>
        <v>2310</v>
      </c>
      <c r="E28" s="712">
        <f>881497+39564+87907+134956+126788</f>
        <v>1270712</v>
      </c>
      <c r="F28" s="470"/>
      <c r="G28" s="470"/>
      <c r="H28" s="470">
        <v>5250</v>
      </c>
      <c r="I28" s="695">
        <f t="shared" si="0"/>
        <v>1525072</v>
      </c>
    </row>
    <row r="29" spans="1:9" ht="12">
      <c r="A29" s="670" t="s">
        <v>27</v>
      </c>
      <c r="B29" s="470">
        <v>636000</v>
      </c>
      <c r="C29" s="470">
        <f>295209+25054+37606+53190+48913</f>
        <v>459972</v>
      </c>
      <c r="D29" s="470">
        <f>908+908+908+908</f>
        <v>3632</v>
      </c>
      <c r="E29" s="712">
        <f>1023171+25180+95630+139492+133582</f>
        <v>1417055</v>
      </c>
      <c r="F29" s="470"/>
      <c r="G29" s="470">
        <v>1750</v>
      </c>
      <c r="H29" s="470">
        <v>41400</v>
      </c>
      <c r="I29" s="695">
        <f t="shared" si="0"/>
        <v>2559809</v>
      </c>
    </row>
    <row r="30" spans="1:9" ht="12">
      <c r="A30" s="670" t="s">
        <v>28</v>
      </c>
      <c r="B30" s="470">
        <v>60500</v>
      </c>
      <c r="C30" s="470">
        <f>337050+28323+42758+58985+54914</f>
        <v>522030</v>
      </c>
      <c r="D30" s="470">
        <f>908+908+908+907</f>
        <v>3631</v>
      </c>
      <c r="E30" s="712">
        <f>1123658+50811+107816+160957+154381</f>
        <v>1597623</v>
      </c>
      <c r="F30" s="470"/>
      <c r="G30" s="470">
        <v>4875</v>
      </c>
      <c r="H30" s="470">
        <v>31500</v>
      </c>
      <c r="I30" s="695">
        <f t="shared" si="0"/>
        <v>2220159</v>
      </c>
    </row>
    <row r="31" spans="1:9" ht="12">
      <c r="A31" s="670" t="s">
        <v>29</v>
      </c>
      <c r="B31" s="470">
        <v>448000</v>
      </c>
      <c r="C31" s="470">
        <f>105050+8902+13374+17998+16938</f>
        <v>162262</v>
      </c>
      <c r="D31" s="470">
        <f>908+908+908+907</f>
        <v>3631</v>
      </c>
      <c r="E31" s="712">
        <f>917646+50257+88542+137372+129459</f>
        <v>1323276</v>
      </c>
      <c r="F31" s="470"/>
      <c r="G31" s="470">
        <v>1250</v>
      </c>
      <c r="H31" s="470">
        <v>10200</v>
      </c>
      <c r="I31" s="695">
        <f t="shared" si="0"/>
        <v>1948619</v>
      </c>
    </row>
    <row r="32" spans="1:9" ht="12">
      <c r="A32" s="670" t="s">
        <v>30</v>
      </c>
      <c r="B32" s="470">
        <v>46000</v>
      </c>
      <c r="C32" s="470">
        <f>94980+7237+11249+17669+15904</f>
        <v>147039</v>
      </c>
      <c r="D32" s="470">
        <f>908+908+908+907</f>
        <v>3631</v>
      </c>
      <c r="E32" s="712">
        <f>798087+21672+76889+111830+107653</f>
        <v>1116131</v>
      </c>
      <c r="F32" s="470"/>
      <c r="G32" s="470"/>
      <c r="H32" s="470">
        <v>30135</v>
      </c>
      <c r="I32" s="695">
        <f t="shared" si="0"/>
        <v>1342936</v>
      </c>
    </row>
    <row r="33" spans="1:9" ht="12">
      <c r="A33" s="670" t="s">
        <v>31</v>
      </c>
      <c r="B33" s="470">
        <v>360000</v>
      </c>
      <c r="C33" s="470">
        <f>178189+14976+22606+29685+28282</f>
        <v>273738</v>
      </c>
      <c r="D33" s="470">
        <f>1634+1634+1634+1635</f>
        <v>6537</v>
      </c>
      <c r="E33" s="712">
        <f>1035183+100937+99534+164993+154071</f>
        <v>1554718</v>
      </c>
      <c r="F33" s="470"/>
      <c r="G33" s="470"/>
      <c r="H33" s="470">
        <v>4425</v>
      </c>
      <c r="I33" s="695">
        <f t="shared" si="0"/>
        <v>2199418</v>
      </c>
    </row>
    <row r="34" spans="1:9" ht="12">
      <c r="A34" s="670" t="s">
        <v>32</v>
      </c>
      <c r="B34" s="470">
        <v>184000</v>
      </c>
      <c r="C34" s="470">
        <f>179897+15041+22772+28742+27923</f>
        <v>274375</v>
      </c>
      <c r="D34" s="470">
        <f>1453+1453+1453+1451</f>
        <v>5810</v>
      </c>
      <c r="E34" s="712">
        <f>1342822+99492+129252+207551+195669</f>
        <v>1974786</v>
      </c>
      <c r="F34" s="470"/>
      <c r="G34" s="470"/>
      <c r="H34" s="470"/>
      <c r="I34" s="695">
        <f t="shared" si="0"/>
        <v>2438971</v>
      </c>
    </row>
    <row r="35" spans="1:9" ht="12">
      <c r="A35" s="670" t="s">
        <v>33</v>
      </c>
      <c r="B35" s="470">
        <v>259500</v>
      </c>
      <c r="C35" s="470">
        <f>278079+13097+25047+36847+36180</f>
        <v>389250</v>
      </c>
      <c r="D35" s="470">
        <f>1453+1453+1453+1451</f>
        <v>5810</v>
      </c>
      <c r="E35" s="712">
        <f>981801+67198+101315+151448+143514</f>
        <v>1445276</v>
      </c>
      <c r="F35" s="470"/>
      <c r="G35" s="470"/>
      <c r="H35" s="470"/>
      <c r="I35" s="695">
        <f t="shared" si="0"/>
        <v>2099836</v>
      </c>
    </row>
    <row r="36" spans="1:9" ht="12">
      <c r="A36" s="670" t="s">
        <v>34</v>
      </c>
      <c r="B36" s="470">
        <v>60000</v>
      </c>
      <c r="C36" s="470">
        <f>397892+30343+47153+67855+62992</f>
        <v>606235</v>
      </c>
      <c r="D36" s="470">
        <f>908+908+908+907</f>
        <v>3631</v>
      </c>
      <c r="E36" s="712">
        <f>936129+57869+95040+149245+138522</f>
        <v>1376805</v>
      </c>
      <c r="F36" s="470"/>
      <c r="G36" s="470">
        <v>1750</v>
      </c>
      <c r="H36" s="470">
        <v>36000</v>
      </c>
      <c r="I36" s="695">
        <f t="shared" si="0"/>
        <v>2084421</v>
      </c>
    </row>
    <row r="37" spans="1:9" ht="12">
      <c r="A37" s="670" t="s">
        <v>35</v>
      </c>
      <c r="B37" s="470">
        <v>872000</v>
      </c>
      <c r="C37" s="470">
        <f>354822+29919+45077+64991+59280</f>
        <v>554089</v>
      </c>
      <c r="D37" s="470">
        <f>2905+2905+2905+2906</f>
        <v>11621</v>
      </c>
      <c r="E37" s="712">
        <f>2552674+137740+246083+365994+353394</f>
        <v>3655885</v>
      </c>
      <c r="F37" s="470"/>
      <c r="G37" s="470">
        <v>1750</v>
      </c>
      <c r="H37" s="470">
        <v>12000</v>
      </c>
      <c r="I37" s="695">
        <f t="shared" si="0"/>
        <v>5107345</v>
      </c>
    </row>
    <row r="38" spans="1:9" ht="12">
      <c r="A38" s="670" t="s">
        <v>36</v>
      </c>
      <c r="B38" s="470">
        <v>445000</v>
      </c>
      <c r="C38" s="470">
        <f>385650+32200+48792+65071+61578</f>
        <v>593291</v>
      </c>
      <c r="D38" s="470">
        <f>908+908+908+907</f>
        <v>3631</v>
      </c>
      <c r="E38" s="712">
        <f>913304+45968+87551+127340+123754</f>
        <v>1297917</v>
      </c>
      <c r="F38" s="470"/>
      <c r="G38" s="470"/>
      <c r="H38" s="470"/>
      <c r="I38" s="695">
        <f t="shared" si="0"/>
        <v>2339839</v>
      </c>
    </row>
    <row r="39" spans="1:9" ht="12">
      <c r="A39" s="670" t="s">
        <v>37</v>
      </c>
      <c r="B39" s="470">
        <v>668000</v>
      </c>
      <c r="C39" s="470">
        <f>169529+14367+21583+30376+28000</f>
        <v>263855</v>
      </c>
      <c r="D39" s="470">
        <f>1271+1271+1271+1271</f>
        <v>5084</v>
      </c>
      <c r="E39" s="712">
        <f>1185714+90147+113702+176074+168217</f>
        <v>1733854</v>
      </c>
      <c r="F39" s="470"/>
      <c r="G39" s="470">
        <v>1550</v>
      </c>
      <c r="H39" s="470">
        <v>5250</v>
      </c>
      <c r="I39" s="695">
        <f t="shared" si="0"/>
        <v>2677593</v>
      </c>
    </row>
    <row r="40" spans="1:9" ht="12">
      <c r="A40" s="670" t="s">
        <v>38</v>
      </c>
      <c r="B40" s="712">
        <v>401000</v>
      </c>
      <c r="C40" s="470">
        <f>500820+42049+63510+86069+80801</f>
        <v>773249</v>
      </c>
      <c r="D40" s="470">
        <f>908+908+908+907</f>
        <v>3631</v>
      </c>
      <c r="E40" s="712">
        <f>1213518+82410+116486+184427+173256</f>
        <v>1770097</v>
      </c>
      <c r="F40" s="712"/>
      <c r="G40" s="712"/>
      <c r="H40" s="712">
        <v>17639</v>
      </c>
      <c r="I40" s="695">
        <f t="shared" si="0"/>
        <v>2965616</v>
      </c>
    </row>
    <row r="41" spans="1:9" ht="12">
      <c r="A41" s="670" t="s">
        <v>39</v>
      </c>
      <c r="B41" s="470">
        <v>40000</v>
      </c>
      <c r="C41" s="470">
        <f>124231+10423+15747+21471+20101</f>
        <v>191973</v>
      </c>
      <c r="D41" s="470">
        <f>1453+1453+1453+1451</f>
        <v>5810</v>
      </c>
      <c r="E41" s="712">
        <f>799073+41638+73246+114648+110472</f>
        <v>1139077</v>
      </c>
      <c r="F41" s="712"/>
      <c r="G41" s="712">
        <v>1750</v>
      </c>
      <c r="H41" s="712">
        <v>24600</v>
      </c>
      <c r="I41" s="695">
        <f t="shared" si="0"/>
        <v>1403210</v>
      </c>
    </row>
    <row r="42" spans="1:9" ht="12">
      <c r="A42" s="670" t="s">
        <v>40</v>
      </c>
      <c r="B42" s="470">
        <v>250000</v>
      </c>
      <c r="C42" s="470">
        <f>506830+37993+59042+91614+84502</f>
        <v>779981</v>
      </c>
      <c r="D42" s="470">
        <f>1634+1634+1634+1635</f>
        <v>6537</v>
      </c>
      <c r="E42" s="712">
        <f>1472207+90103+127480+216430+208975</f>
        <v>2115195</v>
      </c>
      <c r="F42" s="712"/>
      <c r="G42" s="712"/>
      <c r="H42" s="712">
        <v>7500</v>
      </c>
      <c r="I42" s="695">
        <f t="shared" si="0"/>
        <v>3159213</v>
      </c>
    </row>
    <row r="43" spans="1:9" ht="12">
      <c r="A43" s="713" t="s">
        <v>41</v>
      </c>
      <c r="B43" s="492">
        <v>40000</v>
      </c>
      <c r="C43" s="492">
        <f>120116+10053+15213+20899+19501</f>
        <v>185782</v>
      </c>
      <c r="D43" s="492">
        <f>694+694+694+692</f>
        <v>2774</v>
      </c>
      <c r="E43" s="492">
        <f>338163+18898+32203+50990+47396</f>
        <v>487650</v>
      </c>
      <c r="F43" s="564"/>
      <c r="G43" s="714"/>
      <c r="H43" s="714">
        <v>21000</v>
      </c>
      <c r="I43" s="715">
        <f t="shared" si="0"/>
        <v>737206</v>
      </c>
    </row>
    <row r="44" spans="1:9" ht="12.75">
      <c r="A44" s="716" t="s">
        <v>43</v>
      </c>
      <c r="B44" s="717">
        <f aca="true" t="shared" si="1" ref="B44:H44">SUM(B11:B43)</f>
        <v>10415173</v>
      </c>
      <c r="C44" s="717">
        <f t="shared" si="1"/>
        <v>15847447</v>
      </c>
      <c r="D44" s="717">
        <f t="shared" si="1"/>
        <v>188224</v>
      </c>
      <c r="E44" s="717">
        <f t="shared" si="1"/>
        <v>67095627</v>
      </c>
      <c r="F44" s="717">
        <f t="shared" si="1"/>
        <v>0</v>
      </c>
      <c r="G44" s="717">
        <f t="shared" si="1"/>
        <v>25060</v>
      </c>
      <c r="H44" s="717">
        <f t="shared" si="1"/>
        <v>425569</v>
      </c>
      <c r="I44" s="718">
        <f t="shared" si="0"/>
        <v>93997100</v>
      </c>
    </row>
    <row r="45" spans="1:9" ht="12">
      <c r="A45" s="719"/>
      <c r="B45" s="720"/>
      <c r="C45" s="720"/>
      <c r="D45" s="720"/>
      <c r="E45" s="720"/>
      <c r="F45" s="720"/>
      <c r="G45" s="720"/>
      <c r="H45" s="720"/>
      <c r="I45" s="720"/>
    </row>
    <row r="46" spans="1:9" ht="12">
      <c r="A46" s="719"/>
      <c r="B46" s="720"/>
      <c r="C46" s="720"/>
      <c r="D46" s="721"/>
      <c r="E46" s="720"/>
      <c r="F46" s="720"/>
      <c r="G46" s="720"/>
      <c r="H46" s="720"/>
      <c r="I46" s="720"/>
    </row>
    <row r="47" spans="1:9" ht="12">
      <c r="A47" s="719"/>
      <c r="B47" s="720"/>
      <c r="C47" s="720"/>
      <c r="D47" s="720"/>
      <c r="E47" s="720"/>
      <c r="F47" s="720"/>
      <c r="G47" s="720"/>
      <c r="H47" s="720"/>
      <c r="I47" s="720"/>
    </row>
    <row r="48" spans="1:8" ht="12.75">
      <c r="A48" s="722"/>
      <c r="B48" s="723"/>
      <c r="C48" s="724"/>
      <c r="D48" s="725"/>
      <c r="E48" s="725"/>
      <c r="F48" s="725"/>
      <c r="G48" s="725"/>
      <c r="H48" s="725"/>
    </row>
    <row r="49" spans="1:9" s="543" customFormat="1" ht="12">
      <c r="A49" s="603" t="s">
        <v>695</v>
      </c>
      <c r="B49" s="603"/>
      <c r="C49" s="726"/>
      <c r="D49" s="727"/>
      <c r="E49" s="595"/>
      <c r="F49" s="603" t="s">
        <v>47</v>
      </c>
      <c r="G49" s="727"/>
      <c r="H49" s="595"/>
      <c r="I49" s="498" t="s">
        <v>653</v>
      </c>
    </row>
    <row r="50" spans="1:9" ht="12">
      <c r="A50" s="728"/>
      <c r="B50" s="729"/>
      <c r="C50" s="729"/>
      <c r="D50" s="729"/>
      <c r="E50" s="727"/>
      <c r="F50" s="730"/>
      <c r="G50" s="730"/>
      <c r="H50" s="730"/>
      <c r="I50" s="727"/>
    </row>
    <row r="62" ht="11.25">
      <c r="A62" s="509" t="s">
        <v>654</v>
      </c>
    </row>
    <row r="63" ht="11.25">
      <c r="A63" s="458" t="s">
        <v>655</v>
      </c>
    </row>
  </sheetData>
  <printOptions/>
  <pageMargins left="1.41" right="0.7480314960629921" top="0.984251968503937" bottom="0.984251968503937" header="0.5118110236220472" footer="0.5118110236220472"/>
  <pageSetup firstPageNumber="36" useFirstPageNumber="1" horizontalDpi="600" verticalDpi="600" orientation="landscape" paperSize="9" r:id="rId1"/>
  <headerFooter alignWithMargins="0"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7"/>
  <sheetViews>
    <sheetView workbookViewId="0" topLeftCell="G1">
      <selection activeCell="A6" sqref="A6"/>
    </sheetView>
  </sheetViews>
  <sheetFormatPr defaultColWidth="9.140625" defaultRowHeight="12.75"/>
  <cols>
    <col min="1" max="1" width="36.00390625" style="0" hidden="1" customWidth="1"/>
    <col min="2" max="2" width="12.140625" style="0" hidden="1" customWidth="1"/>
    <col min="3" max="3" width="10.421875" style="0" hidden="1" customWidth="1"/>
    <col min="4" max="4" width="11.57421875" style="0" hidden="1" customWidth="1"/>
    <col min="5" max="5" width="9.140625" style="0" hidden="1" customWidth="1"/>
    <col min="6" max="6" width="11.57421875" style="0" hidden="1" customWidth="1"/>
    <col min="7" max="7" width="42.28125" style="0" customWidth="1"/>
    <col min="8" max="8" width="12.28125" style="0" customWidth="1"/>
    <col min="9" max="9" width="10.140625" style="0" customWidth="1"/>
    <col min="10" max="10" width="10.28125" style="0" customWidth="1"/>
    <col min="12" max="12" width="10.57421875" style="0" customWidth="1"/>
    <col min="13" max="13" width="12.28125" style="0" hidden="1" customWidth="1"/>
    <col min="14" max="14" width="12.421875" style="0" hidden="1" customWidth="1"/>
    <col min="15" max="15" width="12.00390625" style="0" hidden="1" customWidth="1"/>
    <col min="16" max="16" width="16.421875" style="0" hidden="1" customWidth="1"/>
    <col min="17" max="17" width="16.7109375" style="0" hidden="1" customWidth="1"/>
    <col min="18" max="18" width="13.00390625" style="0" hidden="1" customWidth="1"/>
    <col min="19" max="20" width="9.140625" style="0" hidden="1" customWidth="1"/>
    <col min="21" max="21" width="14.140625" style="0" hidden="1" customWidth="1"/>
    <col min="22" max="22" width="9.140625" style="0" hidden="1" customWidth="1"/>
    <col min="23" max="23" width="12.28125" style="0" hidden="1" customWidth="1"/>
    <col min="24" max="24" width="9.140625" style="0" hidden="1" customWidth="1"/>
    <col min="25" max="25" width="12.00390625" style="0" hidden="1" customWidth="1"/>
  </cols>
  <sheetData>
    <row r="1" spans="1:12" ht="19.5" customHeight="1">
      <c r="A1" s="3"/>
      <c r="B1" s="3"/>
      <c r="C1" s="128"/>
      <c r="D1" s="3"/>
      <c r="E1" s="3"/>
      <c r="F1" s="7" t="s">
        <v>256</v>
      </c>
      <c r="G1" s="3"/>
      <c r="H1" s="3"/>
      <c r="I1" s="3"/>
      <c r="J1" s="3"/>
      <c r="K1" s="3"/>
      <c r="L1" s="7" t="s">
        <v>256</v>
      </c>
    </row>
    <row r="2" spans="1:12" ht="12.75">
      <c r="A2" s="1" t="s">
        <v>257</v>
      </c>
      <c r="B2" s="1"/>
      <c r="C2" s="129"/>
      <c r="D2" s="1"/>
      <c r="E2" s="1"/>
      <c r="F2" s="3"/>
      <c r="G2" s="1" t="s">
        <v>258</v>
      </c>
      <c r="H2" s="1"/>
      <c r="I2" s="1"/>
      <c r="J2" s="1"/>
      <c r="K2" s="1"/>
      <c r="L2" s="3"/>
    </row>
    <row r="3" spans="1:12" ht="11.25" customHeight="1">
      <c r="A3" s="25"/>
      <c r="B3" s="3"/>
      <c r="C3" s="128"/>
      <c r="D3" s="3"/>
      <c r="E3" s="3"/>
      <c r="F3" s="3"/>
      <c r="G3" s="25"/>
      <c r="H3" s="3"/>
      <c r="I3" s="3"/>
      <c r="J3" s="3"/>
      <c r="K3" s="3"/>
      <c r="L3" s="3"/>
    </row>
    <row r="4" spans="1:12" ht="15.75">
      <c r="A4" s="130" t="s">
        <v>259</v>
      </c>
      <c r="B4" s="1"/>
      <c r="C4" s="129"/>
      <c r="D4" s="1"/>
      <c r="E4" s="1"/>
      <c r="F4" s="3"/>
      <c r="G4" s="733" t="s">
        <v>260</v>
      </c>
      <c r="H4" s="733"/>
      <c r="I4" s="733"/>
      <c r="J4" s="733"/>
      <c r="K4" s="733"/>
      <c r="L4" s="733"/>
    </row>
    <row r="5" spans="1:12" ht="15.75">
      <c r="A5" s="130"/>
      <c r="B5" s="1"/>
      <c r="C5" s="129"/>
      <c r="D5" s="1"/>
      <c r="E5" s="1"/>
      <c r="F5" s="3"/>
      <c r="G5" s="101"/>
      <c r="H5" s="101"/>
      <c r="I5" s="101"/>
      <c r="J5" s="101"/>
      <c r="K5" s="101"/>
      <c r="L5" s="101"/>
    </row>
    <row r="6" spans="1:12" ht="13.5" customHeight="1">
      <c r="A6" s="25"/>
      <c r="B6" s="3"/>
      <c r="C6" s="128"/>
      <c r="D6" s="3"/>
      <c r="E6" s="46"/>
      <c r="F6" s="46" t="s">
        <v>185</v>
      </c>
      <c r="G6" s="25"/>
      <c r="H6" s="3"/>
      <c r="I6" s="3"/>
      <c r="J6" s="3"/>
      <c r="K6" s="46"/>
      <c r="L6" s="46" t="s">
        <v>185</v>
      </c>
    </row>
    <row r="7" spans="1:16" ht="51">
      <c r="A7" s="131" t="s">
        <v>101</v>
      </c>
      <c r="B7" s="131" t="s">
        <v>102</v>
      </c>
      <c r="C7" s="132" t="s">
        <v>261</v>
      </c>
      <c r="D7" s="131" t="s">
        <v>104</v>
      </c>
      <c r="E7" s="131" t="s">
        <v>262</v>
      </c>
      <c r="F7" s="131" t="s">
        <v>107</v>
      </c>
      <c r="G7" s="133" t="s">
        <v>101</v>
      </c>
      <c r="H7" s="133" t="s">
        <v>102</v>
      </c>
      <c r="I7" s="133" t="s">
        <v>261</v>
      </c>
      <c r="J7" s="133" t="s">
        <v>104</v>
      </c>
      <c r="K7" s="133" t="s">
        <v>262</v>
      </c>
      <c r="L7" s="131" t="s">
        <v>107</v>
      </c>
      <c r="N7" t="s">
        <v>104</v>
      </c>
      <c r="O7" s="131" t="s">
        <v>104</v>
      </c>
      <c r="P7" s="134" t="s">
        <v>263</v>
      </c>
    </row>
    <row r="8" spans="1:15" s="50" customFormat="1" ht="9.75" customHeight="1">
      <c r="A8" s="65">
        <v>1</v>
      </c>
      <c r="B8" s="11">
        <v>2</v>
      </c>
      <c r="C8" s="135">
        <v>3</v>
      </c>
      <c r="D8" s="136">
        <v>4</v>
      </c>
      <c r="E8" s="136">
        <v>5</v>
      </c>
      <c r="F8" s="11">
        <v>6</v>
      </c>
      <c r="G8" s="137">
        <v>1</v>
      </c>
      <c r="H8" s="138">
        <v>2</v>
      </c>
      <c r="I8" s="139">
        <v>3</v>
      </c>
      <c r="J8" s="139">
        <v>4</v>
      </c>
      <c r="K8" s="139">
        <v>5</v>
      </c>
      <c r="L8" s="138">
        <v>6</v>
      </c>
      <c r="N8" s="50">
        <v>4</v>
      </c>
      <c r="O8" s="50" t="s">
        <v>264</v>
      </c>
    </row>
    <row r="9" spans="1:25" s="3" customFormat="1" ht="12.75" customHeight="1">
      <c r="A9" s="140" t="s">
        <v>265</v>
      </c>
      <c r="B9" s="141">
        <v>706682046</v>
      </c>
      <c r="C9" s="142">
        <v>96.8</v>
      </c>
      <c r="D9" s="141">
        <f>D10+D18+D38+D40</f>
        <v>618745868.64</v>
      </c>
      <c r="E9" s="143">
        <f aca="true" t="shared" si="0" ref="E9:E37">IF(ISERROR(D9/B9)," ",(D9/B9))</f>
        <v>0.8755647212806082</v>
      </c>
      <c r="F9" s="141">
        <f>F10+F18+F38+F40</f>
        <v>56837152.17000001</v>
      </c>
      <c r="G9" s="140" t="s">
        <v>265</v>
      </c>
      <c r="H9" s="141">
        <f>ROUND(B9/1000,0)</f>
        <v>706682</v>
      </c>
      <c r="I9" s="142">
        <f>C9</f>
        <v>96.8</v>
      </c>
      <c r="J9" s="141">
        <f>J10+J18+J38+J40</f>
        <v>618745</v>
      </c>
      <c r="K9" s="144">
        <f>IF(ISERROR(J9/H9)," ",(J9/H9))*100</f>
        <v>87.55635490928026</v>
      </c>
      <c r="L9" s="141">
        <f>J9-'[4]Oktobris'!J9</f>
        <v>59058</v>
      </c>
      <c r="M9" s="141">
        <v>609122</v>
      </c>
      <c r="N9" s="3">
        <v>559687</v>
      </c>
      <c r="O9" s="90">
        <f>M9-N9</f>
        <v>49435</v>
      </c>
      <c r="P9" s="145">
        <f aca="true" t="shared" si="1" ref="P9:P40">N9-O9</f>
        <v>510252</v>
      </c>
      <c r="R9" s="90"/>
      <c r="U9" s="146">
        <v>276137764.06</v>
      </c>
      <c r="W9" s="3">
        <v>231157322</v>
      </c>
      <c r="Y9" s="146">
        <f>U9-W9</f>
        <v>44980442.06</v>
      </c>
    </row>
    <row r="10" spans="1:25" s="3" customFormat="1" ht="15.75" customHeight="1">
      <c r="A10" s="147" t="s">
        <v>266</v>
      </c>
      <c r="B10" s="141">
        <f>SUM(B11,B13,B17)</f>
        <v>552794000</v>
      </c>
      <c r="C10" s="148">
        <v>100</v>
      </c>
      <c r="D10" s="141">
        <f>SUM(D11,D13,D17)</f>
        <v>499188464.52000004</v>
      </c>
      <c r="E10" s="143">
        <f t="shared" si="0"/>
        <v>0.9030280077569584</v>
      </c>
      <c r="F10" s="141">
        <f>F11+F13+F17</f>
        <v>44075937.31000001</v>
      </c>
      <c r="G10" s="147" t="s">
        <v>266</v>
      </c>
      <c r="H10" s="66">
        <f>SUM(H11,H13,H17)</f>
        <v>552794</v>
      </c>
      <c r="I10" s="142">
        <v>98.8</v>
      </c>
      <c r="J10" s="66">
        <f>SUM(J11,J13,J17)</f>
        <v>499188</v>
      </c>
      <c r="K10" s="144">
        <f aca="true" t="shared" si="2" ref="K10:K41">IF(ISERROR(J10/H10)," ",(J10/H10))*100</f>
        <v>90.30271674439302</v>
      </c>
      <c r="L10" s="66">
        <f>L11+L13+L17</f>
        <v>44075</v>
      </c>
      <c r="M10" s="66">
        <v>499189</v>
      </c>
      <c r="N10" s="3">
        <v>455113</v>
      </c>
      <c r="O10" s="90">
        <f aca="true" t="shared" si="3" ref="O10:O28">M10-N10</f>
        <v>44076</v>
      </c>
      <c r="P10" s="145">
        <f t="shared" si="1"/>
        <v>411037</v>
      </c>
      <c r="R10" s="90"/>
      <c r="S10" s="90"/>
      <c r="U10" s="3">
        <v>229454163</v>
      </c>
      <c r="W10" s="3">
        <v>181242696</v>
      </c>
      <c r="Y10" s="146">
        <f aca="true" t="shared" si="4" ref="Y10:Y40">U10-W10</f>
        <v>48211467</v>
      </c>
    </row>
    <row r="11" spans="1:25" s="3" customFormat="1" ht="12.75">
      <c r="A11" s="147" t="s">
        <v>267</v>
      </c>
      <c r="B11" s="141">
        <f>SUM(B12)</f>
        <v>74655000</v>
      </c>
      <c r="C11" s="142"/>
      <c r="D11" s="141">
        <f>SUM(D12)</f>
        <v>67091183.24</v>
      </c>
      <c r="E11" s="143">
        <f t="shared" si="0"/>
        <v>0.8986830519054316</v>
      </c>
      <c r="F11" s="141">
        <f>F12</f>
        <v>6346605.920000002</v>
      </c>
      <c r="G11" s="147" t="s">
        <v>267</v>
      </c>
      <c r="H11" s="66">
        <f>SUM(H12)</f>
        <v>74655</v>
      </c>
      <c r="I11" s="142">
        <f>I12</f>
        <v>100</v>
      </c>
      <c r="J11" s="66">
        <f>SUM(J12)</f>
        <v>67091</v>
      </c>
      <c r="K11" s="144">
        <f t="shared" si="2"/>
        <v>89.86805974147747</v>
      </c>
      <c r="L11" s="66">
        <f>L12</f>
        <v>6346</v>
      </c>
      <c r="M11" s="66">
        <v>67091</v>
      </c>
      <c r="N11" s="3">
        <v>60745</v>
      </c>
      <c r="O11" s="90">
        <f t="shared" si="3"/>
        <v>6346</v>
      </c>
      <c r="P11" s="145">
        <f t="shared" si="1"/>
        <v>54399</v>
      </c>
      <c r="R11" s="90"/>
      <c r="U11" s="3">
        <v>40758145</v>
      </c>
      <c r="W11" s="3">
        <v>29701128</v>
      </c>
      <c r="Y11" s="146">
        <f t="shared" si="4"/>
        <v>11057017</v>
      </c>
    </row>
    <row r="12" spans="1:25" s="4" customFormat="1" ht="12.75">
      <c r="A12" s="30" t="s">
        <v>268</v>
      </c>
      <c r="B12" s="149">
        <v>74655000</v>
      </c>
      <c r="C12" s="150">
        <v>100</v>
      </c>
      <c r="D12" s="149">
        <v>67091183.24</v>
      </c>
      <c r="E12" s="151">
        <f t="shared" si="0"/>
        <v>0.8986830519054316</v>
      </c>
      <c r="F12" s="149">
        <f>D12-'[4]Oktobris'!D12</f>
        <v>6346605.920000002</v>
      </c>
      <c r="G12" s="114" t="s">
        <v>268</v>
      </c>
      <c r="H12" s="152">
        <f>ROUND(B12/1000,0)</f>
        <v>74655</v>
      </c>
      <c r="I12" s="138">
        <f aca="true" t="shared" si="5" ref="I12:I40">C12</f>
        <v>100</v>
      </c>
      <c r="J12" s="152">
        <f>ROUND(D12/1000,0)</f>
        <v>67091</v>
      </c>
      <c r="K12" s="153">
        <f t="shared" si="2"/>
        <v>89.86805974147747</v>
      </c>
      <c r="L12" s="152">
        <f>J12-'[4]Oktobris'!J12</f>
        <v>6346</v>
      </c>
      <c r="M12" s="152">
        <v>67091</v>
      </c>
      <c r="N12" s="4">
        <v>60745</v>
      </c>
      <c r="O12" s="90">
        <f t="shared" si="3"/>
        <v>6346</v>
      </c>
      <c r="P12" s="145">
        <f t="shared" si="1"/>
        <v>54399</v>
      </c>
      <c r="R12" s="90"/>
      <c r="U12" s="4">
        <v>40758145</v>
      </c>
      <c r="W12" s="4">
        <v>29701128</v>
      </c>
      <c r="Y12" s="154">
        <f t="shared" si="4"/>
        <v>11057017</v>
      </c>
    </row>
    <row r="13" spans="1:25" s="3" customFormat="1" ht="12.75">
      <c r="A13" s="147" t="s">
        <v>269</v>
      </c>
      <c r="B13" s="141">
        <f>SUM(B14:B16)</f>
        <v>478139000</v>
      </c>
      <c r="C13" s="155"/>
      <c r="D13" s="141">
        <f>SUM(D14:D16)</f>
        <v>429888775.3</v>
      </c>
      <c r="E13" s="143">
        <f t="shared" si="0"/>
        <v>0.8990874521844067</v>
      </c>
      <c r="F13" s="141">
        <f>F14+F15+F16</f>
        <v>38736263.71000001</v>
      </c>
      <c r="G13" s="147" t="s">
        <v>269</v>
      </c>
      <c r="H13" s="66">
        <f>SUM(H14:H16)+1</f>
        <v>478139</v>
      </c>
      <c r="I13" s="142" t="s">
        <v>146</v>
      </c>
      <c r="J13" s="66">
        <f>SUM(J14:J16)</f>
        <v>429888</v>
      </c>
      <c r="K13" s="144">
        <f t="shared" si="2"/>
        <v>89.9085830689402</v>
      </c>
      <c r="L13" s="66">
        <f>L14+L15+L16</f>
        <v>38735</v>
      </c>
      <c r="M13" s="66">
        <v>429889</v>
      </c>
      <c r="N13" s="3">
        <v>391153</v>
      </c>
      <c r="O13" s="90">
        <f t="shared" si="3"/>
        <v>38736</v>
      </c>
      <c r="P13" s="145">
        <f t="shared" si="1"/>
        <v>352417</v>
      </c>
      <c r="R13" s="90"/>
      <c r="U13" s="3">
        <v>186021570</v>
      </c>
      <c r="W13" s="3">
        <v>151541568</v>
      </c>
      <c r="Y13" s="146">
        <f t="shared" si="4"/>
        <v>34480002</v>
      </c>
    </row>
    <row r="14" spans="1:25" s="4" customFormat="1" ht="12.75">
      <c r="A14" s="30" t="s">
        <v>270</v>
      </c>
      <c r="B14" s="149">
        <v>346759678</v>
      </c>
      <c r="C14" s="156">
        <v>98.1</v>
      </c>
      <c r="D14" s="149">
        <v>309324600.43</v>
      </c>
      <c r="E14" s="151">
        <f t="shared" si="0"/>
        <v>0.8920431643439235</v>
      </c>
      <c r="F14" s="149">
        <f>D14-'[4]Oktobris'!D14</f>
        <v>26683723.810000002</v>
      </c>
      <c r="G14" s="28" t="s">
        <v>270</v>
      </c>
      <c r="H14" s="152">
        <f>ROUND(B14/1000,0)-1</f>
        <v>346759</v>
      </c>
      <c r="I14" s="138">
        <f t="shared" si="5"/>
        <v>98.1</v>
      </c>
      <c r="J14" s="152">
        <f aca="true" t="shared" si="6" ref="J14:J29">ROUND(D14/1000,0)</f>
        <v>309325</v>
      </c>
      <c r="K14" s="153">
        <f t="shared" si="2"/>
        <v>89.20460608088038</v>
      </c>
      <c r="L14" s="152">
        <f>J14-'[4]Oktobris'!J14</f>
        <v>26684</v>
      </c>
      <c r="M14" s="152">
        <v>309325</v>
      </c>
      <c r="N14" s="4">
        <v>282641</v>
      </c>
      <c r="O14" s="90">
        <f t="shared" si="3"/>
        <v>26684</v>
      </c>
      <c r="P14" s="145">
        <f t="shared" si="1"/>
        <v>255957</v>
      </c>
      <c r="R14" s="90"/>
      <c r="U14" s="4">
        <v>134484914</v>
      </c>
      <c r="W14" s="4">
        <v>106978603</v>
      </c>
      <c r="Y14" s="154">
        <f t="shared" si="4"/>
        <v>27506311</v>
      </c>
    </row>
    <row r="15" spans="1:25" s="4" customFormat="1" ht="12.75">
      <c r="A15" s="30" t="s">
        <v>271</v>
      </c>
      <c r="B15" s="149">
        <v>117579322</v>
      </c>
      <c r="C15" s="156">
        <v>99.9</v>
      </c>
      <c r="D15" s="157">
        <v>107468679.12</v>
      </c>
      <c r="E15" s="151">
        <f t="shared" si="0"/>
        <v>0.9140100256744124</v>
      </c>
      <c r="F15" s="149">
        <f>D15-'[4]Oktobris'!D15</f>
        <v>10746669.510000005</v>
      </c>
      <c r="G15" s="28" t="s">
        <v>271</v>
      </c>
      <c r="H15" s="152">
        <f>ROUND(B15/1000,0)</f>
        <v>117579</v>
      </c>
      <c r="I15" s="138">
        <f t="shared" si="5"/>
        <v>99.9</v>
      </c>
      <c r="J15" s="152">
        <f>ROUND(D15/1000,0)-1</f>
        <v>107468</v>
      </c>
      <c r="K15" s="153">
        <f t="shared" si="2"/>
        <v>91.40067529065564</v>
      </c>
      <c r="L15" s="152">
        <f>J15-'[4]Oktobris'!J15</f>
        <v>10746</v>
      </c>
      <c r="M15" s="152">
        <v>107469</v>
      </c>
      <c r="N15" s="4">
        <v>96722</v>
      </c>
      <c r="O15" s="90">
        <f t="shared" si="3"/>
        <v>10747</v>
      </c>
      <c r="P15" s="145">
        <f t="shared" si="1"/>
        <v>85975</v>
      </c>
      <c r="R15" s="90"/>
      <c r="U15" s="4">
        <v>45578744</v>
      </c>
      <c r="W15" s="4">
        <v>35731797</v>
      </c>
      <c r="Y15" s="154">
        <f t="shared" si="4"/>
        <v>9846947</v>
      </c>
    </row>
    <row r="16" spans="1:25" s="4" customFormat="1" ht="12.75">
      <c r="A16" s="158" t="s">
        <v>272</v>
      </c>
      <c r="B16" s="149">
        <v>13800000</v>
      </c>
      <c r="C16" s="138">
        <v>100.3</v>
      </c>
      <c r="D16" s="157">
        <v>13095495.75</v>
      </c>
      <c r="E16" s="151">
        <f t="shared" si="0"/>
        <v>0.9489489673913043</v>
      </c>
      <c r="F16" s="149">
        <f>D16-'[4]Oktobris'!D16</f>
        <v>1305870.3900000006</v>
      </c>
      <c r="G16" s="159" t="s">
        <v>272</v>
      </c>
      <c r="H16" s="152">
        <f>ROUND(B16/1000,0)</f>
        <v>13800</v>
      </c>
      <c r="I16" s="138">
        <f t="shared" si="5"/>
        <v>100.3</v>
      </c>
      <c r="J16" s="152">
        <f t="shared" si="6"/>
        <v>13095</v>
      </c>
      <c r="K16" s="153">
        <f t="shared" si="2"/>
        <v>94.8913043478261</v>
      </c>
      <c r="L16" s="152">
        <f>J16-'[4]Oktobris'!J16</f>
        <v>1305</v>
      </c>
      <c r="M16" s="152">
        <v>13095</v>
      </c>
      <c r="N16" s="4">
        <v>11790</v>
      </c>
      <c r="O16" s="90">
        <f t="shared" si="3"/>
        <v>1305</v>
      </c>
      <c r="P16" s="145">
        <f t="shared" si="1"/>
        <v>10485</v>
      </c>
      <c r="R16" s="90"/>
      <c r="U16" s="4">
        <v>5957912</v>
      </c>
      <c r="W16" s="4">
        <v>4565264</v>
      </c>
      <c r="Y16" s="154">
        <f t="shared" si="4"/>
        <v>1392648</v>
      </c>
    </row>
    <row r="17" spans="1:25" s="3" customFormat="1" ht="15" customHeight="1">
      <c r="A17" s="160" t="s">
        <v>273</v>
      </c>
      <c r="B17" s="161"/>
      <c r="C17" s="138"/>
      <c r="D17" s="162">
        <v>2208505.98</v>
      </c>
      <c r="E17" s="163" t="str">
        <f t="shared" si="0"/>
        <v> </v>
      </c>
      <c r="F17" s="161">
        <f>D17-'[4]Oktobris'!D17</f>
        <v>-1006932.3199999998</v>
      </c>
      <c r="G17" s="121" t="s">
        <v>273</v>
      </c>
      <c r="H17" s="66"/>
      <c r="I17" s="142"/>
      <c r="J17" s="66">
        <f t="shared" si="6"/>
        <v>2209</v>
      </c>
      <c r="K17" s="144"/>
      <c r="L17" s="66">
        <f>J17-'[4]Oktobris'!J17</f>
        <v>-1006</v>
      </c>
      <c r="M17" s="66">
        <v>2209</v>
      </c>
      <c r="N17" s="3">
        <v>3215</v>
      </c>
      <c r="O17" s="90">
        <f t="shared" si="3"/>
        <v>-1006</v>
      </c>
      <c r="P17" s="145">
        <f t="shared" si="1"/>
        <v>4221</v>
      </c>
      <c r="R17" s="90"/>
      <c r="U17" s="3">
        <v>2674448</v>
      </c>
      <c r="W17" s="3">
        <v>4265904</v>
      </c>
      <c r="Y17" s="146">
        <f t="shared" si="4"/>
        <v>-1591456</v>
      </c>
    </row>
    <row r="18" spans="1:25" s="3" customFormat="1" ht="12.75">
      <c r="A18" s="147" t="s">
        <v>274</v>
      </c>
      <c r="B18" s="141">
        <v>61140583</v>
      </c>
      <c r="C18" s="150">
        <v>103.4</v>
      </c>
      <c r="D18" s="162">
        <f>SUM(D19,D20,D21,D22,D23,D24,D30,D31)</f>
        <v>58937934.690000005</v>
      </c>
      <c r="E18" s="143">
        <f t="shared" si="0"/>
        <v>0.9639740381605456</v>
      </c>
      <c r="F18" s="141">
        <f>SUM(F19,F20,F21,F22,F23,F24,F30,F31)</f>
        <v>2919090.130000002</v>
      </c>
      <c r="G18" s="147" t="s">
        <v>274</v>
      </c>
      <c r="H18" s="66">
        <f>ROUND(B18/1000,0)-1</f>
        <v>61140</v>
      </c>
      <c r="I18" s="142">
        <v>103.4</v>
      </c>
      <c r="J18" s="66">
        <f t="shared" si="6"/>
        <v>58938</v>
      </c>
      <c r="K18" s="144">
        <f t="shared" si="2"/>
        <v>96.39842983316977</v>
      </c>
      <c r="L18" s="66">
        <f>L19+L20+L21+L22+L23+L24+L30+L31</f>
        <v>5141</v>
      </c>
      <c r="M18" s="66">
        <v>58938</v>
      </c>
      <c r="N18" s="3">
        <v>53797</v>
      </c>
      <c r="O18" s="90">
        <f t="shared" si="3"/>
        <v>5141</v>
      </c>
      <c r="P18" s="145">
        <f t="shared" si="1"/>
        <v>48656</v>
      </c>
      <c r="R18" s="90"/>
      <c r="S18" s="90"/>
      <c r="U18" s="3">
        <v>24422097.060000002</v>
      </c>
      <c r="W18" s="3">
        <v>19583717</v>
      </c>
      <c r="Y18" s="146">
        <f t="shared" si="4"/>
        <v>4838380.060000002</v>
      </c>
    </row>
    <row r="19" spans="1:25" s="4" customFormat="1" ht="16.5" customHeight="1">
      <c r="A19" s="113" t="s">
        <v>275</v>
      </c>
      <c r="B19" s="164">
        <v>2000330</v>
      </c>
      <c r="C19" s="4">
        <v>98.1</v>
      </c>
      <c r="D19" s="157">
        <v>1690524.32</v>
      </c>
      <c r="E19" s="151">
        <f t="shared" si="0"/>
        <v>0.8451227147520659</v>
      </c>
      <c r="F19" s="149">
        <f>D19-'[4]Oktobris'!D19</f>
        <v>1466.1200000001118</v>
      </c>
      <c r="G19" s="114" t="s">
        <v>275</v>
      </c>
      <c r="H19" s="152">
        <f aca="true" t="shared" si="7" ref="H19:H41">ROUND(B19/1000,0)</f>
        <v>2000</v>
      </c>
      <c r="I19" s="138">
        <v>85.1</v>
      </c>
      <c r="J19" s="28">
        <f t="shared" si="6"/>
        <v>1691</v>
      </c>
      <c r="K19" s="153">
        <f t="shared" si="2"/>
        <v>84.55</v>
      </c>
      <c r="L19" s="165">
        <f>J19-'[4]Oktobris'!J19</f>
        <v>2</v>
      </c>
      <c r="M19" s="28">
        <v>1691</v>
      </c>
      <c r="N19" s="4">
        <v>1689</v>
      </c>
      <c r="O19" s="90">
        <f t="shared" si="3"/>
        <v>2</v>
      </c>
      <c r="P19" s="145">
        <f t="shared" si="1"/>
        <v>1687</v>
      </c>
      <c r="R19" s="90"/>
      <c r="U19" s="4">
        <v>423682</v>
      </c>
      <c r="W19" s="4">
        <v>224955</v>
      </c>
      <c r="Y19" s="154">
        <f t="shared" si="4"/>
        <v>198727</v>
      </c>
    </row>
    <row r="20" spans="1:25" s="4" customFormat="1" ht="24.75" customHeight="1">
      <c r="A20" s="30" t="s">
        <v>276</v>
      </c>
      <c r="B20" s="164">
        <v>11842400</v>
      </c>
      <c r="C20" s="156">
        <v>103.4</v>
      </c>
      <c r="D20" s="157">
        <v>11688105.37</v>
      </c>
      <c r="E20" s="151">
        <f t="shared" si="0"/>
        <v>0.986970999966223</v>
      </c>
      <c r="F20" s="149">
        <f>D20-'[4]Oktobris'!D20</f>
        <v>668049.1699999999</v>
      </c>
      <c r="G20" s="114" t="s">
        <v>277</v>
      </c>
      <c r="H20" s="152">
        <f t="shared" si="7"/>
        <v>11842</v>
      </c>
      <c r="I20" s="138">
        <f t="shared" si="5"/>
        <v>103.4</v>
      </c>
      <c r="J20" s="152">
        <f t="shared" si="6"/>
        <v>11688</v>
      </c>
      <c r="K20" s="153">
        <f t="shared" si="2"/>
        <v>98.69954399594663</v>
      </c>
      <c r="L20" s="165">
        <f>J20-'[4]Oktobris'!J20</f>
        <v>668</v>
      </c>
      <c r="M20" s="152">
        <v>11688</v>
      </c>
      <c r="N20" s="4">
        <v>11020</v>
      </c>
      <c r="O20" s="90">
        <f t="shared" si="3"/>
        <v>668</v>
      </c>
      <c r="P20" s="145">
        <f t="shared" si="1"/>
        <v>10352</v>
      </c>
      <c r="R20" s="90"/>
      <c r="U20" s="4">
        <v>5026465</v>
      </c>
      <c r="W20" s="4">
        <v>4321229</v>
      </c>
      <c r="Y20" s="154">
        <f t="shared" si="4"/>
        <v>705236</v>
      </c>
    </row>
    <row r="21" spans="1:25" s="4" customFormat="1" ht="24" customHeight="1">
      <c r="A21" s="113" t="s">
        <v>278</v>
      </c>
      <c r="B21" s="164">
        <v>16107167</v>
      </c>
      <c r="C21" s="156">
        <v>103.7</v>
      </c>
      <c r="D21" s="157">
        <v>15386988.5</v>
      </c>
      <c r="E21" s="151">
        <f t="shared" si="0"/>
        <v>0.9552883197895694</v>
      </c>
      <c r="F21" s="149">
        <f>D21-'[4]Oktobris'!D21</f>
        <v>1790678.2400000002</v>
      </c>
      <c r="G21" s="114" t="s">
        <v>278</v>
      </c>
      <c r="H21" s="152">
        <f t="shared" si="7"/>
        <v>16107</v>
      </c>
      <c r="I21" s="138">
        <f t="shared" si="5"/>
        <v>103.7</v>
      </c>
      <c r="J21" s="152">
        <f t="shared" si="6"/>
        <v>15387</v>
      </c>
      <c r="K21" s="153">
        <f t="shared" si="2"/>
        <v>95.52989383497858</v>
      </c>
      <c r="L21" s="165">
        <f>J21-'[4]Oktobris'!J21</f>
        <v>1791</v>
      </c>
      <c r="M21" s="152">
        <v>15387</v>
      </c>
      <c r="N21" s="4">
        <v>13596</v>
      </c>
      <c r="O21" s="90">
        <f t="shared" si="3"/>
        <v>1791</v>
      </c>
      <c r="P21" s="145">
        <f t="shared" si="1"/>
        <v>11805</v>
      </c>
      <c r="R21" s="90"/>
      <c r="U21" s="4">
        <v>6046375</v>
      </c>
      <c r="W21" s="4">
        <v>5358767</v>
      </c>
      <c r="Y21" s="154">
        <f t="shared" si="4"/>
        <v>687608</v>
      </c>
    </row>
    <row r="22" spans="1:25" s="4" customFormat="1" ht="26.25" customHeight="1">
      <c r="A22" s="113" t="s">
        <v>279</v>
      </c>
      <c r="B22" s="164">
        <v>790000</v>
      </c>
      <c r="C22" s="156">
        <v>109.6</v>
      </c>
      <c r="D22" s="157">
        <v>762540.23</v>
      </c>
      <c r="E22" s="151">
        <f t="shared" si="0"/>
        <v>0.9652407974683545</v>
      </c>
      <c r="F22" s="149">
        <f>D22-'[4]Oktobris'!D22</f>
        <v>91296.33999999997</v>
      </c>
      <c r="G22" s="114" t="s">
        <v>279</v>
      </c>
      <c r="H22" s="152">
        <f t="shared" si="7"/>
        <v>790</v>
      </c>
      <c r="I22" s="138">
        <f t="shared" si="5"/>
        <v>109.6</v>
      </c>
      <c r="J22" s="152">
        <f t="shared" si="6"/>
        <v>763</v>
      </c>
      <c r="K22" s="153">
        <f t="shared" si="2"/>
        <v>96.58227848101266</v>
      </c>
      <c r="L22" s="165">
        <f>J22-'[4]Oktobris'!J22</f>
        <v>92</v>
      </c>
      <c r="M22" s="152">
        <v>763</v>
      </c>
      <c r="N22" s="4">
        <v>671</v>
      </c>
      <c r="O22" s="90">
        <f t="shared" si="3"/>
        <v>92</v>
      </c>
      <c r="P22" s="145">
        <f t="shared" si="1"/>
        <v>579</v>
      </c>
      <c r="R22" s="90"/>
      <c r="U22" s="4">
        <v>351857</v>
      </c>
      <c r="W22" s="4">
        <v>291928</v>
      </c>
      <c r="Y22" s="154">
        <f t="shared" si="4"/>
        <v>59929</v>
      </c>
    </row>
    <row r="23" spans="1:25" s="4" customFormat="1" ht="12" customHeight="1">
      <c r="A23" s="113" t="s">
        <v>280</v>
      </c>
      <c r="B23" s="164">
        <v>400000</v>
      </c>
      <c r="C23" s="156">
        <v>80.1</v>
      </c>
      <c r="D23" s="157">
        <v>303688.36</v>
      </c>
      <c r="E23" s="151">
        <f t="shared" si="0"/>
        <v>0.7592209</v>
      </c>
      <c r="F23" s="149">
        <f>D23-'[4]Oktobris'!D24</f>
        <v>24090.829999999958</v>
      </c>
      <c r="G23" s="113" t="s">
        <v>280</v>
      </c>
      <c r="H23" s="152">
        <f t="shared" si="7"/>
        <v>400</v>
      </c>
      <c r="I23" s="138">
        <f t="shared" si="5"/>
        <v>80.1</v>
      </c>
      <c r="J23" s="152">
        <f t="shared" si="6"/>
        <v>304</v>
      </c>
      <c r="K23" s="153">
        <f t="shared" si="2"/>
        <v>76</v>
      </c>
      <c r="L23" s="165">
        <f>J23-'[4]Oktobris'!J24</f>
        <v>24</v>
      </c>
      <c r="M23" s="152">
        <v>304</v>
      </c>
      <c r="N23" s="152">
        <v>280</v>
      </c>
      <c r="O23" s="90">
        <f t="shared" si="3"/>
        <v>24</v>
      </c>
      <c r="P23" s="145">
        <f>M23-O23</f>
        <v>280</v>
      </c>
      <c r="R23" s="90"/>
      <c r="U23" s="4">
        <v>1988493</v>
      </c>
      <c r="W23" s="4">
        <v>1698262</v>
      </c>
      <c r="Y23" s="154">
        <f t="shared" si="4"/>
        <v>290231</v>
      </c>
    </row>
    <row r="24" spans="1:15" ht="12.75">
      <c r="A24" s="166" t="s">
        <v>281</v>
      </c>
      <c r="B24" s="164">
        <v>6620000</v>
      </c>
      <c r="C24" s="150">
        <v>109.3</v>
      </c>
      <c r="D24" s="167">
        <f>2921247.56+3319363.19</f>
        <v>6240610.75</v>
      </c>
      <c r="E24" s="151">
        <f t="shared" si="0"/>
        <v>0.9426904456193353</v>
      </c>
      <c r="F24" s="30">
        <f>2724478.13-2506497.43</f>
        <v>217980.69999999972</v>
      </c>
      <c r="G24" s="166" t="s">
        <v>281</v>
      </c>
      <c r="H24" s="152">
        <f t="shared" si="7"/>
        <v>6620</v>
      </c>
      <c r="I24" s="168">
        <v>109.3</v>
      </c>
      <c r="J24" s="152">
        <f>ROUND(D24/1000,0)-1</f>
        <v>6240</v>
      </c>
      <c r="K24" s="153">
        <f t="shared" si="2"/>
        <v>94.25981873111783</v>
      </c>
      <c r="L24" s="165">
        <f>ROUND(F24/1000,0)+354+25</f>
        <v>597</v>
      </c>
      <c r="M24" s="166">
        <v>2921</v>
      </c>
      <c r="O24" s="90">
        <f t="shared" si="3"/>
        <v>2921</v>
      </c>
    </row>
    <row r="25" spans="1:15" ht="12.75">
      <c r="A25" s="166"/>
      <c r="B25" s="164"/>
      <c r="C25" s="150"/>
      <c r="D25" s="167"/>
      <c r="E25" s="151"/>
      <c r="F25" s="30"/>
      <c r="G25" s="166" t="s">
        <v>282</v>
      </c>
      <c r="H25" s="152"/>
      <c r="I25" s="168"/>
      <c r="J25" s="152"/>
      <c r="K25" s="153"/>
      <c r="L25" s="165"/>
      <c r="M25" s="166"/>
      <c r="O25" s="90"/>
    </row>
    <row r="26" spans="1:15" ht="22.5">
      <c r="A26" s="120" t="s">
        <v>283</v>
      </c>
      <c r="B26" s="149">
        <v>2200000</v>
      </c>
      <c r="C26" s="150">
        <v>100</v>
      </c>
      <c r="D26" s="167">
        <v>1827460.35</v>
      </c>
      <c r="E26" s="151">
        <f t="shared" si="0"/>
        <v>0.8306637954545455</v>
      </c>
      <c r="F26" s="167">
        <f>1827460.35-1668957.7</f>
        <v>158502.65000000014</v>
      </c>
      <c r="G26" s="115" t="s">
        <v>284</v>
      </c>
      <c r="H26" s="152">
        <f t="shared" si="7"/>
        <v>2200</v>
      </c>
      <c r="I26" s="168">
        <v>100</v>
      </c>
      <c r="J26" s="152">
        <f t="shared" si="6"/>
        <v>1827</v>
      </c>
      <c r="K26" s="153">
        <f t="shared" si="2"/>
        <v>83.04545454545455</v>
      </c>
      <c r="L26" s="152">
        <f>ROUND(F26/1000,0)-1</f>
        <v>158</v>
      </c>
      <c r="M26" s="166">
        <v>1827</v>
      </c>
      <c r="N26">
        <v>1669</v>
      </c>
      <c r="O26" s="90">
        <f t="shared" si="3"/>
        <v>158</v>
      </c>
    </row>
    <row r="27" spans="1:15" ht="12.75">
      <c r="A27" s="120" t="s">
        <v>285</v>
      </c>
      <c r="B27" s="169">
        <v>4200000</v>
      </c>
      <c r="C27" s="150">
        <v>103</v>
      </c>
      <c r="D27" s="167">
        <f>468000+3319363.19</f>
        <v>3787363.19</v>
      </c>
      <c r="E27" s="151">
        <f t="shared" si="0"/>
        <v>0.9017531404761905</v>
      </c>
      <c r="F27" s="167">
        <f>468000-430148.21</f>
        <v>37851.78999999998</v>
      </c>
      <c r="G27" s="120" t="s">
        <v>286</v>
      </c>
      <c r="H27" s="152">
        <f t="shared" si="7"/>
        <v>4200</v>
      </c>
      <c r="I27" s="168">
        <v>103</v>
      </c>
      <c r="J27" s="152">
        <f t="shared" si="6"/>
        <v>3787</v>
      </c>
      <c r="K27" s="153">
        <f t="shared" si="2"/>
        <v>90.16666666666666</v>
      </c>
      <c r="L27" s="152">
        <f>ROUND(F27/1000,0)+354</f>
        <v>392</v>
      </c>
      <c r="M27" s="166">
        <f>38+3</f>
        <v>41</v>
      </c>
      <c r="N27">
        <v>392</v>
      </c>
      <c r="O27" s="90">
        <f t="shared" si="3"/>
        <v>-351</v>
      </c>
    </row>
    <row r="28" spans="1:15" ht="15.75" customHeight="1">
      <c r="A28" s="115" t="s">
        <v>287</v>
      </c>
      <c r="B28" s="169">
        <v>220000</v>
      </c>
      <c r="C28" s="150">
        <v>107.7</v>
      </c>
      <c r="D28" s="30">
        <v>236830</v>
      </c>
      <c r="E28" s="151">
        <f t="shared" si="0"/>
        <v>1.0765</v>
      </c>
      <c r="F28" s="167">
        <f>236830-235544</f>
        <v>1286</v>
      </c>
      <c r="G28" s="115" t="s">
        <v>288</v>
      </c>
      <c r="H28" s="152">
        <f t="shared" si="7"/>
        <v>220</v>
      </c>
      <c r="I28" s="168">
        <v>107.7</v>
      </c>
      <c r="J28" s="152">
        <f t="shared" si="6"/>
        <v>237</v>
      </c>
      <c r="K28" s="153">
        <f t="shared" si="2"/>
        <v>107.72727272727273</v>
      </c>
      <c r="L28" s="152">
        <f>ROUND(F28/1000,0)</f>
        <v>1</v>
      </c>
      <c r="M28" s="166">
        <v>237</v>
      </c>
      <c r="N28">
        <v>236</v>
      </c>
      <c r="O28" s="90">
        <f t="shared" si="3"/>
        <v>1</v>
      </c>
    </row>
    <row r="29" spans="1:15" s="50" customFormat="1" ht="0.75" customHeight="1">
      <c r="A29" s="115" t="s">
        <v>289</v>
      </c>
      <c r="B29" s="170"/>
      <c r="C29" s="112"/>
      <c r="D29" s="171">
        <f>D24-D26-D27-D28</f>
        <v>388957.2100000004</v>
      </c>
      <c r="E29" s="151" t="str">
        <f t="shared" si="0"/>
        <v> </v>
      </c>
      <c r="F29" s="171">
        <v>46671.32</v>
      </c>
      <c r="G29" s="115" t="s">
        <v>290</v>
      </c>
      <c r="H29" s="79"/>
      <c r="I29" s="138" t="s">
        <v>146</v>
      </c>
      <c r="J29" s="152">
        <f t="shared" si="6"/>
        <v>389</v>
      </c>
      <c r="K29" s="172" t="s">
        <v>146</v>
      </c>
      <c r="L29" s="152">
        <f>ROUND(F29/1000,0)-1</f>
        <v>46</v>
      </c>
      <c r="M29" s="35">
        <f>J29</f>
        <v>389</v>
      </c>
      <c r="O29" s="59"/>
    </row>
    <row r="30" spans="1:25" s="4" customFormat="1" ht="12.75">
      <c r="A30" s="30" t="s">
        <v>291</v>
      </c>
      <c r="B30" s="164">
        <v>8416685</v>
      </c>
      <c r="C30" s="150">
        <v>110</v>
      </c>
      <c r="D30" s="157">
        <v>8444615.43</v>
      </c>
      <c r="E30" s="151">
        <f t="shared" si="0"/>
        <v>1.003318459702365</v>
      </c>
      <c r="F30" s="149">
        <f>D30-'[4]Oktobris'!D25</f>
        <v>833454.9399999995</v>
      </c>
      <c r="G30" s="28" t="s">
        <v>291</v>
      </c>
      <c r="H30" s="152">
        <f>ROUND(B30/1000,0)-1</f>
        <v>8416</v>
      </c>
      <c r="I30" s="138">
        <f t="shared" si="5"/>
        <v>110</v>
      </c>
      <c r="J30" s="152">
        <f>ROUND(D30/1000,0)</f>
        <v>8445</v>
      </c>
      <c r="K30" s="153">
        <f aca="true" t="shared" si="8" ref="K30:K37">IF(ISERROR(J30/H30)," ",(J30/H30))*100</f>
        <v>100.34458174904944</v>
      </c>
      <c r="L30" s="165">
        <f>J30-'[4]Oktobris'!J25</f>
        <v>834</v>
      </c>
      <c r="M30" s="152">
        <v>8445</v>
      </c>
      <c r="N30" s="4">
        <v>7611</v>
      </c>
      <c r="O30" s="56">
        <f aca="true" t="shared" si="9" ref="O30:P40">M30-N30</f>
        <v>834</v>
      </c>
      <c r="P30" s="145">
        <f t="shared" si="9"/>
        <v>6777</v>
      </c>
      <c r="R30" s="90"/>
      <c r="U30" s="4">
        <v>3625379</v>
      </c>
      <c r="W30" s="4">
        <v>2701683</v>
      </c>
      <c r="Y30" s="154">
        <f>U30-W30</f>
        <v>923696</v>
      </c>
    </row>
    <row r="31" spans="1:25" s="4" customFormat="1" ht="15.75" customHeight="1">
      <c r="A31" s="30" t="s">
        <v>292</v>
      </c>
      <c r="B31" s="164">
        <v>14964001</v>
      </c>
      <c r="C31" s="156">
        <v>102.5</v>
      </c>
      <c r="D31" s="157">
        <f>17740224.92-3319363.19</f>
        <v>14420861.730000002</v>
      </c>
      <c r="E31" s="151">
        <f t="shared" si="0"/>
        <v>0.9637036064084734</v>
      </c>
      <c r="F31" s="149">
        <f>D31-'[4]Oktobris'!D26</f>
        <v>-707926.2099999972</v>
      </c>
      <c r="G31" s="28" t="s">
        <v>293</v>
      </c>
      <c r="H31" s="152">
        <f t="shared" si="7"/>
        <v>14964</v>
      </c>
      <c r="I31" s="138">
        <f t="shared" si="5"/>
        <v>102.5</v>
      </c>
      <c r="J31" s="152">
        <f>ROUND(D31/1000,0)-1</f>
        <v>14420</v>
      </c>
      <c r="K31" s="153">
        <f t="shared" si="8"/>
        <v>96.36460839347768</v>
      </c>
      <c r="L31" s="165">
        <f>L33+L34+L35+L36+L37-354</f>
        <v>1133</v>
      </c>
      <c r="M31" s="152">
        <f>1487-3</f>
        <v>1484</v>
      </c>
      <c r="N31" s="4">
        <v>15129</v>
      </c>
      <c r="O31" s="56">
        <f t="shared" si="9"/>
        <v>-13645</v>
      </c>
      <c r="P31" s="145">
        <f t="shared" si="9"/>
        <v>28774</v>
      </c>
      <c r="R31" s="90"/>
      <c r="U31" s="4">
        <v>6791598.37</v>
      </c>
      <c r="W31" s="4">
        <v>4620450</v>
      </c>
      <c r="Y31" s="154">
        <f>U31-W31</f>
        <v>2171148.37</v>
      </c>
    </row>
    <row r="32" spans="1:25" s="4" customFormat="1" ht="12" customHeight="1">
      <c r="A32" s="30"/>
      <c r="B32" s="164"/>
      <c r="C32" s="156"/>
      <c r="D32" s="157"/>
      <c r="E32" s="151"/>
      <c r="F32" s="149"/>
      <c r="G32" s="28" t="s">
        <v>282</v>
      </c>
      <c r="H32" s="152"/>
      <c r="I32" s="138"/>
      <c r="J32" s="152"/>
      <c r="K32" s="153"/>
      <c r="L32" s="165"/>
      <c r="M32" s="152"/>
      <c r="O32" s="56"/>
      <c r="P32" s="145"/>
      <c r="R32" s="90"/>
      <c r="Y32" s="154"/>
    </row>
    <row r="33" spans="1:25" s="4" customFormat="1" ht="22.5" customHeight="1">
      <c r="A33" s="173" t="s">
        <v>294</v>
      </c>
      <c r="B33" s="149">
        <v>1201200</v>
      </c>
      <c r="C33" s="150">
        <v>100</v>
      </c>
      <c r="D33" s="157">
        <v>1101100</v>
      </c>
      <c r="E33" s="151">
        <f t="shared" si="0"/>
        <v>0.9166666666666666</v>
      </c>
      <c r="F33" s="149">
        <f>D33-'[4]Oktobris'!D27</f>
        <v>100200</v>
      </c>
      <c r="G33" s="174" t="s">
        <v>295</v>
      </c>
      <c r="H33" s="165">
        <f t="shared" si="7"/>
        <v>1201</v>
      </c>
      <c r="I33" s="168">
        <f t="shared" si="5"/>
        <v>100</v>
      </c>
      <c r="J33" s="152">
        <f aca="true" t="shared" si="10" ref="J33:J41">ROUND(D33/1000,0)</f>
        <v>1101</v>
      </c>
      <c r="K33" s="153">
        <f t="shared" si="8"/>
        <v>91.67360532889259</v>
      </c>
      <c r="L33" s="152">
        <f>J33-'[4]Oktobris'!J27</f>
        <v>100</v>
      </c>
      <c r="M33" s="152">
        <v>1101</v>
      </c>
      <c r="N33" s="4">
        <v>1001</v>
      </c>
      <c r="O33" s="56">
        <f t="shared" si="9"/>
        <v>100</v>
      </c>
      <c r="P33" s="145">
        <f t="shared" si="9"/>
        <v>901</v>
      </c>
      <c r="R33" s="90"/>
      <c r="U33" s="4">
        <v>500500</v>
      </c>
      <c r="W33" s="4">
        <v>400400</v>
      </c>
      <c r="Y33" s="146">
        <f>U33-W33</f>
        <v>100100</v>
      </c>
    </row>
    <row r="34" spans="1:25" s="4" customFormat="1" ht="14.25" customHeight="1">
      <c r="A34" s="173" t="s">
        <v>296</v>
      </c>
      <c r="B34" s="149">
        <v>7700000</v>
      </c>
      <c r="C34" s="150">
        <v>100</v>
      </c>
      <c r="D34" s="157">
        <v>7058405</v>
      </c>
      <c r="E34" s="151">
        <f t="shared" si="0"/>
        <v>0.916675974025974</v>
      </c>
      <c r="F34" s="149">
        <f>7058405-6416805</f>
        <v>641600</v>
      </c>
      <c r="G34" s="175" t="s">
        <v>296</v>
      </c>
      <c r="H34" s="165">
        <f t="shared" si="7"/>
        <v>7700</v>
      </c>
      <c r="I34" s="168">
        <f t="shared" si="5"/>
        <v>100</v>
      </c>
      <c r="J34" s="152">
        <f t="shared" si="10"/>
        <v>7058</v>
      </c>
      <c r="K34" s="153">
        <f t="shared" si="8"/>
        <v>91.66233766233766</v>
      </c>
      <c r="L34" s="152">
        <f>ROUND(F34/1000,0)</f>
        <v>642</v>
      </c>
      <c r="M34" s="152">
        <v>7058</v>
      </c>
      <c r="O34" s="56">
        <f t="shared" si="9"/>
        <v>7058</v>
      </c>
      <c r="P34" s="145"/>
      <c r="R34" s="90"/>
      <c r="Y34" s="146"/>
    </row>
    <row r="35" spans="1:25" s="4" customFormat="1" ht="13.5" customHeight="1">
      <c r="A35" s="173" t="s">
        <v>297</v>
      </c>
      <c r="B35" s="149">
        <v>205713</v>
      </c>
      <c r="C35" s="150"/>
      <c r="D35" s="157">
        <v>231288</v>
      </c>
      <c r="E35" s="151">
        <f t="shared" si="0"/>
        <v>1.1243236936897523</v>
      </c>
      <c r="F35" s="149">
        <f>231288-211613</f>
        <v>19675</v>
      </c>
      <c r="G35" s="175" t="s">
        <v>297</v>
      </c>
      <c r="H35" s="165">
        <f t="shared" si="7"/>
        <v>206</v>
      </c>
      <c r="I35" s="138"/>
      <c r="J35" s="152">
        <f t="shared" si="10"/>
        <v>231</v>
      </c>
      <c r="K35" s="153">
        <f t="shared" si="8"/>
        <v>112.13592233009709</v>
      </c>
      <c r="L35" s="152">
        <f>ROUND(F35/1000,0)</f>
        <v>20</v>
      </c>
      <c r="M35" s="152">
        <v>231</v>
      </c>
      <c r="O35" s="56">
        <f t="shared" si="9"/>
        <v>231</v>
      </c>
      <c r="P35" s="145"/>
      <c r="R35" s="90"/>
      <c r="Y35" s="146"/>
    </row>
    <row r="36" spans="1:15" ht="12" customHeight="1">
      <c r="A36" s="176" t="s">
        <v>298</v>
      </c>
      <c r="B36" s="76">
        <v>216000</v>
      </c>
      <c r="C36" s="166"/>
      <c r="D36" s="166">
        <v>0</v>
      </c>
      <c r="E36" s="151">
        <f t="shared" si="0"/>
        <v>0</v>
      </c>
      <c r="F36" s="30"/>
      <c r="G36" s="122" t="s">
        <v>298</v>
      </c>
      <c r="H36" s="165">
        <f t="shared" si="7"/>
        <v>216</v>
      </c>
      <c r="I36" s="138"/>
      <c r="J36" s="166">
        <f t="shared" si="10"/>
        <v>0</v>
      </c>
      <c r="K36" s="153">
        <f t="shared" si="8"/>
        <v>0</v>
      </c>
      <c r="L36" s="152">
        <f>ROUND(F36/1000,0)</f>
        <v>0</v>
      </c>
      <c r="M36" s="166">
        <v>0</v>
      </c>
      <c r="O36" s="56">
        <f t="shared" si="9"/>
        <v>0</v>
      </c>
    </row>
    <row r="37" spans="1:25" s="4" customFormat="1" ht="0.75" customHeight="1" hidden="1">
      <c r="A37" s="177" t="s">
        <v>299</v>
      </c>
      <c r="B37" s="169">
        <f>B31-B33-B34-B35-B36</f>
        <v>5641088</v>
      </c>
      <c r="C37" s="156"/>
      <c r="D37" s="169">
        <f>D31-D33-D34-D35-D36</f>
        <v>6030068.730000002</v>
      </c>
      <c r="E37" s="151">
        <f t="shared" si="0"/>
        <v>1.0689549125984212</v>
      </c>
      <c r="F37" s="149">
        <v>725415.39</v>
      </c>
      <c r="G37" s="178" t="s">
        <v>299</v>
      </c>
      <c r="H37" s="165">
        <f t="shared" si="7"/>
        <v>5641</v>
      </c>
      <c r="I37" s="138">
        <f t="shared" si="5"/>
        <v>0</v>
      </c>
      <c r="J37" s="152">
        <f t="shared" si="10"/>
        <v>6030</v>
      </c>
      <c r="K37" s="153">
        <f t="shared" si="8"/>
        <v>106.8959404360929</v>
      </c>
      <c r="L37" s="152">
        <v>725</v>
      </c>
      <c r="M37" s="152">
        <v>9349</v>
      </c>
      <c r="N37" s="4">
        <v>14128</v>
      </c>
      <c r="O37" s="56">
        <f t="shared" si="9"/>
        <v>-4779</v>
      </c>
      <c r="P37" s="145">
        <f>N37-O37</f>
        <v>18907</v>
      </c>
      <c r="R37" s="90"/>
      <c r="U37" s="4">
        <v>6291098.37</v>
      </c>
      <c r="W37" s="4">
        <v>4220050</v>
      </c>
      <c r="Y37" s="146">
        <f>U37-W37</f>
        <v>2071048.37</v>
      </c>
    </row>
    <row r="38" spans="1:25" s="3" customFormat="1" ht="12.75">
      <c r="A38" s="179" t="s">
        <v>300</v>
      </c>
      <c r="B38" s="141">
        <f>SUM(B39)</f>
        <v>61661269</v>
      </c>
      <c r="C38" s="142">
        <f>C39</f>
        <v>90.6</v>
      </c>
      <c r="D38" s="141">
        <f>SUM(D39)</f>
        <v>50995466.43</v>
      </c>
      <c r="E38" s="143">
        <f>IF(ISERROR(D38/B38)," ",(D38/B38))</f>
        <v>0.8270258990290972</v>
      </c>
      <c r="F38" s="141">
        <f>F39</f>
        <v>4635306.729999997</v>
      </c>
      <c r="G38" s="179" t="s">
        <v>300</v>
      </c>
      <c r="H38" s="180">
        <f t="shared" si="7"/>
        <v>61661</v>
      </c>
      <c r="I38" s="142">
        <f t="shared" si="5"/>
        <v>90.6</v>
      </c>
      <c r="J38" s="180">
        <f t="shared" si="10"/>
        <v>50995</v>
      </c>
      <c r="K38" s="144">
        <f t="shared" si="2"/>
        <v>82.70219425568837</v>
      </c>
      <c r="L38" s="66">
        <f>J38-'[4]Oktobris'!J31</f>
        <v>4635</v>
      </c>
      <c r="M38" s="180">
        <v>50995</v>
      </c>
      <c r="N38" s="3">
        <v>46360</v>
      </c>
      <c r="O38" s="56">
        <f t="shared" si="9"/>
        <v>4635</v>
      </c>
      <c r="P38" s="145">
        <f t="shared" si="1"/>
        <v>41725</v>
      </c>
      <c r="R38" s="90"/>
      <c r="U38" s="3">
        <v>22261504</v>
      </c>
      <c r="W38" s="3">
        <v>17785847</v>
      </c>
      <c r="Y38" s="146">
        <f t="shared" si="4"/>
        <v>4475657</v>
      </c>
    </row>
    <row r="39" spans="1:25" s="4" customFormat="1" ht="25.5">
      <c r="A39" s="113" t="s">
        <v>301</v>
      </c>
      <c r="B39" s="149">
        <v>61661269</v>
      </c>
      <c r="C39" s="156">
        <v>90.6</v>
      </c>
      <c r="D39" s="149">
        <v>50995466.43</v>
      </c>
      <c r="E39" s="151">
        <f>IF(ISERROR(D39/B39)," ",(D39/B39))</f>
        <v>0.8270258990290972</v>
      </c>
      <c r="F39" s="149">
        <f>D39-'[4]Oktobris'!D32</f>
        <v>4635306.729999997</v>
      </c>
      <c r="G39" s="114" t="s">
        <v>301</v>
      </c>
      <c r="H39" s="165">
        <f t="shared" si="7"/>
        <v>61661</v>
      </c>
      <c r="I39" s="138">
        <f t="shared" si="5"/>
        <v>90.6</v>
      </c>
      <c r="J39" s="165">
        <f t="shared" si="10"/>
        <v>50995</v>
      </c>
      <c r="K39" s="153">
        <f t="shared" si="2"/>
        <v>82.70219425568837</v>
      </c>
      <c r="L39" s="152">
        <f>J39-'[4]Oktobris'!J32</f>
        <v>4635</v>
      </c>
      <c r="M39" s="165">
        <v>50995</v>
      </c>
      <c r="N39" s="4">
        <v>46360</v>
      </c>
      <c r="O39" s="56">
        <f t="shared" si="9"/>
        <v>4635</v>
      </c>
      <c r="P39" s="145">
        <f t="shared" si="1"/>
        <v>41725</v>
      </c>
      <c r="R39" s="90"/>
      <c r="U39" s="4">
        <v>22261504</v>
      </c>
      <c r="W39" s="4">
        <v>17785847</v>
      </c>
      <c r="Y39" s="154">
        <f t="shared" si="4"/>
        <v>4475657</v>
      </c>
    </row>
    <row r="40" spans="1:25" s="3" customFormat="1" ht="12.75">
      <c r="A40" s="179" t="s">
        <v>302</v>
      </c>
      <c r="B40" s="141">
        <v>31086194</v>
      </c>
      <c r="C40" s="142">
        <v>60.3</v>
      </c>
      <c r="D40" s="162">
        <v>9624003</v>
      </c>
      <c r="E40" s="163">
        <f>IF(ISERROR(D40/B40)," ",(D40/B40))</f>
        <v>0.3095909071403209</v>
      </c>
      <c r="F40" s="161">
        <f>D40-'[4]Oktobris'!D33</f>
        <v>5206818</v>
      </c>
      <c r="G40" s="179" t="s">
        <v>303</v>
      </c>
      <c r="H40" s="180">
        <f t="shared" si="7"/>
        <v>31086</v>
      </c>
      <c r="I40" s="142">
        <f t="shared" si="5"/>
        <v>60.3</v>
      </c>
      <c r="J40" s="180">
        <f t="shared" si="10"/>
        <v>9624</v>
      </c>
      <c r="K40" s="144">
        <f t="shared" si="2"/>
        <v>30.95927427137618</v>
      </c>
      <c r="L40" s="66">
        <f>J40-'[4]Oktobris'!J33</f>
        <v>5207</v>
      </c>
      <c r="M40" s="165">
        <v>9624</v>
      </c>
      <c r="N40" s="3">
        <v>4417</v>
      </c>
      <c r="O40" s="56">
        <f t="shared" si="9"/>
        <v>5207</v>
      </c>
      <c r="P40" s="145">
        <f t="shared" si="1"/>
        <v>-790</v>
      </c>
      <c r="R40" s="90"/>
      <c r="W40" s="3">
        <v>12545062</v>
      </c>
      <c r="Y40" s="146">
        <f t="shared" si="4"/>
        <v>-12545062</v>
      </c>
    </row>
    <row r="41" spans="1:25" s="3" customFormat="1" ht="12.75">
      <c r="A41" s="181" t="s">
        <v>304</v>
      </c>
      <c r="B41" s="145">
        <v>1200000</v>
      </c>
      <c r="C41" s="182"/>
      <c r="D41" s="183">
        <f>693783.23+518490.37</f>
        <v>1212273.6</v>
      </c>
      <c r="E41" s="163">
        <f>IF(ISERROR(D41/B41)," ",(D41/B41))</f>
        <v>1.0102280000000001</v>
      </c>
      <c r="F41" s="184">
        <f>D41</f>
        <v>1212273.6</v>
      </c>
      <c r="G41" s="185" t="s">
        <v>304</v>
      </c>
      <c r="H41" s="152">
        <f t="shared" si="7"/>
        <v>1200</v>
      </c>
      <c r="I41" s="138"/>
      <c r="J41" s="152">
        <f t="shared" si="10"/>
        <v>1212</v>
      </c>
      <c r="K41" s="153">
        <f t="shared" si="2"/>
        <v>101</v>
      </c>
      <c r="L41" s="152">
        <f>ROUND(F41/1000,0)</f>
        <v>1212</v>
      </c>
      <c r="M41" s="186">
        <f>L41</f>
        <v>1212</v>
      </c>
      <c r="O41" s="56"/>
      <c r="P41" s="145"/>
      <c r="R41" s="90"/>
      <c r="Y41" s="146"/>
    </row>
    <row r="42" spans="1:25" s="3" customFormat="1" ht="12.75">
      <c r="A42" s="187"/>
      <c r="B42" s="145"/>
      <c r="C42" s="182"/>
      <c r="D42" s="183"/>
      <c r="E42" s="188"/>
      <c r="F42" s="184"/>
      <c r="G42" s="187"/>
      <c r="H42" s="189"/>
      <c r="I42" s="182"/>
      <c r="J42" s="189"/>
      <c r="K42" s="190"/>
      <c r="L42" s="191"/>
      <c r="M42" s="192"/>
      <c r="O42" s="56"/>
      <c r="P42" s="145"/>
      <c r="R42" s="90"/>
      <c r="Y42" s="146"/>
    </row>
    <row r="43" spans="1:19" s="3" customFormat="1" ht="12" customHeight="1">
      <c r="A43" s="187"/>
      <c r="B43" s="191"/>
      <c r="C43" s="193"/>
      <c r="D43" s="186"/>
      <c r="E43" s="194"/>
      <c r="F43" s="186"/>
      <c r="J43" s="186"/>
      <c r="K43" s="194"/>
      <c r="L43" s="186"/>
      <c r="N43" s="186"/>
      <c r="P43" s="186"/>
      <c r="S43" s="90"/>
    </row>
    <row r="44" spans="1:14" s="3" customFormat="1" ht="12.75">
      <c r="A44" s="195" t="s">
        <v>305</v>
      </c>
      <c r="B44" s="196"/>
      <c r="C44" s="197"/>
      <c r="D44" s="186"/>
      <c r="E44" s="194"/>
      <c r="H44" s="196"/>
      <c r="I44" s="198"/>
      <c r="J44" s="186"/>
      <c r="K44" s="194"/>
      <c r="L44" s="186"/>
      <c r="N44" s="186"/>
    </row>
    <row r="45" spans="1:12" s="3" customFormat="1" ht="12.75">
      <c r="A45" s="195" t="s">
        <v>306</v>
      </c>
      <c r="B45" s="196"/>
      <c r="C45" s="197"/>
      <c r="D45" s="186"/>
      <c r="E45" s="194"/>
      <c r="G45" s="195" t="s">
        <v>307</v>
      </c>
      <c r="H45" s="196"/>
      <c r="I45" s="198"/>
      <c r="J45" s="186"/>
      <c r="K45" s="194"/>
      <c r="L45" s="40"/>
    </row>
    <row r="46" spans="1:11" s="3" customFormat="1" ht="12.75">
      <c r="A46" s="199"/>
      <c r="B46" s="200"/>
      <c r="C46" s="201"/>
      <c r="D46" s="202"/>
      <c r="E46" s="203"/>
      <c r="G46" s="195" t="s">
        <v>308</v>
      </c>
      <c r="H46" s="204"/>
      <c r="I46" s="204"/>
      <c r="J46" s="205"/>
      <c r="K46" s="203"/>
    </row>
    <row r="47" spans="1:11" s="3" customFormat="1" ht="12.75">
      <c r="A47" s="195"/>
      <c r="B47" s="96"/>
      <c r="C47" s="206"/>
      <c r="D47" s="89"/>
      <c r="E47" s="203"/>
      <c r="K47" s="203"/>
    </row>
    <row r="48" spans="1:7" s="3" customFormat="1" ht="12.75">
      <c r="A48" s="204"/>
      <c r="C48" s="128"/>
      <c r="G48" s="3" t="s">
        <v>309</v>
      </c>
    </row>
    <row r="49" spans="1:7" s="3" customFormat="1" ht="12.75">
      <c r="A49" s="204"/>
      <c r="C49" s="128"/>
      <c r="G49" s="3" t="s">
        <v>310</v>
      </c>
    </row>
    <row r="50" spans="1:10" s="3" customFormat="1" ht="12.75">
      <c r="A50" s="3" t="s">
        <v>311</v>
      </c>
      <c r="B50" s="88"/>
      <c r="C50" s="128"/>
      <c r="D50" s="89"/>
      <c r="H50" s="88"/>
      <c r="I50" s="128"/>
      <c r="J50" s="89"/>
    </row>
    <row r="51" spans="1:3" s="3" customFormat="1" ht="12.75">
      <c r="A51" s="204"/>
      <c r="C51" s="128"/>
    </row>
    <row r="52" spans="1:3" s="3" customFormat="1" ht="12.75">
      <c r="A52" s="3" t="s">
        <v>137</v>
      </c>
      <c r="C52" s="128"/>
    </row>
    <row r="53" spans="1:3" s="3" customFormat="1" ht="12.75">
      <c r="A53" s="3" t="s">
        <v>312</v>
      </c>
      <c r="C53" s="128"/>
    </row>
    <row r="54" s="3" customFormat="1" ht="12.75">
      <c r="C54" s="128"/>
    </row>
    <row r="55" spans="1:6" s="3" customFormat="1" ht="12.75">
      <c r="A55" s="204"/>
      <c r="B55" s="204"/>
      <c r="C55" s="205"/>
      <c r="D55" s="204"/>
      <c r="E55" s="204"/>
      <c r="F55" s="204"/>
    </row>
    <row r="56" spans="1:12" s="3" customFormat="1" ht="12.75">
      <c r="A56" s="204"/>
      <c r="B56" s="204"/>
      <c r="C56" s="204"/>
      <c r="D56" s="204"/>
      <c r="E56" s="204"/>
      <c r="F56" s="204"/>
      <c r="G56" s="4" t="s">
        <v>137</v>
      </c>
      <c r="H56" s="205"/>
      <c r="I56" s="204"/>
      <c r="J56" s="204"/>
      <c r="K56" s="204"/>
      <c r="L56" s="204"/>
    </row>
    <row r="57" spans="1:12" s="3" customFormat="1" ht="12.75">
      <c r="A57" s="204"/>
      <c r="B57" s="204"/>
      <c r="C57" s="204"/>
      <c r="D57" s="204"/>
      <c r="E57" s="207"/>
      <c r="F57" s="204"/>
      <c r="G57" s="4" t="s">
        <v>312</v>
      </c>
      <c r="H57" s="204"/>
      <c r="I57" s="204"/>
      <c r="J57" s="204"/>
      <c r="K57" s="204"/>
      <c r="L57" s="204"/>
    </row>
  </sheetData>
  <mergeCells count="1">
    <mergeCell ref="G4:L4"/>
  </mergeCells>
  <printOptions/>
  <pageMargins left="0.75" right="0.19" top="0.17" bottom="0.16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116"/>
  <sheetViews>
    <sheetView workbookViewId="0" topLeftCell="H1">
      <selection activeCell="A6" sqref="A6:F6"/>
    </sheetView>
  </sheetViews>
  <sheetFormatPr defaultColWidth="9.140625" defaultRowHeight="12.75"/>
  <cols>
    <col min="1" max="1" width="29.57421875" style="3" hidden="1" customWidth="1"/>
    <col min="2" max="2" width="11.8515625" style="3" hidden="1" customWidth="1"/>
    <col min="3" max="3" width="12.421875" style="3" hidden="1" customWidth="1"/>
    <col min="4" max="4" width="11.140625" style="3" hidden="1" customWidth="1"/>
    <col min="5" max="5" width="7.421875" style="3" hidden="1" customWidth="1"/>
    <col min="6" max="6" width="9.140625" style="3" hidden="1" customWidth="1"/>
    <col min="7" max="7" width="0.13671875" style="3" customWidth="1"/>
    <col min="8" max="8" width="31.28125" style="3" customWidth="1"/>
    <col min="9" max="9" width="11.7109375" style="3" customWidth="1"/>
    <col min="10" max="10" width="12.28125" style="3" customWidth="1"/>
    <col min="11" max="11" width="8.28125" style="3" customWidth="1"/>
    <col min="12" max="12" width="9.57421875" style="3" customWidth="1"/>
    <col min="13" max="13" width="11.57421875" style="3" customWidth="1"/>
    <col min="14" max="14" width="10.00390625" style="3" customWidth="1"/>
    <col min="15" max="15" width="22.140625" style="3" hidden="1" customWidth="1"/>
    <col min="16" max="16" width="10.140625" style="3" hidden="1" customWidth="1"/>
    <col min="17" max="17" width="12.8515625" style="3" hidden="1" customWidth="1"/>
    <col min="18" max="18" width="1.421875" style="3" hidden="1" customWidth="1"/>
    <col min="19" max="19" width="12.7109375" style="3" hidden="1" customWidth="1"/>
    <col min="20" max="20" width="11.57421875" style="3" hidden="1" customWidth="1"/>
    <col min="21" max="21" width="11.421875" style="3" hidden="1" customWidth="1"/>
    <col min="22" max="22" width="0.13671875" style="3" hidden="1" customWidth="1"/>
    <col min="23" max="25" width="11.421875" style="3" hidden="1" customWidth="1"/>
    <col min="26" max="16384" width="11.421875" style="3" customWidth="1"/>
  </cols>
  <sheetData>
    <row r="1" spans="1:14" ht="17.25" customHeight="1">
      <c r="A1" s="1" t="s">
        <v>94</v>
      </c>
      <c r="B1" s="1"/>
      <c r="C1" s="1"/>
      <c r="D1" s="1"/>
      <c r="E1" s="1"/>
      <c r="F1" s="1"/>
      <c r="G1" s="3" t="s">
        <v>313</v>
      </c>
      <c r="H1" s="1" t="s">
        <v>94</v>
      </c>
      <c r="I1" s="1"/>
      <c r="J1" s="1"/>
      <c r="K1" s="1"/>
      <c r="L1" s="1"/>
      <c r="M1" s="1"/>
      <c r="N1" s="3" t="s">
        <v>313</v>
      </c>
    </row>
    <row r="2" spans="1:13" ht="17.25" customHeight="1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</row>
    <row r="3" spans="1:13" ht="10.5" customHeight="1">
      <c r="A3" s="1"/>
      <c r="B3" s="1"/>
      <c r="C3" s="1"/>
      <c r="D3" s="1"/>
      <c r="E3" s="1"/>
      <c r="F3" s="1"/>
      <c r="H3" s="1"/>
      <c r="I3" s="1"/>
      <c r="J3" s="1"/>
      <c r="K3" s="1"/>
      <c r="L3" s="1"/>
      <c r="M3" s="1"/>
    </row>
    <row r="4" spans="1:13" ht="18.75" customHeight="1">
      <c r="A4" s="5" t="s">
        <v>314</v>
      </c>
      <c r="B4" s="208"/>
      <c r="C4" s="208"/>
      <c r="D4" s="208"/>
      <c r="E4" s="208"/>
      <c r="F4" s="208"/>
      <c r="H4" s="5" t="s">
        <v>315</v>
      </c>
      <c r="I4" s="208"/>
      <c r="J4" s="208"/>
      <c r="K4" s="208"/>
      <c r="L4" s="208"/>
      <c r="M4" s="208"/>
    </row>
    <row r="5" spans="1:13" ht="15.75" customHeight="1">
      <c r="A5" s="473" t="s">
        <v>316</v>
      </c>
      <c r="B5" s="473"/>
      <c r="C5" s="473"/>
      <c r="D5" s="473"/>
      <c r="E5" s="473"/>
      <c r="F5" s="473"/>
      <c r="G5" s="40"/>
      <c r="H5" s="473" t="s">
        <v>316</v>
      </c>
      <c r="I5" s="473"/>
      <c r="J5" s="473"/>
      <c r="K5" s="473"/>
      <c r="L5" s="473"/>
      <c r="M5" s="473"/>
    </row>
    <row r="6" spans="1:13" ht="14.25" customHeight="1">
      <c r="A6" s="734" t="s">
        <v>317</v>
      </c>
      <c r="B6" s="734"/>
      <c r="C6" s="734"/>
      <c r="D6" s="734"/>
      <c r="E6" s="734"/>
      <c r="F6" s="734"/>
      <c r="G6" s="40"/>
      <c r="H6" s="734" t="s">
        <v>317</v>
      </c>
      <c r="I6" s="734"/>
      <c r="J6" s="734"/>
      <c r="K6" s="734"/>
      <c r="L6" s="734"/>
      <c r="M6" s="734"/>
    </row>
    <row r="7" spans="1:13" ht="14.25" customHeight="1">
      <c r="A7" s="46"/>
      <c r="B7" s="46"/>
      <c r="C7" s="46"/>
      <c r="D7" s="46"/>
      <c r="E7" s="46"/>
      <c r="F7" s="46"/>
      <c r="G7" s="40"/>
      <c r="H7" s="46"/>
      <c r="I7" s="46"/>
      <c r="J7" s="46"/>
      <c r="K7" s="46"/>
      <c r="L7" s="46"/>
      <c r="M7" s="46"/>
    </row>
    <row r="8" spans="1:13" ht="12" customHeight="1">
      <c r="A8" s="182"/>
      <c r="B8" s="182"/>
      <c r="C8" s="182"/>
      <c r="D8" s="182"/>
      <c r="E8" s="182"/>
      <c r="F8" s="182"/>
      <c r="G8" s="40"/>
      <c r="H8" s="182"/>
      <c r="I8" s="182"/>
      <c r="J8" s="182"/>
      <c r="K8" s="182"/>
      <c r="L8" s="182"/>
      <c r="M8" s="182"/>
    </row>
    <row r="9" spans="7:14" ht="15" customHeight="1">
      <c r="G9" s="3" t="s">
        <v>99</v>
      </c>
      <c r="H9" s="734"/>
      <c r="I9" s="734"/>
      <c r="J9" s="734"/>
      <c r="K9" s="734"/>
      <c r="L9" s="734"/>
      <c r="M9" s="734"/>
      <c r="N9" s="3" t="s">
        <v>185</v>
      </c>
    </row>
    <row r="10" spans="1:23" ht="87.75" customHeight="1">
      <c r="A10" s="131" t="s">
        <v>101</v>
      </c>
      <c r="B10" s="131" t="s">
        <v>102</v>
      </c>
      <c r="C10" s="131" t="s">
        <v>103</v>
      </c>
      <c r="D10" s="131" t="s">
        <v>104</v>
      </c>
      <c r="E10" s="131" t="s">
        <v>105</v>
      </c>
      <c r="F10" s="131" t="s">
        <v>106</v>
      </c>
      <c r="G10" s="131" t="s">
        <v>107</v>
      </c>
      <c r="H10" s="131" t="s">
        <v>101</v>
      </c>
      <c r="I10" s="131" t="s">
        <v>102</v>
      </c>
      <c r="J10" s="131" t="s">
        <v>103</v>
      </c>
      <c r="K10" s="131" t="s">
        <v>104</v>
      </c>
      <c r="L10" s="131" t="s">
        <v>105</v>
      </c>
      <c r="M10" s="131" t="s">
        <v>318</v>
      </c>
      <c r="N10" s="131" t="s">
        <v>107</v>
      </c>
      <c r="O10" s="131" t="str">
        <f>H10</f>
        <v>Rādītāji</v>
      </c>
      <c r="P10" s="131" t="str">
        <f>K10</f>
        <v>Izpilde no gada sākuma</v>
      </c>
      <c r="Q10" s="131" t="str">
        <f>'[5]februāris'!K8</f>
        <v>Izpilde no gada sākuma</v>
      </c>
      <c r="R10" s="131" t="s">
        <v>319</v>
      </c>
      <c r="S10" s="134"/>
      <c r="V10" s="3" t="s">
        <v>320</v>
      </c>
      <c r="W10" s="3" t="s">
        <v>321</v>
      </c>
    </row>
    <row r="11" spans="1:18" ht="10.5" customHeight="1">
      <c r="A11" s="131">
        <v>1</v>
      </c>
      <c r="B11" s="131">
        <v>2</v>
      </c>
      <c r="C11" s="131">
        <v>3</v>
      </c>
      <c r="D11" s="131">
        <v>4</v>
      </c>
      <c r="E11" s="131">
        <v>5</v>
      </c>
      <c r="F11" s="131">
        <v>6</v>
      </c>
      <c r="G11" s="138">
        <v>7</v>
      </c>
      <c r="H11" s="131">
        <v>1</v>
      </c>
      <c r="I11" s="131">
        <v>2</v>
      </c>
      <c r="J11" s="131">
        <v>3</v>
      </c>
      <c r="K11" s="131">
        <v>4</v>
      </c>
      <c r="L11" s="131">
        <v>5</v>
      </c>
      <c r="M11" s="131">
        <v>6</v>
      </c>
      <c r="N11" s="138">
        <v>7</v>
      </c>
      <c r="O11" s="131">
        <f aca="true" t="shared" si="0" ref="O11:O74">H11</f>
        <v>1</v>
      </c>
      <c r="P11" s="131">
        <f aca="true" t="shared" si="1" ref="P11:P74">K11</f>
        <v>4</v>
      </c>
      <c r="Q11" s="131">
        <f>'[5]februāris'!K9</f>
        <v>4</v>
      </c>
      <c r="R11" s="28"/>
    </row>
    <row r="12" spans="1:18" ht="10.5" customHeight="1">
      <c r="A12" s="131"/>
      <c r="B12" s="131"/>
      <c r="C12" s="131"/>
      <c r="D12" s="131"/>
      <c r="E12" s="131"/>
      <c r="F12" s="131"/>
      <c r="G12" s="138"/>
      <c r="H12" s="131"/>
      <c r="I12" s="131"/>
      <c r="J12" s="131"/>
      <c r="K12" s="131"/>
      <c r="L12" s="131"/>
      <c r="M12" s="131"/>
      <c r="N12" s="138"/>
      <c r="O12" s="131"/>
      <c r="P12" s="131" t="s">
        <v>322</v>
      </c>
      <c r="Q12" s="131" t="s">
        <v>264</v>
      </c>
      <c r="R12" s="28"/>
    </row>
    <row r="13" spans="1:104" s="46" customFormat="1" ht="12.75" customHeight="1">
      <c r="A13" s="142" t="s">
        <v>323</v>
      </c>
      <c r="B13" s="27">
        <f>SUM(B14:B15)</f>
        <v>776755242</v>
      </c>
      <c r="C13" s="27">
        <f>SUM(C14:C15)</f>
        <v>705904702</v>
      </c>
      <c r="D13" s="27">
        <f>SUM(D14:D15)</f>
        <v>666403236.5899999</v>
      </c>
      <c r="E13" s="16">
        <f aca="true" t="shared" si="2" ref="E13:E76">IF(ISERROR(D13/B13)," ",(D13/B13))*100</f>
        <v>85.7932075069279</v>
      </c>
      <c r="F13" s="16">
        <f aca="true" t="shared" si="3" ref="F13:F76">IF(ISERROR(D13/C13)," ",(D13/C13))*100</f>
        <v>94.40413623849186</v>
      </c>
      <c r="G13" s="27">
        <f>SUM(G14:G15)</f>
        <v>70522199.46</v>
      </c>
      <c r="H13" s="142" t="s">
        <v>323</v>
      </c>
      <c r="I13" s="27">
        <f>SUM(I14:I15)</f>
        <v>776755</v>
      </c>
      <c r="J13" s="27">
        <f>SUM(J14:J15)</f>
        <v>705905</v>
      </c>
      <c r="K13" s="27">
        <f>SUM(K14:K15)</f>
        <v>666403</v>
      </c>
      <c r="L13" s="144">
        <f>IF(ISERROR(ROUND(K13,0)/ROUND(I13,0))," ",(ROUND(K13,)/ROUND(I13,)))*100</f>
        <v>85.7932037772528</v>
      </c>
      <c r="M13" s="144">
        <f>IF(ISERROR(ROUND(K13,0)/ROUND(J13,0))," ",(ROUND(K13,)/ROUND(J13,)))*100</f>
        <v>94.4040628696496</v>
      </c>
      <c r="N13" s="27">
        <v>70426</v>
      </c>
      <c r="O13" s="131" t="str">
        <f t="shared" si="0"/>
        <v>   Izdevumi - kopā </v>
      </c>
      <c r="P13" s="131">
        <f t="shared" si="1"/>
        <v>666403</v>
      </c>
      <c r="Q13" s="131">
        <v>595978</v>
      </c>
      <c r="R13" s="46">
        <f>P13-Q13</f>
        <v>70425</v>
      </c>
      <c r="T13" s="3"/>
      <c r="U13" s="3">
        <f>P13-Q13+1</f>
        <v>70426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</row>
    <row r="14" spans="1:104" s="40" customFormat="1" ht="12.75" customHeight="1">
      <c r="A14" s="159" t="s">
        <v>110</v>
      </c>
      <c r="B14" s="209">
        <f>B17+B20+B23+B26+B29+B32+B35+B38+B41+B44+B47+B50+B53+B56+B59+B62+B65+B68+B70+B73+B76+B79+B81+B83+B86+B88+B91+B94+B97</f>
        <v>705633474</v>
      </c>
      <c r="C14" s="209">
        <f>C17+C20+C23+C26+C29+C32+C35+C38+C41+C44+C47+C50+C53+C56+C59+C62+C65+C68+C70+C73+C76+C79+C81+C83+C86+C88+C91+C94+C97</f>
        <v>641972914</v>
      </c>
      <c r="D14" s="209">
        <f>D17+D20+D23+D26+D29+D32+D35+D38+D41+D44+D47+D50+D53+D56+D59+D62+D65+D68+D70+D73+D76+D79+D81+D83+D86+D88+D91+D94+D97</f>
        <v>615696769.28</v>
      </c>
      <c r="E14" s="210">
        <f t="shared" si="2"/>
        <v>87.25447303255343</v>
      </c>
      <c r="F14" s="210">
        <f t="shared" si="3"/>
        <v>95.90696988191</v>
      </c>
      <c r="G14" s="209">
        <f>G17+G20+G23+G26+G29+G32+G35+G38+G41+G44+G47+G50+G53+G56+G59+G62+G65+G68+G70+G73+G76+G79+G81+G83+G86+G88+G91+G94+G97</f>
        <v>64213640.79999999</v>
      </c>
      <c r="H14" s="159" t="s">
        <v>110</v>
      </c>
      <c r="I14" s="209">
        <f>I17+I20+I23+I26+I29+I32+I35+I38+I41+I44+I47+I50+I53+I56+I59+I62+I65+I68+I70+I73+I76+I79+I81+I83+I86+I88+I91+I94+I97</f>
        <v>705633</v>
      </c>
      <c r="J14" s="209">
        <f>J17+J20+J23+J26+J29+J32+J35+J38+J41+J44+J47+J50+J53+J56+J59+J62+J65+J68+J70+J73+J76+J79+J81+J83+J86+J88+J91+J94+J97+2</f>
        <v>641973</v>
      </c>
      <c r="K14" s="209">
        <f>K17+K20+K23+K26+K29+K32+K35+K38+K41+K44+K47+K50+K53+K56+K59+K62+K65+K70+K73+K76+K83+K88+K91+K94+K68+K79+K81+K86+K97</f>
        <v>615697</v>
      </c>
      <c r="L14" s="153">
        <f>IF(ISERROR(ROUND(K14,0)/ROUND(I14,0))," ",(ROUND(K14,)/ROUND(I14,)))*100</f>
        <v>87.25456434152031</v>
      </c>
      <c r="M14" s="153">
        <f>IF(ISERROR(ROUND(K14,0)/ROUND(J14,0))," ",(ROUND(K14,)/ROUND(J14,)))*100</f>
        <v>95.90699297322473</v>
      </c>
      <c r="N14" s="211">
        <v>64117</v>
      </c>
      <c r="O14" s="131" t="str">
        <f t="shared" si="0"/>
        <v>     Uzturēšanas izdevumi</v>
      </c>
      <c r="P14" s="131">
        <f t="shared" si="1"/>
        <v>615697</v>
      </c>
      <c r="Q14" s="131">
        <v>551580</v>
      </c>
      <c r="R14" s="40">
        <f aca="true" t="shared" si="4" ref="R14:R77">P14-Q14</f>
        <v>64117</v>
      </c>
      <c r="T14" s="3"/>
      <c r="U14" s="3">
        <f aca="true" t="shared" si="5" ref="U14:U77">P14-Q14</f>
        <v>64117</v>
      </c>
      <c r="V14" s="3">
        <f>U14</f>
        <v>64117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</row>
    <row r="15" spans="1:104" s="40" customFormat="1" ht="12.75" customHeight="1">
      <c r="A15" s="159" t="s">
        <v>111</v>
      </c>
      <c r="B15" s="209">
        <f>B18+B21+B24+B27+B30+B33+B36+B39+B42+B45+B48+B51+B54+B57+B60+B63+B66+B71+B74+B77+B84+B89+B92+B95</f>
        <v>71121768</v>
      </c>
      <c r="C15" s="209">
        <f>C18+C21+C24+C27+C30+C33+C36+C39+C42+C45+C48+C51+C54+C57+C60+C63+C66+C71+C74+C77+C84+C89+C92+C95</f>
        <v>63931788</v>
      </c>
      <c r="D15" s="209">
        <f>D18+D21+D24+D27+D30+D33+D36+D39+D42+D45+D48+D51+D54+D57+D60+D63+D66+D71+D74+D77+D84+D89+D92+D95</f>
        <v>50706467.31</v>
      </c>
      <c r="E15" s="210">
        <f t="shared" si="2"/>
        <v>71.29528516501446</v>
      </c>
      <c r="F15" s="210">
        <f t="shared" si="3"/>
        <v>79.3133883726199</v>
      </c>
      <c r="G15" s="209">
        <f>G18+G21+G24+G27+G30+G33+G36+G39+G42+G45+G48+G51+G54+G57+G60+G63+G66+G71+G74+G77+G84+G89+G92+G95</f>
        <v>6308558.659999999</v>
      </c>
      <c r="H15" s="159" t="s">
        <v>111</v>
      </c>
      <c r="I15" s="209">
        <f>I18+I21+I24+I27+I30+I33+I36+I39+I42+I45+I48+I51+I54+I57+I60+I63+I66+I71+I74+I77+I84+I89+I92+I95-1</f>
        <v>71122</v>
      </c>
      <c r="J15" s="209">
        <f>J18+J21+J24+J27+J30+J33+J36+J39+J42+J45+J48+J51+J54+J57+J60+J63+J66+J71+J74+J77+J84+J89+J92+J95+2</f>
        <v>63932</v>
      </c>
      <c r="K15" s="209">
        <f>K18+K21+K24+K27+K30+K33+K36+K39+K42+K45+K48+K51+K54+K57+K60+K63+K66+K71+K74+K77+K84+K89+K92+K95-1</f>
        <v>50706</v>
      </c>
      <c r="L15" s="153">
        <f>IF(ISERROR(ROUND(K15,0)/ROUND(I15,0))," ",(ROUND(K15,)/ROUND(I15,)))*100</f>
        <v>71.29439554568206</v>
      </c>
      <c r="M15" s="153">
        <f>IF(ISERROR(ROUND(K15,0)/ROUND(J15,0))," ",(ROUND(K15,)/ROUND(J15,)))*100</f>
        <v>79.31239441907026</v>
      </c>
      <c r="N15" s="209">
        <v>6309</v>
      </c>
      <c r="O15" s="159" t="s">
        <v>111</v>
      </c>
      <c r="P15" s="131">
        <f t="shared" si="1"/>
        <v>50706</v>
      </c>
      <c r="Q15" s="131">
        <v>44398</v>
      </c>
      <c r="R15" s="40">
        <f t="shared" si="4"/>
        <v>6308</v>
      </c>
      <c r="T15" s="3"/>
      <c r="U15" s="3">
        <f>P15-Q15+1</f>
        <v>6309</v>
      </c>
      <c r="V15" s="3"/>
      <c r="W15" s="3">
        <f>U15</f>
        <v>6309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</row>
    <row r="16" spans="1:104" s="40" customFormat="1" ht="12.75" customHeight="1">
      <c r="A16" s="121" t="s">
        <v>324</v>
      </c>
      <c r="B16" s="15">
        <f>SUM(B17:B18)</f>
        <v>1079902</v>
      </c>
      <c r="C16" s="15">
        <f>SUM(C17:C18)</f>
        <v>967445</v>
      </c>
      <c r="D16" s="15">
        <f>SUM(D17:D18)</f>
        <v>966947.5900000001</v>
      </c>
      <c r="E16" s="16">
        <f t="shared" si="2"/>
        <v>89.54030921324343</v>
      </c>
      <c r="F16" s="16">
        <f t="shared" si="3"/>
        <v>99.94858519088942</v>
      </c>
      <c r="G16" s="15">
        <f>SUM(G17:G18)</f>
        <v>171888.31000000006</v>
      </c>
      <c r="H16" s="121" t="s">
        <v>325</v>
      </c>
      <c r="I16" s="15">
        <f>SUM(I17:I18)</f>
        <v>1080</v>
      </c>
      <c r="J16" s="15">
        <f>SUM(J17:J18)</f>
        <v>967</v>
      </c>
      <c r="K16" s="15">
        <f>ROUND(D16/1000,0)</f>
        <v>967</v>
      </c>
      <c r="L16" s="144">
        <f aca="true" t="shared" si="6" ref="L16:L79">IF(ISERROR(ROUND(K16,0)/ROUND(I16,0))," ",(ROUND(K16,)/ROUND(I16,)))*100</f>
        <v>89.53703703703704</v>
      </c>
      <c r="M16" s="144">
        <f aca="true" t="shared" si="7" ref="M16:M79">IF(ISERROR(ROUND(K16,0)/ROUND(J16,0))," ",(ROUND(K16,)/ROUND(J16,)))*100</f>
        <v>100</v>
      </c>
      <c r="N16" s="15">
        <v>172</v>
      </c>
      <c r="O16" s="131" t="str">
        <f t="shared" si="0"/>
        <v>Valsts prezidenta kanceleja</v>
      </c>
      <c r="P16" s="131">
        <f t="shared" si="1"/>
        <v>967</v>
      </c>
      <c r="Q16" s="131">
        <v>795</v>
      </c>
      <c r="R16" s="40">
        <f t="shared" si="4"/>
        <v>172</v>
      </c>
      <c r="T16" s="3"/>
      <c r="U16" s="3">
        <f t="shared" si="5"/>
        <v>172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</row>
    <row r="17" spans="1:104" s="40" customFormat="1" ht="12.75" customHeight="1">
      <c r="A17" s="159" t="s">
        <v>110</v>
      </c>
      <c r="B17" s="212">
        <v>974002</v>
      </c>
      <c r="C17" s="212">
        <v>911545</v>
      </c>
      <c r="D17" s="213">
        <v>911253.28</v>
      </c>
      <c r="E17" s="210">
        <f t="shared" si="2"/>
        <v>93.55763951203386</v>
      </c>
      <c r="F17" s="210">
        <f t="shared" si="3"/>
        <v>99.96799719158133</v>
      </c>
      <c r="G17" s="212">
        <f>D17-'[5]oktobris'!D17</f>
        <v>171888.31000000006</v>
      </c>
      <c r="H17" s="159" t="s">
        <v>110</v>
      </c>
      <c r="I17" s="212">
        <f aca="true" t="shared" si="8" ref="I17:K18">ROUND(B17/1000,0)</f>
        <v>974</v>
      </c>
      <c r="J17" s="212">
        <f>ROUND(C17/1000,0)-1</f>
        <v>911</v>
      </c>
      <c r="K17" s="212">
        <f>ROUND(D17/1000,0)</f>
        <v>911</v>
      </c>
      <c r="L17" s="153">
        <f t="shared" si="6"/>
        <v>93.53182751540041</v>
      </c>
      <c r="M17" s="153">
        <f t="shared" si="7"/>
        <v>100</v>
      </c>
      <c r="N17" s="212">
        <v>172</v>
      </c>
      <c r="O17" s="131" t="str">
        <f t="shared" si="0"/>
        <v>     Uzturēšanas izdevumi</v>
      </c>
      <c r="P17" s="131">
        <f t="shared" si="1"/>
        <v>911</v>
      </c>
      <c r="Q17" s="131">
        <v>739</v>
      </c>
      <c r="R17" s="40">
        <f t="shared" si="4"/>
        <v>172</v>
      </c>
      <c r="T17" s="3"/>
      <c r="U17" s="3">
        <f t="shared" si="5"/>
        <v>172</v>
      </c>
      <c r="V17" s="3">
        <f>U17</f>
        <v>172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</row>
    <row r="18" spans="1:104" s="40" customFormat="1" ht="12.75" customHeight="1">
      <c r="A18" s="159" t="s">
        <v>111</v>
      </c>
      <c r="B18" s="212">
        <v>105900</v>
      </c>
      <c r="C18" s="212">
        <v>55900</v>
      </c>
      <c r="D18" s="213">
        <v>55694.31</v>
      </c>
      <c r="E18" s="210">
        <f t="shared" si="2"/>
        <v>52.5914164305949</v>
      </c>
      <c r="F18" s="210">
        <f t="shared" si="3"/>
        <v>99.63203935599284</v>
      </c>
      <c r="G18" s="212">
        <f>D18-'[5]oktobris'!D18</f>
        <v>0</v>
      </c>
      <c r="H18" s="159" t="s">
        <v>111</v>
      </c>
      <c r="I18" s="212">
        <f t="shared" si="8"/>
        <v>106</v>
      </c>
      <c r="J18" s="212">
        <f>ROUND(C18/1000,0)</f>
        <v>56</v>
      </c>
      <c r="K18" s="212">
        <f t="shared" si="8"/>
        <v>56</v>
      </c>
      <c r="L18" s="153">
        <f t="shared" si="6"/>
        <v>52.83018867924528</v>
      </c>
      <c r="M18" s="153">
        <f t="shared" si="7"/>
        <v>100</v>
      </c>
      <c r="N18" s="212">
        <v>0</v>
      </c>
      <c r="O18" s="131" t="str">
        <f t="shared" si="0"/>
        <v>     Izdevumi kapitālieguldījumiem</v>
      </c>
      <c r="P18" s="131">
        <f t="shared" si="1"/>
        <v>56</v>
      </c>
      <c r="Q18" s="131">
        <v>56</v>
      </c>
      <c r="R18" s="40">
        <f t="shared" si="4"/>
        <v>0</v>
      </c>
      <c r="T18" s="3" t="s">
        <v>326</v>
      </c>
      <c r="U18" s="3">
        <f t="shared" si="5"/>
        <v>0</v>
      </c>
      <c r="V18" s="3"/>
      <c r="W18" s="3">
        <f>U18</f>
        <v>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</row>
    <row r="19" spans="1:104" s="40" customFormat="1" ht="12.75" customHeight="1">
      <c r="A19" s="26" t="s">
        <v>113</v>
      </c>
      <c r="B19" s="15">
        <f>SUM(B20:B21)</f>
        <v>6857526</v>
      </c>
      <c r="C19" s="15">
        <f>SUM(C20:C21)</f>
        <v>6191702</v>
      </c>
      <c r="D19" s="15">
        <f>SUM(D20:D21)</f>
        <v>5728830</v>
      </c>
      <c r="E19" s="16">
        <f t="shared" si="2"/>
        <v>83.54076965949527</v>
      </c>
      <c r="F19" s="16">
        <f t="shared" si="3"/>
        <v>92.52431722327722</v>
      </c>
      <c r="G19" s="15">
        <f>SUM(G20:G21)</f>
        <v>712995.72</v>
      </c>
      <c r="H19" s="26" t="s">
        <v>113</v>
      </c>
      <c r="I19" s="15">
        <f>SUM(I20:I21)</f>
        <v>6857</v>
      </c>
      <c r="J19" s="15">
        <f>SUM(J20:J21)</f>
        <v>6191</v>
      </c>
      <c r="K19" s="15">
        <f>SUM(K20:K21)</f>
        <v>5729</v>
      </c>
      <c r="L19" s="144">
        <f t="shared" si="6"/>
        <v>83.54965728452676</v>
      </c>
      <c r="M19" s="144">
        <f t="shared" si="7"/>
        <v>92.537554514618</v>
      </c>
      <c r="N19" s="15">
        <v>713</v>
      </c>
      <c r="O19" s="131" t="str">
        <f t="shared" si="0"/>
        <v>Saeima</v>
      </c>
      <c r="P19" s="131">
        <f t="shared" si="1"/>
        <v>5729</v>
      </c>
      <c r="Q19" s="131">
        <v>5016</v>
      </c>
      <c r="R19" s="40">
        <f t="shared" si="4"/>
        <v>713</v>
      </c>
      <c r="T19" s="3"/>
      <c r="U19" s="3">
        <f t="shared" si="5"/>
        <v>713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</row>
    <row r="20" spans="1:104" s="40" customFormat="1" ht="12.75" customHeight="1">
      <c r="A20" s="159" t="s">
        <v>110</v>
      </c>
      <c r="B20" s="212">
        <v>5715091</v>
      </c>
      <c r="C20" s="212">
        <v>5139267</v>
      </c>
      <c r="D20" s="212">
        <v>4830154</v>
      </c>
      <c r="E20" s="210">
        <f t="shared" si="2"/>
        <v>84.5157846130534</v>
      </c>
      <c r="F20" s="210">
        <f t="shared" si="3"/>
        <v>93.98527066213917</v>
      </c>
      <c r="G20" s="212">
        <f>D20-'[5]oktobris'!D20</f>
        <v>665534.48</v>
      </c>
      <c r="H20" s="159" t="s">
        <v>110</v>
      </c>
      <c r="I20" s="212">
        <f aca="true" t="shared" si="9" ref="I20:K21">ROUND(B20/1000,0)</f>
        <v>5715</v>
      </c>
      <c r="J20" s="212">
        <f t="shared" si="9"/>
        <v>5139</v>
      </c>
      <c r="K20" s="212">
        <f t="shared" si="9"/>
        <v>4830</v>
      </c>
      <c r="L20" s="153">
        <f t="shared" si="6"/>
        <v>84.51443569553805</v>
      </c>
      <c r="M20" s="153">
        <f t="shared" si="7"/>
        <v>93.9871570344425</v>
      </c>
      <c r="N20" s="212">
        <v>666</v>
      </c>
      <c r="O20" s="131" t="str">
        <f t="shared" si="0"/>
        <v>     Uzturēšanas izdevumi</v>
      </c>
      <c r="P20" s="131">
        <f t="shared" si="1"/>
        <v>4830</v>
      </c>
      <c r="Q20" s="131">
        <v>4165</v>
      </c>
      <c r="R20" s="40">
        <f t="shared" si="4"/>
        <v>665</v>
      </c>
      <c r="T20" s="3"/>
      <c r="U20" s="3">
        <f t="shared" si="5"/>
        <v>665</v>
      </c>
      <c r="V20" s="3">
        <f>U20</f>
        <v>665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</row>
    <row r="21" spans="1:104" s="40" customFormat="1" ht="12.75" customHeight="1">
      <c r="A21" s="159" t="s">
        <v>111</v>
      </c>
      <c r="B21" s="212">
        <v>1142435</v>
      </c>
      <c r="C21" s="212">
        <v>1052435</v>
      </c>
      <c r="D21" s="212">
        <v>898676</v>
      </c>
      <c r="E21" s="210">
        <f t="shared" si="2"/>
        <v>78.66320622179818</v>
      </c>
      <c r="F21" s="210">
        <f t="shared" si="3"/>
        <v>85.3901666136151</v>
      </c>
      <c r="G21" s="212">
        <f>D21-'[5]oktobris'!D21</f>
        <v>47461.23999999999</v>
      </c>
      <c r="H21" s="159" t="s">
        <v>111</v>
      </c>
      <c r="I21" s="212">
        <f t="shared" si="9"/>
        <v>1142</v>
      </c>
      <c r="J21" s="212">
        <f t="shared" si="9"/>
        <v>1052</v>
      </c>
      <c r="K21" s="212">
        <f t="shared" si="9"/>
        <v>899</v>
      </c>
      <c r="L21" s="153">
        <f t="shared" si="6"/>
        <v>78.7215411558669</v>
      </c>
      <c r="M21" s="153">
        <f t="shared" si="7"/>
        <v>85.45627376425855</v>
      </c>
      <c r="N21" s="212">
        <v>47</v>
      </c>
      <c r="O21" s="131" t="str">
        <f t="shared" si="0"/>
        <v>     Izdevumi kapitālieguldījumiem</v>
      </c>
      <c r="P21" s="131">
        <f t="shared" si="1"/>
        <v>899</v>
      </c>
      <c r="Q21" s="131">
        <v>851</v>
      </c>
      <c r="R21" s="40">
        <f t="shared" si="4"/>
        <v>48</v>
      </c>
      <c r="T21" s="3"/>
      <c r="U21" s="3">
        <f t="shared" si="5"/>
        <v>48</v>
      </c>
      <c r="V21" s="3"/>
      <c r="W21" s="3">
        <f>U21</f>
        <v>48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</row>
    <row r="22" spans="1:104" s="40" customFormat="1" ht="12.75" customHeight="1">
      <c r="A22" s="26" t="s">
        <v>115</v>
      </c>
      <c r="B22" s="15">
        <f>SUM(B23:B24)</f>
        <v>4031850</v>
      </c>
      <c r="C22" s="15">
        <f>SUM(C23:C24)</f>
        <v>3682348</v>
      </c>
      <c r="D22" s="15">
        <f>SUM(D23:D24)</f>
        <v>3480476</v>
      </c>
      <c r="E22" s="16">
        <f t="shared" si="2"/>
        <v>86.32454084353337</v>
      </c>
      <c r="F22" s="16">
        <f t="shared" si="3"/>
        <v>94.51784567889835</v>
      </c>
      <c r="G22" s="15">
        <f>SUM(G23:G24)</f>
        <v>761055.9399999997</v>
      </c>
      <c r="H22" s="26" t="s">
        <v>115</v>
      </c>
      <c r="I22" s="15">
        <f>SUM(I23:I24)</f>
        <v>4032</v>
      </c>
      <c r="J22" s="15">
        <f>SUM(J23:J24)</f>
        <v>3682</v>
      </c>
      <c r="K22" s="15">
        <f>SUM(K23:K24)</f>
        <v>3480</v>
      </c>
      <c r="L22" s="144">
        <f t="shared" si="6"/>
        <v>86.30952380952381</v>
      </c>
      <c r="M22" s="144">
        <f t="shared" si="7"/>
        <v>94.51385116784357</v>
      </c>
      <c r="N22" s="15">
        <v>760</v>
      </c>
      <c r="O22" s="131" t="str">
        <f t="shared" si="0"/>
        <v>Ministru Kabinets</v>
      </c>
      <c r="P22" s="131">
        <f t="shared" si="1"/>
        <v>3480</v>
      </c>
      <c r="Q22" s="131">
        <v>2720</v>
      </c>
      <c r="R22" s="40">
        <f t="shared" si="4"/>
        <v>760</v>
      </c>
      <c r="T22" s="3"/>
      <c r="U22" s="3">
        <f t="shared" si="5"/>
        <v>760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</row>
    <row r="23" spans="1:104" s="40" customFormat="1" ht="12.75" customHeight="1">
      <c r="A23" s="159" t="s">
        <v>110</v>
      </c>
      <c r="B23" s="212">
        <v>3895670</v>
      </c>
      <c r="C23" s="212">
        <v>3559285</v>
      </c>
      <c r="D23" s="212">
        <v>3358976</v>
      </c>
      <c r="E23" s="210">
        <f t="shared" si="2"/>
        <v>86.22331973704138</v>
      </c>
      <c r="F23" s="210">
        <f t="shared" si="3"/>
        <v>94.3722123965909</v>
      </c>
      <c r="G23" s="214">
        <f>D23-'[5]oktobris'!D23</f>
        <v>750241.2599999998</v>
      </c>
      <c r="H23" s="159" t="s">
        <v>110</v>
      </c>
      <c r="I23" s="212">
        <f>ROUND(B23/1000,0)</f>
        <v>3896</v>
      </c>
      <c r="J23" s="212">
        <f>ROUND(C23/1000,0)</f>
        <v>3559</v>
      </c>
      <c r="K23" s="212">
        <f>ROUND(D23/1000,0)</f>
        <v>3359</v>
      </c>
      <c r="L23" s="153">
        <f t="shared" si="6"/>
        <v>86.21663244353182</v>
      </c>
      <c r="M23" s="153">
        <f t="shared" si="7"/>
        <v>94.38044394492834</v>
      </c>
      <c r="N23" s="212">
        <v>750</v>
      </c>
      <c r="O23" s="131" t="str">
        <f t="shared" si="0"/>
        <v>     Uzturēšanas izdevumi</v>
      </c>
      <c r="P23" s="131">
        <f t="shared" si="1"/>
        <v>3359</v>
      </c>
      <c r="Q23" s="131">
        <v>2609</v>
      </c>
      <c r="R23" s="40">
        <f t="shared" si="4"/>
        <v>750</v>
      </c>
      <c r="T23" s="3"/>
      <c r="U23" s="3">
        <f t="shared" si="5"/>
        <v>750</v>
      </c>
      <c r="V23" s="3">
        <f>U23</f>
        <v>750</v>
      </c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</row>
    <row r="24" spans="1:104" s="40" customFormat="1" ht="12.75" customHeight="1">
      <c r="A24" s="159" t="s">
        <v>111</v>
      </c>
      <c r="B24" s="212">
        <v>136180</v>
      </c>
      <c r="C24" s="212">
        <v>123063</v>
      </c>
      <c r="D24" s="212">
        <v>121500</v>
      </c>
      <c r="E24" s="210">
        <f t="shared" si="2"/>
        <v>89.220149801733</v>
      </c>
      <c r="F24" s="210">
        <f t="shared" si="3"/>
        <v>98.72991882206674</v>
      </c>
      <c r="G24" s="214">
        <f>D24-'[5]oktobris'!D24</f>
        <v>10814.679999999993</v>
      </c>
      <c r="H24" s="159" t="s">
        <v>111</v>
      </c>
      <c r="I24" s="212">
        <f>ROUND(B24/1000,0)</f>
        <v>136</v>
      </c>
      <c r="J24" s="212">
        <f>ROUND(C24/1000,0)</f>
        <v>123</v>
      </c>
      <c r="K24" s="212">
        <f>ROUND(D24/1000,0)-1</f>
        <v>121</v>
      </c>
      <c r="L24" s="153">
        <f t="shared" si="6"/>
        <v>88.97058823529412</v>
      </c>
      <c r="M24" s="153">
        <f t="shared" si="7"/>
        <v>98.3739837398374</v>
      </c>
      <c r="N24" s="212">
        <v>10</v>
      </c>
      <c r="O24" s="131" t="str">
        <f t="shared" si="0"/>
        <v>     Izdevumi kapitālieguldījumiem</v>
      </c>
      <c r="P24" s="131">
        <f t="shared" si="1"/>
        <v>121</v>
      </c>
      <c r="Q24" s="131">
        <v>111</v>
      </c>
      <c r="R24" s="40">
        <f t="shared" si="4"/>
        <v>10</v>
      </c>
      <c r="T24" s="3"/>
      <c r="U24" s="3">
        <f t="shared" si="5"/>
        <v>10</v>
      </c>
      <c r="V24" s="3"/>
      <c r="W24" s="3">
        <f>U24</f>
        <v>10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</row>
    <row r="25" spans="1:104" s="40" customFormat="1" ht="12.75" customHeight="1">
      <c r="A25" s="26" t="s">
        <v>327</v>
      </c>
      <c r="B25" s="15">
        <f>SUM(B26:B27)</f>
        <v>42879448</v>
      </c>
      <c r="C25" s="15">
        <f>SUM(C26:C27)</f>
        <v>39074580</v>
      </c>
      <c r="D25" s="15">
        <f>SUM(D26:D27)</f>
        <v>37025583</v>
      </c>
      <c r="E25" s="16">
        <f t="shared" si="2"/>
        <v>86.34808685037176</v>
      </c>
      <c r="F25" s="16">
        <f t="shared" si="3"/>
        <v>94.7561893179658</v>
      </c>
      <c r="G25" s="15">
        <f>D25-'[5]oktobris'!D25</f>
        <v>4421705.719999999</v>
      </c>
      <c r="H25" s="26" t="s">
        <v>327</v>
      </c>
      <c r="I25" s="15">
        <f>SUM(I26:I27)</f>
        <v>42879</v>
      </c>
      <c r="J25" s="15">
        <f>SUM(J26:J27)</f>
        <v>39074</v>
      </c>
      <c r="K25" s="15">
        <f>SUM(K26:K27)</f>
        <v>37026</v>
      </c>
      <c r="L25" s="144">
        <f t="shared" si="6"/>
        <v>86.349961519625</v>
      </c>
      <c r="M25" s="144">
        <f t="shared" si="7"/>
        <v>94.7586630495982</v>
      </c>
      <c r="N25" s="15">
        <v>4422</v>
      </c>
      <c r="O25" s="131" t="str">
        <f t="shared" si="0"/>
        <v>Aizsardzības ministrija</v>
      </c>
      <c r="P25" s="131">
        <f t="shared" si="1"/>
        <v>37026</v>
      </c>
      <c r="Q25" s="131">
        <v>32603</v>
      </c>
      <c r="R25" s="40">
        <f t="shared" si="4"/>
        <v>4423</v>
      </c>
      <c r="T25" s="3"/>
      <c r="U25" s="3">
        <f t="shared" si="5"/>
        <v>4423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</row>
    <row r="26" spans="1:104" s="40" customFormat="1" ht="12.75" customHeight="1">
      <c r="A26" s="159" t="s">
        <v>110</v>
      </c>
      <c r="B26" s="212">
        <v>39021388</v>
      </c>
      <c r="C26" s="212">
        <v>35513411</v>
      </c>
      <c r="D26" s="212">
        <v>34171603</v>
      </c>
      <c r="E26" s="210">
        <f t="shared" si="2"/>
        <v>87.57146977959881</v>
      </c>
      <c r="F26" s="210">
        <f t="shared" si="3"/>
        <v>96.22168650597939</v>
      </c>
      <c r="G26" s="212">
        <f>D26-'[5]oktobris'!D26</f>
        <v>3697063.3900000006</v>
      </c>
      <c r="H26" s="159" t="s">
        <v>110</v>
      </c>
      <c r="I26" s="212">
        <f aca="true" t="shared" si="10" ref="I26:K27">ROUND(B26/1000,0)</f>
        <v>39021</v>
      </c>
      <c r="J26" s="212">
        <f>ROUND(C26/1000,0)</f>
        <v>35513</v>
      </c>
      <c r="K26" s="212">
        <f>ROUND(D26/1000,0)</f>
        <v>34172</v>
      </c>
      <c r="L26" s="153">
        <f t="shared" si="6"/>
        <v>87.57335793547064</v>
      </c>
      <c r="M26" s="153">
        <f t="shared" si="7"/>
        <v>96.22391800185848</v>
      </c>
      <c r="N26" s="212">
        <v>3697</v>
      </c>
      <c r="O26" s="131" t="str">
        <f t="shared" si="0"/>
        <v>     Uzturēšanas izdevumi</v>
      </c>
      <c r="P26" s="131">
        <f t="shared" si="1"/>
        <v>34172</v>
      </c>
      <c r="Q26" s="131">
        <v>30474</v>
      </c>
      <c r="R26" s="40">
        <f t="shared" si="4"/>
        <v>3698</v>
      </c>
      <c r="T26" s="3"/>
      <c r="U26" s="3">
        <f t="shared" si="5"/>
        <v>3698</v>
      </c>
      <c r="V26" s="3">
        <f>U26</f>
        <v>3698</v>
      </c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</row>
    <row r="27" spans="1:104" s="40" customFormat="1" ht="12.75" customHeight="1">
      <c r="A27" s="159" t="s">
        <v>111</v>
      </c>
      <c r="B27" s="212">
        <v>3858060</v>
      </c>
      <c r="C27" s="212">
        <v>3561169</v>
      </c>
      <c r="D27" s="212">
        <v>2853980</v>
      </c>
      <c r="E27" s="210">
        <f t="shared" si="2"/>
        <v>73.97448458551708</v>
      </c>
      <c r="F27" s="210">
        <f t="shared" si="3"/>
        <v>80.14166134772037</v>
      </c>
      <c r="G27" s="212">
        <f>D27-'[5]oktobris'!D27</f>
        <v>724642.3300000001</v>
      </c>
      <c r="H27" s="159" t="s">
        <v>111</v>
      </c>
      <c r="I27" s="212">
        <f t="shared" si="10"/>
        <v>3858</v>
      </c>
      <c r="J27" s="212">
        <f t="shared" si="10"/>
        <v>3561</v>
      </c>
      <c r="K27" s="212">
        <f t="shared" si="10"/>
        <v>2854</v>
      </c>
      <c r="L27" s="153">
        <f t="shared" si="6"/>
        <v>73.97615344738206</v>
      </c>
      <c r="M27" s="153">
        <f t="shared" si="7"/>
        <v>80.14602639707947</v>
      </c>
      <c r="N27" s="212">
        <v>725</v>
      </c>
      <c r="O27" s="131" t="str">
        <f t="shared" si="0"/>
        <v>     Izdevumi kapitālieguldījumiem</v>
      </c>
      <c r="P27" s="131">
        <f t="shared" si="1"/>
        <v>2854</v>
      </c>
      <c r="Q27" s="131">
        <v>2129</v>
      </c>
      <c r="R27" s="40">
        <f t="shared" si="4"/>
        <v>725</v>
      </c>
      <c r="T27" s="3"/>
      <c r="U27" s="3">
        <f t="shared" si="5"/>
        <v>725</v>
      </c>
      <c r="V27" s="3"/>
      <c r="W27" s="3">
        <f>U27</f>
        <v>725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</row>
    <row r="28" spans="1:104" s="40" customFormat="1" ht="12.75" customHeight="1">
      <c r="A28" s="26" t="s">
        <v>117</v>
      </c>
      <c r="B28" s="15">
        <f>SUM(B29:B30)</f>
        <v>12758649</v>
      </c>
      <c r="C28" s="15">
        <f>SUM(C29:C30)</f>
        <v>9753952</v>
      </c>
      <c r="D28" s="15">
        <f>SUM(D29:D30)</f>
        <v>9427424</v>
      </c>
      <c r="E28" s="16">
        <f t="shared" si="2"/>
        <v>73.8904565836085</v>
      </c>
      <c r="F28" s="16">
        <f t="shared" si="3"/>
        <v>96.6523517852046</v>
      </c>
      <c r="G28" s="15">
        <f>D28-'[5]oktobris'!D28</f>
        <v>821529.8399999999</v>
      </c>
      <c r="H28" s="26" t="s">
        <v>117</v>
      </c>
      <c r="I28" s="15">
        <f>SUM(I29:I30)</f>
        <v>12758</v>
      </c>
      <c r="J28" s="15">
        <f>SUM(J29:J30)</f>
        <v>9754</v>
      </c>
      <c r="K28" s="15">
        <f>SUM(K29:K30)</f>
        <v>9427</v>
      </c>
      <c r="L28" s="144">
        <f t="shared" si="6"/>
        <v>73.89089198934002</v>
      </c>
      <c r="M28" s="144">
        <f t="shared" si="7"/>
        <v>96.64752921878204</v>
      </c>
      <c r="N28" s="15">
        <v>821</v>
      </c>
      <c r="O28" s="131" t="str">
        <f t="shared" si="0"/>
        <v>Ārlietu ministrija</v>
      </c>
      <c r="P28" s="131">
        <f t="shared" si="1"/>
        <v>9427</v>
      </c>
      <c r="Q28" s="131">
        <v>8606</v>
      </c>
      <c r="R28" s="40">
        <f t="shared" si="4"/>
        <v>821</v>
      </c>
      <c r="T28" s="3"/>
      <c r="U28" s="3">
        <f>P28-Q28-1</f>
        <v>820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</row>
    <row r="29" spans="1:104" s="40" customFormat="1" ht="12.75" customHeight="1">
      <c r="A29" s="159" t="s">
        <v>110</v>
      </c>
      <c r="B29" s="212">
        <v>10421349</v>
      </c>
      <c r="C29" s="212">
        <v>9429652</v>
      </c>
      <c r="D29" s="212">
        <v>9144771</v>
      </c>
      <c r="E29" s="210">
        <f t="shared" si="2"/>
        <v>87.7503574633188</v>
      </c>
      <c r="F29" s="210">
        <f t="shared" si="3"/>
        <v>96.97888108702209</v>
      </c>
      <c r="G29" s="212">
        <f>D29-'[5]oktobris'!D29</f>
        <v>794379.3399999999</v>
      </c>
      <c r="H29" s="159" t="s">
        <v>110</v>
      </c>
      <c r="I29" s="212">
        <f>ROUND(B29/1000,0)</f>
        <v>10421</v>
      </c>
      <c r="J29" s="212">
        <f>ROUND(C29/1000,0)</f>
        <v>9430</v>
      </c>
      <c r="K29" s="212">
        <f>ROUND(D29/1000,0)</f>
        <v>9145</v>
      </c>
      <c r="L29" s="153">
        <f t="shared" si="6"/>
        <v>87.75549371461472</v>
      </c>
      <c r="M29" s="153">
        <f t="shared" si="7"/>
        <v>96.97773064687169</v>
      </c>
      <c r="N29" s="212">
        <v>794</v>
      </c>
      <c r="O29" s="131" t="str">
        <f t="shared" si="0"/>
        <v>     Uzturēšanas izdevumi</v>
      </c>
      <c r="P29" s="131">
        <f t="shared" si="1"/>
        <v>9145</v>
      </c>
      <c r="Q29" s="131">
        <v>8351</v>
      </c>
      <c r="R29" s="40">
        <f t="shared" si="4"/>
        <v>794</v>
      </c>
      <c r="T29" s="3"/>
      <c r="U29" s="3">
        <f>P29-Q29-1</f>
        <v>793</v>
      </c>
      <c r="V29" s="3">
        <f>U29</f>
        <v>793</v>
      </c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</row>
    <row r="30" spans="1:104" s="40" customFormat="1" ht="12.75" customHeight="1">
      <c r="A30" s="159" t="s">
        <v>111</v>
      </c>
      <c r="B30" s="212">
        <v>2337300</v>
      </c>
      <c r="C30" s="212">
        <v>324300</v>
      </c>
      <c r="D30" s="212">
        <v>282653</v>
      </c>
      <c r="E30" s="210">
        <f t="shared" si="2"/>
        <v>12.093141659179395</v>
      </c>
      <c r="F30" s="210">
        <f t="shared" si="3"/>
        <v>87.15787850755473</v>
      </c>
      <c r="G30" s="212">
        <f>D30-'[5]oktobris'!D30</f>
        <v>27150.5</v>
      </c>
      <c r="H30" s="159" t="s">
        <v>111</v>
      </c>
      <c r="I30" s="212">
        <f>ROUND(B30/1000,0)</f>
        <v>2337</v>
      </c>
      <c r="J30" s="212">
        <f>ROUND(C30/1000,0)</f>
        <v>324</v>
      </c>
      <c r="K30" s="212">
        <f>ROUND(D30/1000,0)-1</f>
        <v>282</v>
      </c>
      <c r="L30" s="153">
        <f t="shared" si="6"/>
        <v>12.066752246469834</v>
      </c>
      <c r="M30" s="153">
        <f t="shared" si="7"/>
        <v>87.03703703703704</v>
      </c>
      <c r="N30" s="212">
        <v>27</v>
      </c>
      <c r="O30" s="131" t="str">
        <f t="shared" si="0"/>
        <v>     Izdevumi kapitālieguldījumiem</v>
      </c>
      <c r="P30" s="131">
        <f t="shared" si="1"/>
        <v>282</v>
      </c>
      <c r="Q30" s="131">
        <v>255</v>
      </c>
      <c r="R30" s="40">
        <f t="shared" si="4"/>
        <v>27</v>
      </c>
      <c r="T30" s="3"/>
      <c r="U30" s="3">
        <f t="shared" si="5"/>
        <v>27</v>
      </c>
      <c r="V30" s="3"/>
      <c r="W30" s="3">
        <f>U30</f>
        <v>27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</row>
    <row r="31" spans="1:104" s="40" customFormat="1" ht="12.75" customHeight="1">
      <c r="A31" s="26" t="s">
        <v>118</v>
      </c>
      <c r="B31" s="15">
        <f>SUM(B32:B33)</f>
        <v>11343234</v>
      </c>
      <c r="C31" s="15">
        <f>SUM(C32:C33)</f>
        <v>10399006</v>
      </c>
      <c r="D31" s="15">
        <f>SUM(D32:D33)</f>
        <v>6213706</v>
      </c>
      <c r="E31" s="16">
        <f t="shared" si="2"/>
        <v>54.7789633891005</v>
      </c>
      <c r="F31" s="16">
        <f t="shared" si="3"/>
        <v>59.75288407372782</v>
      </c>
      <c r="G31" s="15">
        <f>D31-'[5]oktobris'!D31</f>
        <v>1030661.1600000001</v>
      </c>
      <c r="H31" s="26" t="s">
        <v>118</v>
      </c>
      <c r="I31" s="15">
        <f>SUM(I32:I33)</f>
        <v>11343</v>
      </c>
      <c r="J31" s="215">
        <f>SUM(J32:J33)</f>
        <v>10399</v>
      </c>
      <c r="K31" s="15">
        <f>SUM(K32:K33)</f>
        <v>6214</v>
      </c>
      <c r="L31" s="144">
        <f t="shared" si="6"/>
        <v>54.782685356607594</v>
      </c>
      <c r="M31" s="144">
        <f t="shared" si="7"/>
        <v>59.75574574478315</v>
      </c>
      <c r="N31" s="215">
        <v>1031</v>
      </c>
      <c r="O31" s="131" t="str">
        <f t="shared" si="0"/>
        <v>Ekonomikas ministrija</v>
      </c>
      <c r="P31" s="131">
        <f t="shared" si="1"/>
        <v>6214</v>
      </c>
      <c r="Q31" s="131">
        <v>5183</v>
      </c>
      <c r="R31" s="40">
        <f t="shared" si="4"/>
        <v>1031</v>
      </c>
      <c r="T31" s="3"/>
      <c r="U31" s="3">
        <f t="shared" si="5"/>
        <v>1031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</row>
    <row r="32" spans="1:104" s="40" customFormat="1" ht="13.5" customHeight="1">
      <c r="A32" s="159" t="s">
        <v>110</v>
      </c>
      <c r="B32" s="212">
        <v>10319179</v>
      </c>
      <c r="C32" s="212">
        <v>9461685</v>
      </c>
      <c r="D32" s="212">
        <v>5751866</v>
      </c>
      <c r="E32" s="210">
        <f t="shared" si="2"/>
        <v>55.73956997935592</v>
      </c>
      <c r="F32" s="210">
        <f t="shared" si="3"/>
        <v>60.791138153510715</v>
      </c>
      <c r="G32" s="212">
        <f>D32-'[5]oktobris'!D32</f>
        <v>915572.8799999999</v>
      </c>
      <c r="H32" s="159" t="s">
        <v>110</v>
      </c>
      <c r="I32" s="212">
        <f aca="true" t="shared" si="11" ref="I32:K34">ROUND(B32/1000,0)</f>
        <v>10319</v>
      </c>
      <c r="J32" s="212">
        <f t="shared" si="11"/>
        <v>9462</v>
      </c>
      <c r="K32" s="214">
        <f t="shared" si="11"/>
        <v>5752</v>
      </c>
      <c r="L32" s="153">
        <f t="shared" si="6"/>
        <v>55.741835449171425</v>
      </c>
      <c r="M32" s="153">
        <f t="shared" si="7"/>
        <v>60.79053054322553</v>
      </c>
      <c r="N32" s="214">
        <v>916</v>
      </c>
      <c r="O32" s="131" t="str">
        <f t="shared" si="0"/>
        <v>     Uzturēšanas izdevumi</v>
      </c>
      <c r="P32" s="131">
        <f t="shared" si="1"/>
        <v>5752</v>
      </c>
      <c r="Q32" s="131">
        <v>4836</v>
      </c>
      <c r="R32" s="40">
        <f t="shared" si="4"/>
        <v>916</v>
      </c>
      <c r="T32" s="3"/>
      <c r="U32" s="3">
        <f t="shared" si="5"/>
        <v>916</v>
      </c>
      <c r="V32" s="3">
        <f>U32</f>
        <v>916</v>
      </c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</row>
    <row r="33" spans="1:104" s="40" customFormat="1" ht="12.75" customHeight="1">
      <c r="A33" s="159" t="s">
        <v>111</v>
      </c>
      <c r="B33" s="212">
        <v>1024055</v>
      </c>
      <c r="C33" s="212">
        <v>937321</v>
      </c>
      <c r="D33" s="212">
        <v>461840</v>
      </c>
      <c r="E33" s="210">
        <f t="shared" si="2"/>
        <v>45.099140182900335</v>
      </c>
      <c r="F33" s="210">
        <f t="shared" si="3"/>
        <v>49.27234106565413</v>
      </c>
      <c r="G33" s="212">
        <f>D33-'[5]oktobris'!D33</f>
        <v>115088.28000000003</v>
      </c>
      <c r="H33" s="159" t="s">
        <v>111</v>
      </c>
      <c r="I33" s="212">
        <f t="shared" si="11"/>
        <v>1024</v>
      </c>
      <c r="J33" s="212">
        <f t="shared" si="11"/>
        <v>937</v>
      </c>
      <c r="K33" s="212">
        <f t="shared" si="11"/>
        <v>462</v>
      </c>
      <c r="L33" s="153">
        <f t="shared" si="6"/>
        <v>45.1171875</v>
      </c>
      <c r="M33" s="153">
        <f t="shared" si="7"/>
        <v>49.30629669156883</v>
      </c>
      <c r="N33" s="214">
        <v>115</v>
      </c>
      <c r="O33" s="131" t="str">
        <f t="shared" si="0"/>
        <v>     Izdevumi kapitālieguldījumiem</v>
      </c>
      <c r="P33" s="131">
        <f t="shared" si="1"/>
        <v>462</v>
      </c>
      <c r="Q33" s="131">
        <v>347</v>
      </c>
      <c r="R33" s="40">
        <f t="shared" si="4"/>
        <v>115</v>
      </c>
      <c r="T33" s="3"/>
      <c r="U33" s="3">
        <f t="shared" si="5"/>
        <v>115</v>
      </c>
      <c r="V33" s="3"/>
      <c r="W33" s="3">
        <f>U33</f>
        <v>115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</row>
    <row r="34" spans="1:104" s="40" customFormat="1" ht="12.75" customHeight="1">
      <c r="A34" s="26" t="s">
        <v>119</v>
      </c>
      <c r="B34" s="15">
        <f>SUM(B35:B36)</f>
        <v>97282719</v>
      </c>
      <c r="C34" s="15">
        <f>SUM(C35:C36)</f>
        <v>91572154</v>
      </c>
      <c r="D34" s="15">
        <f>SUM(D35:D36)</f>
        <v>86529404</v>
      </c>
      <c r="E34" s="16">
        <f t="shared" si="2"/>
        <v>88.9463256058869</v>
      </c>
      <c r="F34" s="16">
        <f t="shared" si="3"/>
        <v>94.49314034919392</v>
      </c>
      <c r="G34" s="15">
        <f>D34-'[5]oktobris'!D34</f>
        <v>8273691.480000004</v>
      </c>
      <c r="H34" s="26" t="s">
        <v>119</v>
      </c>
      <c r="I34" s="15">
        <f>SUM(I35:I36)</f>
        <v>97284</v>
      </c>
      <c r="J34" s="15">
        <f>SUM(J35:J36)</f>
        <v>91572</v>
      </c>
      <c r="K34" s="15">
        <f t="shared" si="11"/>
        <v>86529</v>
      </c>
      <c r="L34" s="144">
        <f t="shared" si="6"/>
        <v>88.94473911434562</v>
      </c>
      <c r="M34" s="144">
        <f t="shared" si="7"/>
        <v>94.49285807888874</v>
      </c>
      <c r="N34" s="15">
        <v>8273</v>
      </c>
      <c r="O34" s="131" t="str">
        <f t="shared" si="0"/>
        <v>Finansu ministrija</v>
      </c>
      <c r="P34" s="131">
        <f t="shared" si="1"/>
        <v>86529</v>
      </c>
      <c r="Q34" s="131">
        <v>78256</v>
      </c>
      <c r="R34" s="40">
        <f t="shared" si="4"/>
        <v>8273</v>
      </c>
      <c r="T34" s="3"/>
      <c r="U34" s="3">
        <f t="shared" si="5"/>
        <v>8273</v>
      </c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</row>
    <row r="35" spans="1:104" s="40" customFormat="1" ht="12.75" customHeight="1">
      <c r="A35" s="159" t="s">
        <v>110</v>
      </c>
      <c r="B35" s="212">
        <v>88806860</v>
      </c>
      <c r="C35" s="212">
        <v>83384196</v>
      </c>
      <c r="D35" s="212">
        <v>79554398</v>
      </c>
      <c r="E35" s="210">
        <f t="shared" si="2"/>
        <v>89.5813656737779</v>
      </c>
      <c r="F35" s="210">
        <f t="shared" si="3"/>
        <v>95.40704571883141</v>
      </c>
      <c r="G35" s="212">
        <f>D35-'[5]oktobris'!D35</f>
        <v>7693292.060000002</v>
      </c>
      <c r="H35" s="159" t="s">
        <v>110</v>
      </c>
      <c r="I35" s="212">
        <f>ROUND(B35/1000,0)+1</f>
        <v>88808</v>
      </c>
      <c r="J35" s="212">
        <f>ROUND(C35/1000,0)</f>
        <v>83384</v>
      </c>
      <c r="K35" s="212">
        <f>ROUND(D35/1000,0)</f>
        <v>79554</v>
      </c>
      <c r="L35" s="153">
        <f t="shared" si="6"/>
        <v>89.57976758850555</v>
      </c>
      <c r="M35" s="153">
        <f t="shared" si="7"/>
        <v>95.4067926700566</v>
      </c>
      <c r="N35" s="214">
        <v>7693</v>
      </c>
      <c r="O35" s="131" t="str">
        <f t="shared" si="0"/>
        <v>     Uzturēšanas izdevumi</v>
      </c>
      <c r="P35" s="131">
        <f t="shared" si="1"/>
        <v>79554</v>
      </c>
      <c r="Q35" s="131">
        <v>71861</v>
      </c>
      <c r="R35" s="40">
        <f t="shared" si="4"/>
        <v>7693</v>
      </c>
      <c r="T35" s="3"/>
      <c r="U35" s="3">
        <f t="shared" si="5"/>
        <v>7693</v>
      </c>
      <c r="V35" s="3">
        <f>U35</f>
        <v>7693</v>
      </c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</row>
    <row r="36" spans="1:104" s="40" customFormat="1" ht="12.75" customHeight="1">
      <c r="A36" s="159" t="s">
        <v>111</v>
      </c>
      <c r="B36" s="212">
        <v>8475859</v>
      </c>
      <c r="C36" s="212">
        <v>8187958</v>
      </c>
      <c r="D36" s="212">
        <v>6975006</v>
      </c>
      <c r="E36" s="210">
        <f t="shared" si="2"/>
        <v>82.29261482523482</v>
      </c>
      <c r="F36" s="210">
        <f t="shared" si="3"/>
        <v>85.18614775503245</v>
      </c>
      <c r="G36" s="212">
        <f>D36-'[5]oktobris'!D36</f>
        <v>580399.4199999999</v>
      </c>
      <c r="H36" s="159" t="s">
        <v>111</v>
      </c>
      <c r="I36" s="212">
        <f>ROUND(B36/1000,0)</f>
        <v>8476</v>
      </c>
      <c r="J36" s="212">
        <f>ROUND(C36/1000,0)</f>
        <v>8188</v>
      </c>
      <c r="K36" s="212">
        <f>ROUND(D36/1000,0)</f>
        <v>6975</v>
      </c>
      <c r="L36" s="153">
        <f t="shared" si="6"/>
        <v>82.29117508258612</v>
      </c>
      <c r="M36" s="153">
        <f t="shared" si="7"/>
        <v>85.1856375183195</v>
      </c>
      <c r="N36" s="214">
        <v>580</v>
      </c>
      <c r="O36" s="131" t="str">
        <f t="shared" si="0"/>
        <v>     Izdevumi kapitālieguldījumiem</v>
      </c>
      <c r="P36" s="131">
        <f t="shared" si="1"/>
        <v>6975</v>
      </c>
      <c r="Q36" s="131">
        <v>6395</v>
      </c>
      <c r="R36" s="40">
        <f t="shared" si="4"/>
        <v>580</v>
      </c>
      <c r="T36" s="3"/>
      <c r="U36" s="3">
        <f t="shared" si="5"/>
        <v>580</v>
      </c>
      <c r="V36" s="3"/>
      <c r="W36" s="3">
        <f>U36</f>
        <v>580</v>
      </c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</row>
    <row r="37" spans="1:104" s="40" customFormat="1" ht="12.75" customHeight="1">
      <c r="A37" s="26" t="s">
        <v>120</v>
      </c>
      <c r="B37" s="15">
        <f>SUM(B38:B39)</f>
        <v>79939389</v>
      </c>
      <c r="C37" s="15">
        <f>SUM(C38:C39)</f>
        <v>73507278</v>
      </c>
      <c r="D37" s="15">
        <f>SUM(D38:D39)</f>
        <v>71792476</v>
      </c>
      <c r="E37" s="16">
        <f t="shared" si="2"/>
        <v>89.80863739151171</v>
      </c>
      <c r="F37" s="16">
        <f t="shared" si="3"/>
        <v>97.6671670524924</v>
      </c>
      <c r="G37" s="15">
        <f>D37-'[5]oktobris'!D37</f>
        <v>6691104.75</v>
      </c>
      <c r="H37" s="26" t="s">
        <v>120</v>
      </c>
      <c r="I37" s="15">
        <f>SUM(I38:I39)</f>
        <v>79939</v>
      </c>
      <c r="J37" s="215">
        <f>SUM(J38:J39)</f>
        <v>73507</v>
      </c>
      <c r="K37" s="15">
        <f>SUM(K38:K39)</f>
        <v>71792</v>
      </c>
      <c r="L37" s="144">
        <f t="shared" si="6"/>
        <v>89.80847896521097</v>
      </c>
      <c r="M37" s="144">
        <f t="shared" si="7"/>
        <v>97.66688886772688</v>
      </c>
      <c r="N37" s="15">
        <v>6691</v>
      </c>
      <c r="O37" s="131" t="str">
        <f t="shared" si="0"/>
        <v>Iekšlietu ministrija</v>
      </c>
      <c r="P37" s="131">
        <f t="shared" si="1"/>
        <v>71792</v>
      </c>
      <c r="Q37" s="131">
        <v>65101</v>
      </c>
      <c r="R37" s="40">
        <f t="shared" si="4"/>
        <v>6691</v>
      </c>
      <c r="T37" s="3"/>
      <c r="U37" s="3">
        <f t="shared" si="5"/>
        <v>6691</v>
      </c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</row>
    <row r="38" spans="1:104" s="40" customFormat="1" ht="12.75" customHeight="1">
      <c r="A38" s="159" t="s">
        <v>110</v>
      </c>
      <c r="B38" s="212">
        <v>72437166</v>
      </c>
      <c r="C38" s="212">
        <v>66456533</v>
      </c>
      <c r="D38" s="212">
        <v>65333493</v>
      </c>
      <c r="E38" s="210">
        <f t="shared" si="2"/>
        <v>90.19333114164074</v>
      </c>
      <c r="F38" s="210">
        <f t="shared" si="3"/>
        <v>98.3101134692055</v>
      </c>
      <c r="G38" s="214">
        <f>D38-'[5]oktobris'!D38</f>
        <v>6113483.579999998</v>
      </c>
      <c r="H38" s="159" t="s">
        <v>110</v>
      </c>
      <c r="I38" s="212">
        <f aca="true" t="shared" si="12" ref="I38:K39">ROUND(B38/1000,0)</f>
        <v>72437</v>
      </c>
      <c r="J38" s="212">
        <f>ROUND(C38/1000,0)-1</f>
        <v>66456</v>
      </c>
      <c r="K38" s="212">
        <f t="shared" si="12"/>
        <v>65333</v>
      </c>
      <c r="L38" s="153">
        <f t="shared" si="6"/>
        <v>90.19285724146499</v>
      </c>
      <c r="M38" s="153">
        <f t="shared" si="7"/>
        <v>98.31016010593476</v>
      </c>
      <c r="N38" s="212">
        <v>6113</v>
      </c>
      <c r="O38" s="131" t="str">
        <f t="shared" si="0"/>
        <v>     Uzturēšanas izdevumi</v>
      </c>
      <c r="P38" s="131">
        <f t="shared" si="1"/>
        <v>65333</v>
      </c>
      <c r="Q38" s="131">
        <v>59220</v>
      </c>
      <c r="R38" s="40">
        <f t="shared" si="4"/>
        <v>6113</v>
      </c>
      <c r="T38" s="3"/>
      <c r="U38" s="3">
        <f t="shared" si="5"/>
        <v>6113</v>
      </c>
      <c r="V38" s="3">
        <f>U38</f>
        <v>6113</v>
      </c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</row>
    <row r="39" spans="1:104" s="40" customFormat="1" ht="12.75" customHeight="1">
      <c r="A39" s="159" t="s">
        <v>111</v>
      </c>
      <c r="B39" s="212">
        <v>7502223</v>
      </c>
      <c r="C39" s="212">
        <v>7050745</v>
      </c>
      <c r="D39" s="212">
        <v>6458983</v>
      </c>
      <c r="E39" s="210">
        <f t="shared" si="2"/>
        <v>86.09425499615247</v>
      </c>
      <c r="F39" s="210">
        <f t="shared" si="3"/>
        <v>91.60709967528254</v>
      </c>
      <c r="G39" s="212">
        <f>D39-'[5]oktobris'!D39</f>
        <v>577621.1699999999</v>
      </c>
      <c r="H39" s="159" t="s">
        <v>111</v>
      </c>
      <c r="I39" s="212">
        <f t="shared" si="12"/>
        <v>7502</v>
      </c>
      <c r="J39" s="212">
        <f t="shared" si="12"/>
        <v>7051</v>
      </c>
      <c r="K39" s="212">
        <f t="shared" si="12"/>
        <v>6459</v>
      </c>
      <c r="L39" s="153">
        <f t="shared" si="6"/>
        <v>86.0970407891229</v>
      </c>
      <c r="M39" s="153">
        <f t="shared" si="7"/>
        <v>91.60402779747554</v>
      </c>
      <c r="N39" s="212">
        <v>578</v>
      </c>
      <c r="O39" s="131" t="str">
        <f t="shared" si="0"/>
        <v>     Izdevumi kapitālieguldījumiem</v>
      </c>
      <c r="P39" s="131">
        <f t="shared" si="1"/>
        <v>6459</v>
      </c>
      <c r="Q39" s="131">
        <v>5881</v>
      </c>
      <c r="R39" s="40">
        <f t="shared" si="4"/>
        <v>578</v>
      </c>
      <c r="T39" s="3"/>
      <c r="U39" s="3">
        <f t="shared" si="5"/>
        <v>578</v>
      </c>
      <c r="V39" s="3"/>
      <c r="W39" s="3">
        <f>U39</f>
        <v>578</v>
      </c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</row>
    <row r="40" spans="1:104" s="40" customFormat="1" ht="12.75" customHeight="1">
      <c r="A40" s="121" t="s">
        <v>121</v>
      </c>
      <c r="B40" s="15">
        <f>SUM(B41:B42)</f>
        <v>72412904</v>
      </c>
      <c r="C40" s="15">
        <f>SUM(C41:C42)</f>
        <v>65702506</v>
      </c>
      <c r="D40" s="15">
        <f>SUM(D41:D42)</f>
        <v>59932243</v>
      </c>
      <c r="E40" s="16">
        <f t="shared" si="2"/>
        <v>82.76458985818329</v>
      </c>
      <c r="F40" s="16">
        <f t="shared" si="3"/>
        <v>91.21759069585565</v>
      </c>
      <c r="G40" s="15">
        <f>D40-'[5]oktobris'!D40</f>
        <v>5766949.520000003</v>
      </c>
      <c r="H40" s="121" t="s">
        <v>121</v>
      </c>
      <c r="I40" s="15">
        <f>SUM(I41:I42)</f>
        <v>72413</v>
      </c>
      <c r="J40" s="15">
        <f>SUM(J41:J42)</f>
        <v>65703</v>
      </c>
      <c r="K40" s="15">
        <f>SUM(K41:K42)</f>
        <v>59932</v>
      </c>
      <c r="L40" s="144">
        <f t="shared" si="6"/>
        <v>82.76414455967851</v>
      </c>
      <c r="M40" s="144">
        <f t="shared" si="7"/>
        <v>91.21653501362191</v>
      </c>
      <c r="N40" s="15">
        <v>5767</v>
      </c>
      <c r="O40" s="131" t="str">
        <f t="shared" si="0"/>
        <v>Izglītības un zinātnes ministrija</v>
      </c>
      <c r="P40" s="131">
        <f t="shared" si="1"/>
        <v>59932</v>
      </c>
      <c r="Q40" s="131">
        <v>54165</v>
      </c>
      <c r="R40" s="40">
        <f t="shared" si="4"/>
        <v>5767</v>
      </c>
      <c r="T40" s="3"/>
      <c r="U40" s="3">
        <f t="shared" si="5"/>
        <v>5767</v>
      </c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</row>
    <row r="41" spans="1:104" s="40" customFormat="1" ht="12.75" customHeight="1">
      <c r="A41" s="159" t="s">
        <v>110</v>
      </c>
      <c r="B41" s="212">
        <v>67139395</v>
      </c>
      <c r="C41" s="212">
        <v>60743648</v>
      </c>
      <c r="D41" s="212">
        <v>55387731</v>
      </c>
      <c r="E41" s="210">
        <f t="shared" si="2"/>
        <v>82.49661916077736</v>
      </c>
      <c r="F41" s="210">
        <f t="shared" si="3"/>
        <v>91.18275379180388</v>
      </c>
      <c r="G41" s="212">
        <f>D41-'[5]oktobris'!D41</f>
        <v>5345792.280000001</v>
      </c>
      <c r="H41" s="159" t="s">
        <v>110</v>
      </c>
      <c r="I41" s="212">
        <f aca="true" t="shared" si="13" ref="I41:K42">ROUND(B41/1000,0)</f>
        <v>67139</v>
      </c>
      <c r="J41" s="212">
        <f>ROUND(C41/1000,0)</f>
        <v>60744</v>
      </c>
      <c r="K41" s="212">
        <f t="shared" si="13"/>
        <v>55388</v>
      </c>
      <c r="L41" s="153">
        <f t="shared" si="6"/>
        <v>82.49750517582925</v>
      </c>
      <c r="M41" s="153">
        <f t="shared" si="7"/>
        <v>91.18266824706967</v>
      </c>
      <c r="N41" s="212">
        <v>5346</v>
      </c>
      <c r="O41" s="131" t="str">
        <f t="shared" si="0"/>
        <v>     Uzturēšanas izdevumi</v>
      </c>
      <c r="P41" s="131">
        <f t="shared" si="1"/>
        <v>55388</v>
      </c>
      <c r="Q41" s="131">
        <v>50042</v>
      </c>
      <c r="R41" s="40">
        <f t="shared" si="4"/>
        <v>5346</v>
      </c>
      <c r="T41" s="3"/>
      <c r="U41" s="3">
        <f t="shared" si="5"/>
        <v>5346</v>
      </c>
      <c r="V41" s="3">
        <f>U41</f>
        <v>5346</v>
      </c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</row>
    <row r="42" spans="1:104" s="40" customFormat="1" ht="12.75" customHeight="1">
      <c r="A42" s="159" t="s">
        <v>111</v>
      </c>
      <c r="B42" s="212">
        <v>5273509</v>
      </c>
      <c r="C42" s="212">
        <v>4958858</v>
      </c>
      <c r="D42" s="212">
        <v>4544512</v>
      </c>
      <c r="E42" s="210">
        <f t="shared" si="2"/>
        <v>86.17624431853629</v>
      </c>
      <c r="F42" s="210">
        <f t="shared" si="3"/>
        <v>91.64432617348591</v>
      </c>
      <c r="G42" s="212">
        <f>D42-'[5]oktobris'!D42</f>
        <v>421157.2400000002</v>
      </c>
      <c r="H42" s="159" t="s">
        <v>111</v>
      </c>
      <c r="I42" s="212">
        <f t="shared" si="13"/>
        <v>5274</v>
      </c>
      <c r="J42" s="212">
        <f>ROUND(C42/1000,0)</f>
        <v>4959</v>
      </c>
      <c r="K42" s="212">
        <f>ROUND(D42/1000,0)-1</f>
        <v>4544</v>
      </c>
      <c r="L42" s="153">
        <f t="shared" si="6"/>
        <v>86.15851346226773</v>
      </c>
      <c r="M42" s="153">
        <f t="shared" si="7"/>
        <v>91.63137729380924</v>
      </c>
      <c r="N42" s="212">
        <v>421</v>
      </c>
      <c r="O42" s="131" t="str">
        <f t="shared" si="0"/>
        <v>     Izdevumi kapitālieguldījumiem</v>
      </c>
      <c r="P42" s="131">
        <f t="shared" si="1"/>
        <v>4544</v>
      </c>
      <c r="Q42" s="131">
        <v>4123</v>
      </c>
      <c r="R42" s="40">
        <f t="shared" si="4"/>
        <v>421</v>
      </c>
      <c r="T42" s="3"/>
      <c r="U42" s="3">
        <f t="shared" si="5"/>
        <v>421</v>
      </c>
      <c r="V42" s="3"/>
      <c r="W42" s="3">
        <f>U42</f>
        <v>421</v>
      </c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</row>
    <row r="43" spans="1:21" ht="12.75" customHeight="1">
      <c r="A43" s="26" t="s">
        <v>122</v>
      </c>
      <c r="B43" s="15">
        <f>SUM(B44:B45)</f>
        <v>59750500</v>
      </c>
      <c r="C43" s="15">
        <f>SUM(C44:C45)</f>
        <v>52680523</v>
      </c>
      <c r="D43" s="15">
        <f>SUM(D44:D45)</f>
        <v>49667310</v>
      </c>
      <c r="E43" s="16">
        <f t="shared" si="2"/>
        <v>83.12450941833123</v>
      </c>
      <c r="F43" s="16">
        <f t="shared" si="3"/>
        <v>94.280214340317</v>
      </c>
      <c r="G43" s="15">
        <f>D43-'[5]oktobris'!D43</f>
        <v>6000811.059999995</v>
      </c>
      <c r="H43" s="26" t="s">
        <v>122</v>
      </c>
      <c r="I43" s="15">
        <f>SUM(I44:I45)</f>
        <v>59750</v>
      </c>
      <c r="J43" s="15">
        <f>SUM(J44:J45)</f>
        <v>52680</v>
      </c>
      <c r="K43" s="15">
        <f>SUM(K44:K45)</f>
        <v>49667</v>
      </c>
      <c r="L43" s="144">
        <f t="shared" si="6"/>
        <v>83.12468619246862</v>
      </c>
      <c r="M43" s="144">
        <f t="shared" si="7"/>
        <v>94.28056188306758</v>
      </c>
      <c r="N43" s="15">
        <v>6001</v>
      </c>
      <c r="O43" s="131" t="str">
        <f t="shared" si="0"/>
        <v>Zemkopības ministrija</v>
      </c>
      <c r="P43" s="131">
        <f t="shared" si="1"/>
        <v>49667</v>
      </c>
      <c r="Q43" s="131">
        <v>43667</v>
      </c>
      <c r="R43" s="3">
        <f t="shared" si="4"/>
        <v>6000</v>
      </c>
      <c r="U43" s="3">
        <f>P43-Q43+1</f>
        <v>6001</v>
      </c>
    </row>
    <row r="44" spans="1:22" ht="12.75" customHeight="1">
      <c r="A44" s="159" t="s">
        <v>110</v>
      </c>
      <c r="B44" s="212">
        <v>55777147</v>
      </c>
      <c r="C44" s="212">
        <v>48856268</v>
      </c>
      <c r="D44" s="212">
        <v>46765210</v>
      </c>
      <c r="E44" s="210">
        <f t="shared" si="2"/>
        <v>83.84295812046464</v>
      </c>
      <c r="F44" s="210">
        <f t="shared" si="3"/>
        <v>95.71998008525743</v>
      </c>
      <c r="G44" s="214">
        <f>D44-'[5]oktobris'!D44</f>
        <v>5858585.689999998</v>
      </c>
      <c r="H44" s="159" t="s">
        <v>110</v>
      </c>
      <c r="I44" s="212">
        <f aca="true" t="shared" si="14" ref="I44:K45">ROUND(B44/1000,0)</f>
        <v>55777</v>
      </c>
      <c r="J44" s="212">
        <f t="shared" si="14"/>
        <v>48856</v>
      </c>
      <c r="K44" s="212">
        <f t="shared" si="14"/>
        <v>46765</v>
      </c>
      <c r="L44" s="153">
        <f t="shared" si="6"/>
        <v>83.84280258888072</v>
      </c>
      <c r="M44" s="153">
        <f t="shared" si="7"/>
        <v>95.72007532339939</v>
      </c>
      <c r="N44" s="212">
        <v>5859</v>
      </c>
      <c r="O44" s="131" t="str">
        <f t="shared" si="0"/>
        <v>     Uzturēšanas izdevumi</v>
      </c>
      <c r="P44" s="131">
        <f t="shared" si="1"/>
        <v>46765</v>
      </c>
      <c r="Q44" s="131">
        <v>40907</v>
      </c>
      <c r="R44" s="3">
        <f t="shared" si="4"/>
        <v>5858</v>
      </c>
      <c r="U44" s="3">
        <f>P44-Q44+1</f>
        <v>5859</v>
      </c>
      <c r="V44" s="3">
        <f>U44</f>
        <v>5859</v>
      </c>
    </row>
    <row r="45" spans="1:23" ht="12.75" customHeight="1">
      <c r="A45" s="159" t="s">
        <v>111</v>
      </c>
      <c r="B45" s="212">
        <v>3973353</v>
      </c>
      <c r="C45" s="214">
        <v>3824255</v>
      </c>
      <c r="D45" s="212">
        <v>2902100</v>
      </c>
      <c r="E45" s="210">
        <f t="shared" si="2"/>
        <v>73.03906801132443</v>
      </c>
      <c r="F45" s="210">
        <f t="shared" si="3"/>
        <v>75.88667596695305</v>
      </c>
      <c r="G45" s="212">
        <f>D45-'[5]oktobris'!D45</f>
        <v>142225.3700000001</v>
      </c>
      <c r="H45" s="159" t="s">
        <v>111</v>
      </c>
      <c r="I45" s="212">
        <f t="shared" si="14"/>
        <v>3973</v>
      </c>
      <c r="J45" s="212">
        <f t="shared" si="14"/>
        <v>3824</v>
      </c>
      <c r="K45" s="212">
        <f t="shared" si="14"/>
        <v>2902</v>
      </c>
      <c r="L45" s="153">
        <f t="shared" si="6"/>
        <v>73.04304052353385</v>
      </c>
      <c r="M45" s="153">
        <f t="shared" si="7"/>
        <v>75.88912133891213</v>
      </c>
      <c r="N45" s="212">
        <v>142</v>
      </c>
      <c r="O45" s="131" t="str">
        <f t="shared" si="0"/>
        <v>     Izdevumi kapitālieguldījumiem</v>
      </c>
      <c r="P45" s="131">
        <f t="shared" si="1"/>
        <v>2902</v>
      </c>
      <c r="Q45" s="131">
        <v>2760</v>
      </c>
      <c r="R45" s="3">
        <f t="shared" si="4"/>
        <v>142</v>
      </c>
      <c r="U45" s="3">
        <f t="shared" si="5"/>
        <v>142</v>
      </c>
      <c r="W45" s="3">
        <f>U45</f>
        <v>142</v>
      </c>
    </row>
    <row r="46" spans="1:21" ht="12.75" customHeight="1">
      <c r="A46" s="26" t="s">
        <v>123</v>
      </c>
      <c r="B46" s="15">
        <f>SUM(B47:B48)</f>
        <v>17751785</v>
      </c>
      <c r="C46" s="15">
        <f>SUM(C47:C48)</f>
        <v>14175337</v>
      </c>
      <c r="D46" s="15">
        <f>SUM(D47:D48)</f>
        <v>12952062</v>
      </c>
      <c r="E46" s="16">
        <f t="shared" si="2"/>
        <v>72.96202607230767</v>
      </c>
      <c r="F46" s="16">
        <f t="shared" si="3"/>
        <v>91.37039916581877</v>
      </c>
      <c r="G46" s="15">
        <f>D46-'[5]oktobris'!D46</f>
        <v>2131925.620000001</v>
      </c>
      <c r="H46" s="26" t="s">
        <v>123</v>
      </c>
      <c r="I46" s="15">
        <f>SUM(I47:I48)</f>
        <v>17751</v>
      </c>
      <c r="J46" s="15">
        <f>SUM(J47:J48)</f>
        <v>14175</v>
      </c>
      <c r="K46" s="15">
        <f>SUM(K47:K48)</f>
        <v>12952</v>
      </c>
      <c r="L46" s="144">
        <f t="shared" si="6"/>
        <v>72.96490338572474</v>
      </c>
      <c r="M46" s="144">
        <f t="shared" si="7"/>
        <v>91.3721340388007</v>
      </c>
      <c r="N46" s="15">
        <v>2132</v>
      </c>
      <c r="O46" s="131" t="str">
        <f t="shared" si="0"/>
        <v>Satiksmes ministrija</v>
      </c>
      <c r="P46" s="131">
        <f t="shared" si="1"/>
        <v>12952</v>
      </c>
      <c r="Q46" s="131">
        <v>10820</v>
      </c>
      <c r="R46" s="3">
        <f t="shared" si="4"/>
        <v>2132</v>
      </c>
      <c r="U46" s="3">
        <f t="shared" si="5"/>
        <v>2132</v>
      </c>
    </row>
    <row r="47" spans="1:22" ht="12.75" customHeight="1">
      <c r="A47" s="159" t="s">
        <v>110</v>
      </c>
      <c r="B47" s="212">
        <v>8486412</v>
      </c>
      <c r="C47" s="212">
        <v>7625512</v>
      </c>
      <c r="D47" s="212">
        <v>7190478</v>
      </c>
      <c r="E47" s="210">
        <f t="shared" si="2"/>
        <v>84.72930609543822</v>
      </c>
      <c r="F47" s="210">
        <f t="shared" si="3"/>
        <v>94.2950191410098</v>
      </c>
      <c r="G47" s="212">
        <f>D47-'[5]oktobris'!D47</f>
        <v>1665638.9800000004</v>
      </c>
      <c r="H47" s="159" t="s">
        <v>110</v>
      </c>
      <c r="I47" s="212">
        <f>ROUND(B47/1000,0)</f>
        <v>8486</v>
      </c>
      <c r="J47" s="212">
        <f>ROUND(C47/1000,0)-1</f>
        <v>7625</v>
      </c>
      <c r="K47" s="212">
        <f aca="true" t="shared" si="15" ref="I47:K48">ROUND(D47/1000,0)</f>
        <v>7190</v>
      </c>
      <c r="L47" s="153">
        <f t="shared" si="6"/>
        <v>84.72778694320057</v>
      </c>
      <c r="M47" s="153">
        <f t="shared" si="7"/>
        <v>94.29508196721311</v>
      </c>
      <c r="N47" s="212">
        <v>1666</v>
      </c>
      <c r="O47" s="131" t="str">
        <f t="shared" si="0"/>
        <v>     Uzturēšanas izdevumi</v>
      </c>
      <c r="P47" s="131">
        <f t="shared" si="1"/>
        <v>7190</v>
      </c>
      <c r="Q47" s="131">
        <v>5525</v>
      </c>
      <c r="R47" s="3">
        <f t="shared" si="4"/>
        <v>1665</v>
      </c>
      <c r="U47" s="3">
        <f>P47-Q47+1</f>
        <v>1666</v>
      </c>
      <c r="V47" s="3">
        <f>U47</f>
        <v>1666</v>
      </c>
    </row>
    <row r="48" spans="1:23" ht="12.75" customHeight="1">
      <c r="A48" s="159" t="s">
        <v>111</v>
      </c>
      <c r="B48" s="212">
        <v>9265373</v>
      </c>
      <c r="C48" s="212">
        <v>6549825</v>
      </c>
      <c r="D48" s="212">
        <v>5761584</v>
      </c>
      <c r="E48" s="210">
        <f t="shared" si="2"/>
        <v>62.18404806800546</v>
      </c>
      <c r="F48" s="210">
        <f t="shared" si="3"/>
        <v>87.96546472615681</v>
      </c>
      <c r="G48" s="212">
        <f>D48-'[5]oktobris'!D48</f>
        <v>466286.63999999966</v>
      </c>
      <c r="H48" s="159" t="s">
        <v>111</v>
      </c>
      <c r="I48" s="212">
        <f t="shared" si="15"/>
        <v>9265</v>
      </c>
      <c r="J48" s="212">
        <f>ROUND(C48/1000,0)</f>
        <v>6550</v>
      </c>
      <c r="K48" s="212">
        <f t="shared" si="15"/>
        <v>5762</v>
      </c>
      <c r="L48" s="153">
        <f t="shared" si="6"/>
        <v>62.19104155423637</v>
      </c>
      <c r="M48" s="153">
        <f t="shared" si="7"/>
        <v>87.96946564885496</v>
      </c>
      <c r="N48" s="212">
        <v>466</v>
      </c>
      <c r="O48" s="131" t="str">
        <f t="shared" si="0"/>
        <v>     Izdevumi kapitālieguldījumiem</v>
      </c>
      <c r="P48" s="131">
        <f t="shared" si="1"/>
        <v>5762</v>
      </c>
      <c r="Q48" s="131">
        <v>5295</v>
      </c>
      <c r="R48" s="3">
        <f t="shared" si="4"/>
        <v>467</v>
      </c>
      <c r="U48" s="3">
        <f>P48-Q48-1</f>
        <v>466</v>
      </c>
      <c r="W48" s="3">
        <f>U48</f>
        <v>466</v>
      </c>
    </row>
    <row r="49" spans="1:21" ht="12.75" customHeight="1">
      <c r="A49" s="26" t="s">
        <v>124</v>
      </c>
      <c r="B49" s="15">
        <f>SUM(B50:B51)</f>
        <v>159403470</v>
      </c>
      <c r="C49" s="15">
        <f>SUM(C50:C51)</f>
        <v>146620694</v>
      </c>
      <c r="D49" s="15">
        <f>SUM(D50:D51)</f>
        <v>143997124</v>
      </c>
      <c r="E49" s="16">
        <f t="shared" si="2"/>
        <v>90.33499960822685</v>
      </c>
      <c r="F49" s="16">
        <f t="shared" si="3"/>
        <v>98.21064139827355</v>
      </c>
      <c r="G49" s="15">
        <f>D49-'[5]oktobris'!D49</f>
        <v>13345669.049999997</v>
      </c>
      <c r="H49" s="26" t="s">
        <v>124</v>
      </c>
      <c r="I49" s="15">
        <f>SUM(I50:I51)</f>
        <v>159403</v>
      </c>
      <c r="J49" s="215">
        <f>SUM(J50:J51)</f>
        <v>146620</v>
      </c>
      <c r="K49" s="15">
        <f>SUM(K50:K51)</f>
        <v>143997</v>
      </c>
      <c r="L49" s="144">
        <f t="shared" si="6"/>
        <v>90.33518817086254</v>
      </c>
      <c r="M49" s="144">
        <f t="shared" si="7"/>
        <v>98.21102168871914</v>
      </c>
      <c r="N49" s="15">
        <v>13346</v>
      </c>
      <c r="O49" s="131" t="str">
        <f t="shared" si="0"/>
        <v>Labklājības ministrija</v>
      </c>
      <c r="P49" s="131">
        <f t="shared" si="1"/>
        <v>143997</v>
      </c>
      <c r="Q49" s="131">
        <v>130651</v>
      </c>
      <c r="R49" s="3">
        <f t="shared" si="4"/>
        <v>13346</v>
      </c>
      <c r="U49" s="3">
        <f t="shared" si="5"/>
        <v>13346</v>
      </c>
    </row>
    <row r="50" spans="1:22" ht="12.75" customHeight="1">
      <c r="A50" s="159" t="s">
        <v>110</v>
      </c>
      <c r="B50" s="212">
        <v>155381148</v>
      </c>
      <c r="C50" s="212">
        <v>142398286</v>
      </c>
      <c r="D50" s="212">
        <v>140490239</v>
      </c>
      <c r="E50" s="210">
        <f t="shared" si="2"/>
        <v>90.41652787891617</v>
      </c>
      <c r="F50" s="210">
        <f t="shared" si="3"/>
        <v>98.66006322576102</v>
      </c>
      <c r="G50" s="212">
        <f>D50-'[5]oktobris'!D50</f>
        <v>13193829.709999993</v>
      </c>
      <c r="H50" s="159" t="s">
        <v>110</v>
      </c>
      <c r="I50" s="212">
        <f aca="true" t="shared" si="16" ref="I50:K51">ROUND(B50/1000,0)</f>
        <v>155381</v>
      </c>
      <c r="J50" s="212">
        <f t="shared" si="16"/>
        <v>142398</v>
      </c>
      <c r="K50" s="212">
        <f t="shared" si="16"/>
        <v>140490</v>
      </c>
      <c r="L50" s="153">
        <f t="shared" si="6"/>
        <v>90.41646018496469</v>
      </c>
      <c r="M50" s="153">
        <f t="shared" si="7"/>
        <v>98.66009354063962</v>
      </c>
      <c r="N50" s="212">
        <v>13194</v>
      </c>
      <c r="O50" s="131" t="str">
        <f t="shared" si="0"/>
        <v>     Uzturēšanas izdevumi</v>
      </c>
      <c r="P50" s="131">
        <f t="shared" si="1"/>
        <v>140490</v>
      </c>
      <c r="Q50" s="131">
        <v>127296</v>
      </c>
      <c r="R50" s="3">
        <f t="shared" si="4"/>
        <v>13194</v>
      </c>
      <c r="U50" s="3">
        <f t="shared" si="5"/>
        <v>13194</v>
      </c>
      <c r="V50" s="3">
        <f>U50</f>
        <v>13194</v>
      </c>
    </row>
    <row r="51" spans="1:23" ht="12.75" customHeight="1">
      <c r="A51" s="159" t="s">
        <v>111</v>
      </c>
      <c r="B51" s="212">
        <v>4022322</v>
      </c>
      <c r="C51" s="212">
        <v>4222408</v>
      </c>
      <c r="D51" s="212">
        <v>3506885</v>
      </c>
      <c r="E51" s="210">
        <f t="shared" si="2"/>
        <v>87.18558583822976</v>
      </c>
      <c r="F51" s="210">
        <f t="shared" si="3"/>
        <v>83.054148249056</v>
      </c>
      <c r="G51" s="212">
        <f>D51-'[5]oktobris'!D51</f>
        <v>151839.33999999985</v>
      </c>
      <c r="H51" s="159" t="s">
        <v>111</v>
      </c>
      <c r="I51" s="212">
        <f t="shared" si="16"/>
        <v>4022</v>
      </c>
      <c r="J51" s="212">
        <f t="shared" si="16"/>
        <v>4222</v>
      </c>
      <c r="K51" s="212">
        <f t="shared" si="16"/>
        <v>3507</v>
      </c>
      <c r="L51" s="153">
        <f t="shared" si="6"/>
        <v>87.19542516161114</v>
      </c>
      <c r="M51" s="153">
        <f t="shared" si="7"/>
        <v>83.06489815253434</v>
      </c>
      <c r="N51" s="212">
        <v>152</v>
      </c>
      <c r="O51" s="131" t="str">
        <f t="shared" si="0"/>
        <v>     Izdevumi kapitālieguldījumiem</v>
      </c>
      <c r="P51" s="131">
        <f t="shared" si="1"/>
        <v>3507</v>
      </c>
      <c r="Q51" s="131">
        <v>3355</v>
      </c>
      <c r="R51" s="3">
        <f t="shared" si="4"/>
        <v>152</v>
      </c>
      <c r="U51" s="3">
        <f t="shared" si="5"/>
        <v>152</v>
      </c>
      <c r="W51" s="3">
        <f>U51</f>
        <v>152</v>
      </c>
    </row>
    <row r="52" spans="1:21" ht="12.75" customHeight="1">
      <c r="A52" s="26" t="s">
        <v>328</v>
      </c>
      <c r="B52" s="15">
        <f>SUM(B53:B54)</f>
        <v>30121200</v>
      </c>
      <c r="C52" s="15">
        <f>SUM(C53:C54)</f>
        <v>26312583</v>
      </c>
      <c r="D52" s="15">
        <f>SUM(D53:D54)</f>
        <v>24838299</v>
      </c>
      <c r="E52" s="16">
        <f t="shared" si="2"/>
        <v>82.46118680530657</v>
      </c>
      <c r="F52" s="16">
        <f t="shared" si="3"/>
        <v>94.39703810150452</v>
      </c>
      <c r="G52" s="15">
        <f>D52-'[5]oktobris'!D52</f>
        <v>2390480.9800000004</v>
      </c>
      <c r="H52" s="26" t="s">
        <v>328</v>
      </c>
      <c r="I52" s="15">
        <f>SUM(I53:I54)</f>
        <v>30122</v>
      </c>
      <c r="J52" s="15">
        <f>SUM(J53:J54)</f>
        <v>26312</v>
      </c>
      <c r="K52" s="15">
        <f>SUM(K53:K54)</f>
        <v>24838</v>
      </c>
      <c r="L52" s="144">
        <f t="shared" si="6"/>
        <v>82.45800411659252</v>
      </c>
      <c r="M52" s="144">
        <f t="shared" si="7"/>
        <v>94.39799331103679</v>
      </c>
      <c r="N52" s="15">
        <v>2390</v>
      </c>
      <c r="O52" s="131" t="str">
        <f t="shared" si="0"/>
        <v>Tieslietu ministrija</v>
      </c>
      <c r="P52" s="131">
        <f t="shared" si="1"/>
        <v>24838</v>
      </c>
      <c r="Q52" s="131">
        <v>22448</v>
      </c>
      <c r="R52" s="3">
        <f t="shared" si="4"/>
        <v>2390</v>
      </c>
      <c r="U52" s="3">
        <f t="shared" si="5"/>
        <v>2390</v>
      </c>
    </row>
    <row r="53" spans="1:22" ht="12.75" customHeight="1">
      <c r="A53" s="159" t="s">
        <v>110</v>
      </c>
      <c r="B53" s="212">
        <v>26766647</v>
      </c>
      <c r="C53" s="212">
        <v>23162365</v>
      </c>
      <c r="D53" s="212">
        <v>22237813</v>
      </c>
      <c r="E53" s="210">
        <f t="shared" si="2"/>
        <v>83.0803088634897</v>
      </c>
      <c r="F53" s="210">
        <f t="shared" si="3"/>
        <v>96.00838688104604</v>
      </c>
      <c r="G53" s="212">
        <f>D53-'[5]oktobris'!D53</f>
        <v>2170653.9499999993</v>
      </c>
      <c r="H53" s="159" t="s">
        <v>110</v>
      </c>
      <c r="I53" s="212">
        <f aca="true" t="shared" si="17" ref="I53:K54">ROUND(B53/1000,0)</f>
        <v>26767</v>
      </c>
      <c r="J53" s="212">
        <f t="shared" si="17"/>
        <v>23162</v>
      </c>
      <c r="K53" s="212">
        <f>ROUND(D53/1000,0)</f>
        <v>22238</v>
      </c>
      <c r="L53" s="153">
        <f t="shared" si="6"/>
        <v>83.0799118317331</v>
      </c>
      <c r="M53" s="153">
        <f t="shared" si="7"/>
        <v>96.01070719281581</v>
      </c>
      <c r="N53" s="212">
        <v>2170</v>
      </c>
      <c r="O53" s="131" t="str">
        <f t="shared" si="0"/>
        <v>     Uzturēšanas izdevumi</v>
      </c>
      <c r="P53" s="131">
        <f t="shared" si="1"/>
        <v>22238</v>
      </c>
      <c r="Q53" s="131">
        <v>20067</v>
      </c>
      <c r="R53" s="3">
        <f t="shared" si="4"/>
        <v>2171</v>
      </c>
      <c r="U53" s="3">
        <f>P53-Q53-1</f>
        <v>2170</v>
      </c>
      <c r="V53" s="3">
        <f>U53</f>
        <v>2170</v>
      </c>
    </row>
    <row r="54" spans="1:23" ht="12.75" customHeight="1">
      <c r="A54" s="159" t="s">
        <v>111</v>
      </c>
      <c r="B54" s="212">
        <v>3354553</v>
      </c>
      <c r="C54" s="212">
        <v>3150218</v>
      </c>
      <c r="D54" s="212">
        <v>2600486</v>
      </c>
      <c r="E54" s="210">
        <f t="shared" si="2"/>
        <v>77.52108850270065</v>
      </c>
      <c r="F54" s="210">
        <f t="shared" si="3"/>
        <v>82.54939816863468</v>
      </c>
      <c r="G54" s="212">
        <f>D54-'[5]oktobris'!D54</f>
        <v>219827.0299999998</v>
      </c>
      <c r="H54" s="159" t="s">
        <v>111</v>
      </c>
      <c r="I54" s="212">
        <f t="shared" si="17"/>
        <v>3355</v>
      </c>
      <c r="J54" s="212">
        <f t="shared" si="17"/>
        <v>3150</v>
      </c>
      <c r="K54" s="212">
        <f t="shared" si="17"/>
        <v>2600</v>
      </c>
      <c r="L54" s="153">
        <f t="shared" si="6"/>
        <v>77.4962742175857</v>
      </c>
      <c r="M54" s="153">
        <f t="shared" si="7"/>
        <v>82.53968253968253</v>
      </c>
      <c r="N54" s="212">
        <v>220</v>
      </c>
      <c r="O54" s="131" t="str">
        <f t="shared" si="0"/>
        <v>     Izdevumi kapitālieguldījumiem</v>
      </c>
      <c r="P54" s="131">
        <f t="shared" si="1"/>
        <v>2600</v>
      </c>
      <c r="Q54" s="131">
        <v>2381</v>
      </c>
      <c r="R54" s="3">
        <f t="shared" si="4"/>
        <v>219</v>
      </c>
      <c r="U54" s="3">
        <f>P54-Q54+1</f>
        <v>220</v>
      </c>
      <c r="W54" s="3">
        <f>U54</f>
        <v>220</v>
      </c>
    </row>
    <row r="55" spans="1:21" ht="12.75" customHeight="1">
      <c r="A55" s="121" t="s">
        <v>329</v>
      </c>
      <c r="B55" s="15">
        <f>SUM(B56:B57)</f>
        <v>15143236</v>
      </c>
      <c r="C55" s="15">
        <f>SUM(C56:C57)</f>
        <v>14427065</v>
      </c>
      <c r="D55" s="15">
        <f>SUM(D56:D57)</f>
        <v>9722581</v>
      </c>
      <c r="E55" s="16">
        <f t="shared" si="2"/>
        <v>64.20411727057545</v>
      </c>
      <c r="F55" s="16">
        <f t="shared" si="3"/>
        <v>67.39126080044694</v>
      </c>
      <c r="G55" s="15">
        <f>D55-'[5]oktobris'!D55</f>
        <v>3534337.17</v>
      </c>
      <c r="H55" s="121" t="s">
        <v>329</v>
      </c>
      <c r="I55" s="15">
        <f>SUM(I56:I57)</f>
        <v>15143</v>
      </c>
      <c r="J55" s="215">
        <f>SUM(J56:J57)</f>
        <v>14427</v>
      </c>
      <c r="K55" s="15">
        <f>SUM(K56:K57)</f>
        <v>9723</v>
      </c>
      <c r="L55" s="144">
        <f t="shared" si="6"/>
        <v>64.20788483127518</v>
      </c>
      <c r="M55" s="144">
        <f t="shared" si="7"/>
        <v>67.39446870451238</v>
      </c>
      <c r="N55" s="15">
        <v>3536</v>
      </c>
      <c r="O55" s="131" t="str">
        <f t="shared" si="0"/>
        <v>Vides aizsardzības un reģionālās attīstības ministrija</v>
      </c>
      <c r="P55" s="131">
        <f t="shared" si="1"/>
        <v>9723</v>
      </c>
      <c r="Q55" s="131">
        <v>6188</v>
      </c>
      <c r="R55" s="3">
        <f t="shared" si="4"/>
        <v>3535</v>
      </c>
      <c r="U55" s="3">
        <f>P55-Q55+1</f>
        <v>3536</v>
      </c>
    </row>
    <row r="56" spans="1:22" ht="12.75" customHeight="1">
      <c r="A56" s="159" t="s">
        <v>110</v>
      </c>
      <c r="B56" s="212">
        <v>8636426</v>
      </c>
      <c r="C56" s="212">
        <v>7978555</v>
      </c>
      <c r="D56" s="212">
        <v>7278366</v>
      </c>
      <c r="E56" s="210">
        <f t="shared" si="2"/>
        <v>84.2752082863907</v>
      </c>
      <c r="F56" s="210">
        <f t="shared" si="3"/>
        <v>91.22411263693739</v>
      </c>
      <c r="G56" s="212">
        <f>D56-'[5]oktobris'!D56</f>
        <v>1768690.0099999998</v>
      </c>
      <c r="H56" s="159" t="s">
        <v>110</v>
      </c>
      <c r="I56" s="212">
        <f aca="true" t="shared" si="18" ref="I56:J59">ROUND(B56/1000,0)</f>
        <v>8636</v>
      </c>
      <c r="J56" s="212">
        <f>ROUND(C56/1000,0)</f>
        <v>7979</v>
      </c>
      <c r="K56" s="212">
        <f>ROUND(D56/1000,0)+1</f>
        <v>7279</v>
      </c>
      <c r="L56" s="153">
        <f t="shared" si="6"/>
        <v>84.28670680870773</v>
      </c>
      <c r="M56" s="153">
        <f t="shared" si="7"/>
        <v>91.22697079834565</v>
      </c>
      <c r="N56" s="212">
        <v>1770</v>
      </c>
      <c r="O56" s="131" t="str">
        <f t="shared" si="0"/>
        <v>     Uzturēšanas izdevumi</v>
      </c>
      <c r="P56" s="131">
        <f t="shared" si="1"/>
        <v>7279</v>
      </c>
      <c r="Q56" s="131">
        <v>5510</v>
      </c>
      <c r="R56" s="3">
        <f t="shared" si="4"/>
        <v>1769</v>
      </c>
      <c r="U56" s="3">
        <f>P56-Q56+1</f>
        <v>1770</v>
      </c>
      <c r="V56" s="3">
        <f>U56</f>
        <v>1770</v>
      </c>
    </row>
    <row r="57" spans="1:23" ht="12.75" customHeight="1">
      <c r="A57" s="216" t="s">
        <v>111</v>
      </c>
      <c r="B57" s="212">
        <v>6506810</v>
      </c>
      <c r="C57" s="212">
        <v>6448510</v>
      </c>
      <c r="D57" s="212">
        <v>2444215</v>
      </c>
      <c r="E57" s="210">
        <f t="shared" si="2"/>
        <v>37.56395222851136</v>
      </c>
      <c r="F57" s="210">
        <f t="shared" si="3"/>
        <v>37.903562218248865</v>
      </c>
      <c r="G57" s="212">
        <f>D57-'[5]oktobris'!D57</f>
        <v>1765647.1600000001</v>
      </c>
      <c r="H57" s="216" t="s">
        <v>111</v>
      </c>
      <c r="I57" s="212">
        <f t="shared" si="18"/>
        <v>6507</v>
      </c>
      <c r="J57" s="212">
        <f>ROUND(C57/1000,0)-1</f>
        <v>6448</v>
      </c>
      <c r="K57" s="212">
        <f>ROUND(D57/1000,0)</f>
        <v>2444</v>
      </c>
      <c r="L57" s="153">
        <f t="shared" si="6"/>
        <v>37.55955125249731</v>
      </c>
      <c r="M57" s="153">
        <f t="shared" si="7"/>
        <v>37.903225806451616</v>
      </c>
      <c r="N57" s="212">
        <v>1766</v>
      </c>
      <c r="O57" s="131" t="str">
        <f t="shared" si="0"/>
        <v>     Izdevumi kapitālieguldījumiem</v>
      </c>
      <c r="P57" s="131">
        <f t="shared" si="1"/>
        <v>2444</v>
      </c>
      <c r="Q57" s="131">
        <v>678</v>
      </c>
      <c r="R57" s="3">
        <f t="shared" si="4"/>
        <v>1766</v>
      </c>
      <c r="U57" s="3">
        <f t="shared" si="5"/>
        <v>1766</v>
      </c>
      <c r="W57" s="3">
        <f>U57</f>
        <v>1766</v>
      </c>
    </row>
    <row r="58" spans="1:21" ht="12.75" customHeight="1">
      <c r="A58" s="26" t="s">
        <v>330</v>
      </c>
      <c r="B58" s="15">
        <f>B59+B60</f>
        <v>17497514</v>
      </c>
      <c r="C58" s="15">
        <f>C59+C60</f>
        <v>15912938</v>
      </c>
      <c r="D58" s="215">
        <f>D59+D60</f>
        <v>15703646</v>
      </c>
      <c r="E58" s="16">
        <f t="shared" si="2"/>
        <v>89.74786932589394</v>
      </c>
      <c r="F58" s="16">
        <f t="shared" si="3"/>
        <v>98.68476833127862</v>
      </c>
      <c r="G58" s="15">
        <f>D58-'[5]oktobris'!D58</f>
        <v>1686701.75</v>
      </c>
      <c r="H58" s="26" t="s">
        <v>330</v>
      </c>
      <c r="I58" s="212">
        <f t="shared" si="18"/>
        <v>17498</v>
      </c>
      <c r="J58" s="15">
        <f>SUM(J59:J60)</f>
        <v>15913</v>
      </c>
      <c r="K58" s="15">
        <f>SUM(K59:K60)</f>
        <v>15704</v>
      </c>
      <c r="L58" s="144">
        <f t="shared" si="6"/>
        <v>89.74739970282319</v>
      </c>
      <c r="M58" s="144">
        <f t="shared" si="7"/>
        <v>98.68660843335637</v>
      </c>
      <c r="N58" s="15">
        <v>1688</v>
      </c>
      <c r="O58" s="131" t="str">
        <f t="shared" si="0"/>
        <v>Kultūras ministrija</v>
      </c>
      <c r="P58" s="131">
        <f t="shared" si="1"/>
        <v>15704</v>
      </c>
      <c r="Q58" s="131">
        <v>14017</v>
      </c>
      <c r="R58" s="3">
        <f t="shared" si="4"/>
        <v>1687</v>
      </c>
      <c r="U58" s="3">
        <f>P58-Q58+1</f>
        <v>1688</v>
      </c>
    </row>
    <row r="59" spans="1:22" ht="12.75" customHeight="1">
      <c r="A59" s="159" t="s">
        <v>110</v>
      </c>
      <c r="B59" s="212">
        <v>15838808</v>
      </c>
      <c r="C59" s="212">
        <v>14372672</v>
      </c>
      <c r="D59" s="212">
        <v>14188309</v>
      </c>
      <c r="E59" s="210">
        <f t="shared" si="2"/>
        <v>89.57939890426097</v>
      </c>
      <c r="F59" s="210">
        <f t="shared" si="3"/>
        <v>98.71726704679547</v>
      </c>
      <c r="G59" s="212">
        <f>D59-'[5]oktobris'!D59</f>
        <v>1583989.5999999996</v>
      </c>
      <c r="H59" s="159" t="s">
        <v>110</v>
      </c>
      <c r="I59" s="212">
        <f t="shared" si="18"/>
        <v>15839</v>
      </c>
      <c r="J59" s="212">
        <f t="shared" si="18"/>
        <v>14373</v>
      </c>
      <c r="K59" s="212">
        <f>ROUND(D59/1000,0)</f>
        <v>14188</v>
      </c>
      <c r="L59" s="153">
        <f t="shared" si="6"/>
        <v>89.57636214407475</v>
      </c>
      <c r="M59" s="153">
        <f t="shared" si="7"/>
        <v>98.71286439852501</v>
      </c>
      <c r="N59" s="212">
        <v>1584</v>
      </c>
      <c r="O59" s="131" t="str">
        <f t="shared" si="0"/>
        <v>     Uzturēšanas izdevumi</v>
      </c>
      <c r="P59" s="131">
        <f t="shared" si="1"/>
        <v>14188</v>
      </c>
      <c r="Q59" s="131">
        <v>12604</v>
      </c>
      <c r="R59" s="3">
        <f t="shared" si="4"/>
        <v>1584</v>
      </c>
      <c r="U59" s="3">
        <f t="shared" si="5"/>
        <v>1584</v>
      </c>
      <c r="V59" s="3">
        <f>U59</f>
        <v>1584</v>
      </c>
    </row>
    <row r="60" spans="1:23" ht="12.75" customHeight="1">
      <c r="A60" s="159" t="s">
        <v>111</v>
      </c>
      <c r="B60" s="212">
        <v>1658706</v>
      </c>
      <c r="C60" s="212">
        <v>1540266</v>
      </c>
      <c r="D60" s="212">
        <v>1515337</v>
      </c>
      <c r="E60" s="210">
        <f t="shared" si="2"/>
        <v>91.35657554744482</v>
      </c>
      <c r="F60" s="210">
        <f t="shared" si="3"/>
        <v>98.38151332302343</v>
      </c>
      <c r="G60" s="212">
        <f>D60-'[5]oktobris'!D60</f>
        <v>102712.1499999999</v>
      </c>
      <c r="H60" s="159" t="s">
        <v>111</v>
      </c>
      <c r="I60" s="212">
        <f>ROUND(B60/1000,0)</f>
        <v>1659</v>
      </c>
      <c r="J60" s="212">
        <f>ROUND(C60/1000,0)</f>
        <v>1540</v>
      </c>
      <c r="K60" s="212">
        <f>ROUND(D60/1000,0)+1</f>
        <v>1516</v>
      </c>
      <c r="L60" s="153">
        <f t="shared" si="6"/>
        <v>91.3803496081977</v>
      </c>
      <c r="M60" s="153">
        <f t="shared" si="7"/>
        <v>98.44155844155844</v>
      </c>
      <c r="N60" s="212">
        <v>104</v>
      </c>
      <c r="O60" s="131" t="str">
        <f t="shared" si="0"/>
        <v>     Izdevumi kapitālieguldījumiem</v>
      </c>
      <c r="P60" s="131">
        <f t="shared" si="1"/>
        <v>1516</v>
      </c>
      <c r="Q60" s="131">
        <v>1413</v>
      </c>
      <c r="R60" s="3">
        <f t="shared" si="4"/>
        <v>103</v>
      </c>
      <c r="U60" s="3">
        <f>P60-Q60+1</f>
        <v>104</v>
      </c>
      <c r="W60" s="3">
        <f>U60</f>
        <v>104</v>
      </c>
    </row>
    <row r="61" spans="1:21" ht="12.75" customHeight="1">
      <c r="A61" s="26" t="s">
        <v>331</v>
      </c>
      <c r="B61" s="15">
        <f>SUM(B62:B63)</f>
        <v>14846381</v>
      </c>
      <c r="C61" s="15">
        <f>SUM(C62:C63)</f>
        <v>13635197</v>
      </c>
      <c r="D61" s="15">
        <f>SUM(D62:D63)</f>
        <v>12686778</v>
      </c>
      <c r="E61" s="16">
        <f t="shared" si="2"/>
        <v>85.45367386166366</v>
      </c>
      <c r="F61" s="16">
        <f t="shared" si="3"/>
        <v>93.044332252772</v>
      </c>
      <c r="G61" s="15">
        <f>D61-'[5]oktobris'!D61</f>
        <v>1271095.790000001</v>
      </c>
      <c r="H61" s="26" t="s">
        <v>331</v>
      </c>
      <c r="I61" s="15">
        <f>SUM(I62:I63)</f>
        <v>14847</v>
      </c>
      <c r="J61" s="15">
        <f>SUM(J62:J63)</f>
        <v>13635</v>
      </c>
      <c r="K61" s="15">
        <f>SUM(K62:K63)</f>
        <v>12687</v>
      </c>
      <c r="L61" s="144">
        <f t="shared" si="6"/>
        <v>85.45160638512831</v>
      </c>
      <c r="M61" s="144">
        <f t="shared" si="7"/>
        <v>93.04730473047304</v>
      </c>
      <c r="N61" s="15">
        <v>1272</v>
      </c>
      <c r="O61" s="131" t="str">
        <f t="shared" si="0"/>
        <v>Valsts zemes dienests</v>
      </c>
      <c r="P61" s="131">
        <f t="shared" si="1"/>
        <v>12687</v>
      </c>
      <c r="Q61" s="131">
        <v>11416</v>
      </c>
      <c r="R61" s="3">
        <f t="shared" si="4"/>
        <v>1271</v>
      </c>
      <c r="U61" s="3">
        <f>P61-Q61+1</f>
        <v>1272</v>
      </c>
    </row>
    <row r="62" spans="1:22" ht="12.75" customHeight="1">
      <c r="A62" s="159" t="s">
        <v>110</v>
      </c>
      <c r="B62" s="212">
        <v>13684881</v>
      </c>
      <c r="C62" s="212">
        <v>12463160</v>
      </c>
      <c r="D62" s="212">
        <v>11802322</v>
      </c>
      <c r="E62" s="210">
        <f t="shared" si="2"/>
        <v>86.243512091921</v>
      </c>
      <c r="F62" s="210">
        <f t="shared" si="3"/>
        <v>94.69766896998834</v>
      </c>
      <c r="G62" s="212">
        <f>D62-'[5]oktobris'!D62</f>
        <v>1199527.210000001</v>
      </c>
      <c r="H62" s="159" t="s">
        <v>110</v>
      </c>
      <c r="I62" s="212">
        <f aca="true" t="shared" si="19" ref="I62:K63">ROUND(B62/1000,0)</f>
        <v>13685</v>
      </c>
      <c r="J62" s="212">
        <f t="shared" si="19"/>
        <v>12463</v>
      </c>
      <c r="K62" s="212">
        <f t="shared" si="19"/>
        <v>11802</v>
      </c>
      <c r="L62" s="153">
        <f t="shared" si="6"/>
        <v>86.24040920716112</v>
      </c>
      <c r="M62" s="153">
        <f t="shared" si="7"/>
        <v>94.69630105111129</v>
      </c>
      <c r="N62" s="212">
        <v>1199</v>
      </c>
      <c r="O62" s="131" t="str">
        <f t="shared" si="0"/>
        <v>     Uzturēšanas izdevumi</v>
      </c>
      <c r="P62" s="131">
        <f t="shared" si="1"/>
        <v>11802</v>
      </c>
      <c r="Q62" s="131">
        <v>10603</v>
      </c>
      <c r="R62" s="3">
        <f t="shared" si="4"/>
        <v>1199</v>
      </c>
      <c r="U62" s="3">
        <f t="shared" si="5"/>
        <v>1199</v>
      </c>
      <c r="V62" s="3">
        <f>U62</f>
        <v>1199</v>
      </c>
    </row>
    <row r="63" spans="1:23" ht="12.75" customHeight="1">
      <c r="A63" s="159" t="s">
        <v>111</v>
      </c>
      <c r="B63" s="212">
        <v>1161500</v>
      </c>
      <c r="C63" s="212">
        <v>1172037</v>
      </c>
      <c r="D63" s="212">
        <v>884456</v>
      </c>
      <c r="E63" s="210">
        <f t="shared" si="2"/>
        <v>76.14773999139044</v>
      </c>
      <c r="F63" s="210">
        <f t="shared" si="3"/>
        <v>75.46314664127497</v>
      </c>
      <c r="G63" s="212">
        <f>D63-'[5]oktobris'!D63</f>
        <v>71568.57999999996</v>
      </c>
      <c r="H63" s="159" t="s">
        <v>111</v>
      </c>
      <c r="I63" s="212">
        <f t="shared" si="19"/>
        <v>1162</v>
      </c>
      <c r="J63" s="212">
        <f t="shared" si="19"/>
        <v>1172</v>
      </c>
      <c r="K63" s="212">
        <f>ROUND(D63/1000,0)+1</f>
        <v>885</v>
      </c>
      <c r="L63" s="153">
        <f t="shared" si="6"/>
        <v>76.1617900172117</v>
      </c>
      <c r="M63" s="153">
        <f t="shared" si="7"/>
        <v>75.51194539249147</v>
      </c>
      <c r="N63" s="212">
        <v>73</v>
      </c>
      <c r="O63" s="131" t="str">
        <f t="shared" si="0"/>
        <v>     Izdevumi kapitālieguldījumiem</v>
      </c>
      <c r="P63" s="131">
        <f t="shared" si="1"/>
        <v>885</v>
      </c>
      <c r="Q63" s="131">
        <v>813</v>
      </c>
      <c r="R63" s="3">
        <f t="shared" si="4"/>
        <v>72</v>
      </c>
      <c r="U63" s="3">
        <f>P63-Q63+1</f>
        <v>73</v>
      </c>
      <c r="W63" s="3">
        <f>U63</f>
        <v>73</v>
      </c>
    </row>
    <row r="64" spans="1:21" ht="12.75" customHeight="1">
      <c r="A64" s="26" t="s">
        <v>332</v>
      </c>
      <c r="B64" s="15">
        <f>SUM(B65:B66)</f>
        <v>1170755</v>
      </c>
      <c r="C64" s="15">
        <f>SUM(C65:C66)</f>
        <v>1067652</v>
      </c>
      <c r="D64" s="15">
        <f>SUM(D65:D66)</f>
        <v>1045905</v>
      </c>
      <c r="E64" s="16">
        <f t="shared" si="2"/>
        <v>89.33594133700048</v>
      </c>
      <c r="F64" s="16">
        <f t="shared" si="3"/>
        <v>97.96310033606456</v>
      </c>
      <c r="G64" s="15">
        <f>D64-'[5]oktobris'!D64</f>
        <v>121368.93000000005</v>
      </c>
      <c r="H64" s="26" t="s">
        <v>332</v>
      </c>
      <c r="I64" s="15">
        <f>SUM(I65:I66)</f>
        <v>1173</v>
      </c>
      <c r="J64" s="15">
        <f>SUM(J65:J66)</f>
        <v>1068</v>
      </c>
      <c r="K64" s="15">
        <f>SUM(K65:K66)</f>
        <v>1046</v>
      </c>
      <c r="L64" s="144">
        <f t="shared" si="6"/>
        <v>89.17306052855925</v>
      </c>
      <c r="M64" s="144">
        <f t="shared" si="7"/>
        <v>97.94007490636703</v>
      </c>
      <c r="N64" s="15">
        <v>121</v>
      </c>
      <c r="O64" s="131" t="str">
        <f t="shared" si="0"/>
        <v>Valsts kontrole</v>
      </c>
      <c r="P64" s="131">
        <f t="shared" si="1"/>
        <v>1046</v>
      </c>
      <c r="Q64" s="131">
        <v>924</v>
      </c>
      <c r="R64" s="3">
        <f t="shared" si="4"/>
        <v>122</v>
      </c>
      <c r="U64" s="3">
        <f>P64-Q64-1</f>
        <v>121</v>
      </c>
    </row>
    <row r="65" spans="1:22" ht="12.75" customHeight="1">
      <c r="A65" s="159" t="s">
        <v>110</v>
      </c>
      <c r="B65" s="212">
        <v>1155215</v>
      </c>
      <c r="C65" s="212">
        <v>1052112</v>
      </c>
      <c r="D65" s="212">
        <v>1032649</v>
      </c>
      <c r="E65" s="210">
        <f t="shared" si="2"/>
        <v>89.39020009262345</v>
      </c>
      <c r="F65" s="210">
        <f t="shared" si="3"/>
        <v>98.15010189029306</v>
      </c>
      <c r="G65" s="212">
        <f>D65-'[5]oktobris'!D65</f>
        <v>121368.92000000004</v>
      </c>
      <c r="H65" s="159" t="s">
        <v>110</v>
      </c>
      <c r="I65" s="212">
        <f>ROUND(B65/1000,0)+1</f>
        <v>1156</v>
      </c>
      <c r="J65" s="212">
        <f>ROUND(C65/1000,0)</f>
        <v>1052</v>
      </c>
      <c r="K65" s="212">
        <f>ROUND(D65/1000,0)</f>
        <v>1033</v>
      </c>
      <c r="L65" s="153">
        <f t="shared" si="6"/>
        <v>89.3598615916955</v>
      </c>
      <c r="M65" s="153">
        <f t="shared" si="7"/>
        <v>98.19391634980988</v>
      </c>
      <c r="N65" s="212">
        <v>121</v>
      </c>
      <c r="O65" s="131" t="str">
        <f t="shared" si="0"/>
        <v>     Uzturēšanas izdevumi</v>
      </c>
      <c r="P65" s="131">
        <f t="shared" si="1"/>
        <v>1033</v>
      </c>
      <c r="Q65" s="131">
        <v>911</v>
      </c>
      <c r="R65" s="3">
        <f t="shared" si="4"/>
        <v>122</v>
      </c>
      <c r="U65" s="3">
        <f>P65-Q65-1</f>
        <v>121</v>
      </c>
      <c r="V65" s="3">
        <f>U65</f>
        <v>121</v>
      </c>
    </row>
    <row r="66" spans="1:23" ht="12.75" customHeight="1">
      <c r="A66" s="159" t="s">
        <v>111</v>
      </c>
      <c r="B66" s="212">
        <v>15540</v>
      </c>
      <c r="C66" s="212">
        <v>15540</v>
      </c>
      <c r="D66" s="212">
        <v>13256</v>
      </c>
      <c r="E66" s="210">
        <f t="shared" si="2"/>
        <v>85.3024453024453</v>
      </c>
      <c r="F66" s="210">
        <f t="shared" si="3"/>
        <v>85.3024453024453</v>
      </c>
      <c r="G66" s="212">
        <f>D66-'[5]oktobris'!D66</f>
        <v>0.010000000000218279</v>
      </c>
      <c r="H66" s="159" t="s">
        <v>111</v>
      </c>
      <c r="I66" s="212">
        <f>ROUND(B66/1000,0)+1</f>
        <v>17</v>
      </c>
      <c r="J66" s="212">
        <f>ROUND(C66/1000,0)</f>
        <v>16</v>
      </c>
      <c r="K66" s="214">
        <f>ROUND(D66/1000,0)</f>
        <v>13</v>
      </c>
      <c r="L66" s="153">
        <f t="shared" si="6"/>
        <v>76.47058823529412</v>
      </c>
      <c r="M66" s="153">
        <f t="shared" si="7"/>
        <v>81.25</v>
      </c>
      <c r="N66" s="28">
        <v>0</v>
      </c>
      <c r="O66" s="131" t="str">
        <f t="shared" si="0"/>
        <v>     Izdevumi kapitālieguldījumiem</v>
      </c>
      <c r="P66" s="131">
        <f t="shared" si="1"/>
        <v>13</v>
      </c>
      <c r="Q66" s="131">
        <v>13</v>
      </c>
      <c r="R66" s="3">
        <f t="shared" si="4"/>
        <v>0</v>
      </c>
      <c r="U66" s="3">
        <f t="shared" si="5"/>
        <v>0</v>
      </c>
      <c r="V66" s="3">
        <f>U66</f>
        <v>0</v>
      </c>
      <c r="W66" s="3">
        <f>U66</f>
        <v>0</v>
      </c>
    </row>
    <row r="67" spans="1:21" ht="12.75" customHeight="1">
      <c r="A67" s="26" t="s">
        <v>333</v>
      </c>
      <c r="B67" s="15">
        <f>B68</f>
        <v>743059</v>
      </c>
      <c r="C67" s="15">
        <f>SUM(C68:C68)</f>
        <v>670800</v>
      </c>
      <c r="D67" s="15">
        <f>SUM(D68:D68)</f>
        <v>670795</v>
      </c>
      <c r="E67" s="16">
        <f t="shared" si="2"/>
        <v>90.27479648318639</v>
      </c>
      <c r="F67" s="16">
        <f t="shared" si="3"/>
        <v>99.99925462134765</v>
      </c>
      <c r="G67" s="15">
        <f>D67-'[5]oktobris'!D67</f>
        <v>63232.98999999999</v>
      </c>
      <c r="H67" s="26" t="s">
        <v>333</v>
      </c>
      <c r="I67" s="15">
        <f>ROUND(B67/1000,0)</f>
        <v>743</v>
      </c>
      <c r="J67" s="15">
        <f>SUM(J68:J68)</f>
        <v>671</v>
      </c>
      <c r="K67" s="15">
        <f>SUM(K68:K68)</f>
        <v>671</v>
      </c>
      <c r="L67" s="144">
        <f t="shared" si="6"/>
        <v>90.30955585464334</v>
      </c>
      <c r="M67" s="144">
        <f t="shared" si="7"/>
        <v>100</v>
      </c>
      <c r="N67" s="15">
        <v>63</v>
      </c>
      <c r="O67" s="131" t="str">
        <f t="shared" si="0"/>
        <v>Augstākā tiesa</v>
      </c>
      <c r="P67" s="131">
        <f t="shared" si="1"/>
        <v>671</v>
      </c>
      <c r="Q67" s="131">
        <v>608</v>
      </c>
      <c r="R67" s="3">
        <f t="shared" si="4"/>
        <v>63</v>
      </c>
      <c r="U67" s="3">
        <f t="shared" si="5"/>
        <v>63</v>
      </c>
    </row>
    <row r="68" spans="1:22" ht="12.75" customHeight="1">
      <c r="A68" s="159" t="s">
        <v>110</v>
      </c>
      <c r="B68" s="212">
        <v>743059</v>
      </c>
      <c r="C68" s="212">
        <v>670800</v>
      </c>
      <c r="D68" s="212">
        <v>670795</v>
      </c>
      <c r="E68" s="210">
        <f t="shared" si="2"/>
        <v>90.27479648318639</v>
      </c>
      <c r="F68" s="210">
        <f t="shared" si="3"/>
        <v>99.99925462134765</v>
      </c>
      <c r="G68" s="212">
        <f>D68-'[5]oktobris'!D68</f>
        <v>63232.98999999999</v>
      </c>
      <c r="H68" s="159" t="s">
        <v>110</v>
      </c>
      <c r="I68" s="212">
        <f>ROUND(B68/1000,0)</f>
        <v>743</v>
      </c>
      <c r="J68" s="212">
        <f>ROUND(C68/1000,0)</f>
        <v>671</v>
      </c>
      <c r="K68" s="212">
        <f>ROUND(D68/1000,0)</f>
        <v>671</v>
      </c>
      <c r="L68" s="153">
        <f t="shared" si="6"/>
        <v>90.30955585464334</v>
      </c>
      <c r="M68" s="153">
        <f t="shared" si="7"/>
        <v>100</v>
      </c>
      <c r="N68" s="212">
        <v>63</v>
      </c>
      <c r="O68" s="131" t="str">
        <f t="shared" si="0"/>
        <v>     Uzturēšanas izdevumi</v>
      </c>
      <c r="P68" s="131">
        <f t="shared" si="1"/>
        <v>671</v>
      </c>
      <c r="Q68" s="131">
        <v>608</v>
      </c>
      <c r="R68" s="3">
        <f t="shared" si="4"/>
        <v>63</v>
      </c>
      <c r="U68" s="3">
        <f t="shared" si="5"/>
        <v>63</v>
      </c>
      <c r="V68" s="3">
        <f>U68</f>
        <v>63</v>
      </c>
    </row>
    <row r="69" spans="1:21" ht="12.75" customHeight="1">
      <c r="A69" s="26" t="s">
        <v>334</v>
      </c>
      <c r="B69" s="15">
        <f>SUM(B70:B71)</f>
        <v>339602</v>
      </c>
      <c r="C69" s="15">
        <f>SUM(C70:C71)</f>
        <v>304712</v>
      </c>
      <c r="D69" s="215">
        <f>SUM(D70:D71)</f>
        <v>292559</v>
      </c>
      <c r="E69" s="16">
        <f t="shared" si="2"/>
        <v>86.14760808240234</v>
      </c>
      <c r="F69" s="16">
        <f t="shared" si="3"/>
        <v>96.01164378166925</v>
      </c>
      <c r="G69" s="15">
        <f>D69-'[5]oktobris'!D69</f>
        <v>22154.540000000037</v>
      </c>
      <c r="H69" s="26" t="s">
        <v>334</v>
      </c>
      <c r="I69" s="15">
        <f>SUM(I70:I71)</f>
        <v>340</v>
      </c>
      <c r="J69" s="15">
        <f>SUM(J70:J71)</f>
        <v>305</v>
      </c>
      <c r="K69" s="15">
        <f>SUM(K70:K71)</f>
        <v>293</v>
      </c>
      <c r="L69" s="144">
        <f t="shared" si="6"/>
        <v>86.1764705882353</v>
      </c>
      <c r="M69" s="144">
        <f t="shared" si="7"/>
        <v>96.06557377049181</v>
      </c>
      <c r="N69" s="15">
        <v>23</v>
      </c>
      <c r="O69" s="131" t="str">
        <f t="shared" si="0"/>
        <v>Satversmes tiesa</v>
      </c>
      <c r="P69" s="131">
        <f t="shared" si="1"/>
        <v>293</v>
      </c>
      <c r="Q69" s="131">
        <v>270</v>
      </c>
      <c r="R69" s="3">
        <f t="shared" si="4"/>
        <v>23</v>
      </c>
      <c r="U69" s="3">
        <f t="shared" si="5"/>
        <v>23</v>
      </c>
    </row>
    <row r="70" spans="1:22" ht="12.75" customHeight="1">
      <c r="A70" s="159" t="s">
        <v>110</v>
      </c>
      <c r="B70" s="212">
        <v>314102</v>
      </c>
      <c r="C70" s="212">
        <v>279712</v>
      </c>
      <c r="D70" s="212">
        <v>267638</v>
      </c>
      <c r="E70" s="210">
        <f t="shared" si="2"/>
        <v>85.20735302545033</v>
      </c>
      <c r="F70" s="210">
        <f t="shared" si="3"/>
        <v>95.68341722914998</v>
      </c>
      <c r="G70" s="212">
        <f>D70-'[5]oktobris'!D70</f>
        <v>21733.540000000008</v>
      </c>
      <c r="H70" s="159" t="s">
        <v>110</v>
      </c>
      <c r="I70" s="212">
        <f aca="true" t="shared" si="20" ref="I70:K71">ROUND(B70/1000,0)</f>
        <v>314</v>
      </c>
      <c r="J70" s="212">
        <f t="shared" si="20"/>
        <v>280</v>
      </c>
      <c r="K70" s="212">
        <f t="shared" si="20"/>
        <v>268</v>
      </c>
      <c r="L70" s="153">
        <f t="shared" si="6"/>
        <v>85.35031847133759</v>
      </c>
      <c r="M70" s="153">
        <f t="shared" si="7"/>
        <v>95.71428571428572</v>
      </c>
      <c r="N70" s="212">
        <v>22</v>
      </c>
      <c r="O70" s="131" t="str">
        <f t="shared" si="0"/>
        <v>     Uzturēšanas izdevumi</v>
      </c>
      <c r="P70" s="131">
        <f t="shared" si="1"/>
        <v>268</v>
      </c>
      <c r="Q70" s="131">
        <v>246</v>
      </c>
      <c r="R70" s="3">
        <f t="shared" si="4"/>
        <v>22</v>
      </c>
      <c r="U70" s="3">
        <f t="shared" si="5"/>
        <v>22</v>
      </c>
      <c r="V70" s="3">
        <f>U70</f>
        <v>22</v>
      </c>
    </row>
    <row r="71" spans="1:23" ht="12.75" customHeight="1">
      <c r="A71" s="159" t="s">
        <v>111</v>
      </c>
      <c r="B71" s="212">
        <v>25500</v>
      </c>
      <c r="C71" s="212">
        <v>25000</v>
      </c>
      <c r="D71" s="213">
        <v>24921</v>
      </c>
      <c r="E71" s="210">
        <f t="shared" si="2"/>
        <v>97.72941176470589</v>
      </c>
      <c r="F71" s="210">
        <f t="shared" si="3"/>
        <v>99.684</v>
      </c>
      <c r="G71" s="212">
        <f>D71-'[5]oktobris'!D71</f>
        <v>421</v>
      </c>
      <c r="H71" s="159" t="s">
        <v>111</v>
      </c>
      <c r="I71" s="212">
        <f t="shared" si="20"/>
        <v>26</v>
      </c>
      <c r="J71" s="212">
        <f t="shared" si="20"/>
        <v>25</v>
      </c>
      <c r="K71" s="212">
        <f t="shared" si="20"/>
        <v>25</v>
      </c>
      <c r="L71" s="153">
        <f t="shared" si="6"/>
        <v>96.15384615384616</v>
      </c>
      <c r="M71" s="153">
        <f t="shared" si="7"/>
        <v>100</v>
      </c>
      <c r="N71" s="212">
        <v>1</v>
      </c>
      <c r="O71" s="131" t="str">
        <f t="shared" si="0"/>
        <v>     Izdevumi kapitālieguldījumiem</v>
      </c>
      <c r="P71" s="131">
        <f t="shared" si="1"/>
        <v>25</v>
      </c>
      <c r="Q71" s="131">
        <v>24</v>
      </c>
      <c r="R71" s="3">
        <f t="shared" si="4"/>
        <v>1</v>
      </c>
      <c r="U71" s="3">
        <f t="shared" si="5"/>
        <v>1</v>
      </c>
      <c r="V71" s="3">
        <f>U71</f>
        <v>1</v>
      </c>
      <c r="W71" s="3">
        <f>U71</f>
        <v>1</v>
      </c>
    </row>
    <row r="72" spans="1:21" ht="15" customHeight="1">
      <c r="A72" s="26" t="s">
        <v>335</v>
      </c>
      <c r="B72" s="15">
        <f>SUM(B73:B74)</f>
        <v>6224450</v>
      </c>
      <c r="C72" s="15">
        <f>SUM(C73:C74)</f>
        <v>5719729</v>
      </c>
      <c r="D72" s="15">
        <f>SUM(D73:D74)</f>
        <v>5667944</v>
      </c>
      <c r="E72" s="16">
        <f t="shared" si="2"/>
        <v>91.05935464177558</v>
      </c>
      <c r="F72" s="16">
        <f t="shared" si="3"/>
        <v>99.09462493765002</v>
      </c>
      <c r="G72" s="15">
        <f>D72-'[5]oktobris'!D72</f>
        <v>523876.54000000004</v>
      </c>
      <c r="H72" s="26" t="s">
        <v>335</v>
      </c>
      <c r="I72" s="15">
        <f>SUM(I73:I74)</f>
        <v>6224</v>
      </c>
      <c r="J72" s="15">
        <f>SUM(J73:J74)</f>
        <v>5719</v>
      </c>
      <c r="K72" s="215">
        <f>SUM(K73:K74)</f>
        <v>5668</v>
      </c>
      <c r="L72" s="144">
        <f t="shared" si="6"/>
        <v>91.0668380462725</v>
      </c>
      <c r="M72" s="144">
        <f t="shared" si="7"/>
        <v>99.10823570554292</v>
      </c>
      <c r="N72" s="15">
        <v>524</v>
      </c>
      <c r="O72" s="131" t="str">
        <f t="shared" si="0"/>
        <v>Prokuratūra</v>
      </c>
      <c r="P72" s="131">
        <f t="shared" si="1"/>
        <v>5668</v>
      </c>
      <c r="Q72" s="131">
        <v>5144</v>
      </c>
      <c r="R72" s="3">
        <f t="shared" si="4"/>
        <v>524</v>
      </c>
      <c r="U72" s="3">
        <f t="shared" si="5"/>
        <v>524</v>
      </c>
    </row>
    <row r="73" spans="1:22" ht="12.75" customHeight="1">
      <c r="A73" s="159" t="s">
        <v>110</v>
      </c>
      <c r="B73" s="212">
        <v>6144340</v>
      </c>
      <c r="C73" s="212">
        <v>5642479</v>
      </c>
      <c r="D73" s="212">
        <v>5605015</v>
      </c>
      <c r="E73" s="210">
        <f t="shared" si="2"/>
        <v>91.2224095671789</v>
      </c>
      <c r="F73" s="210">
        <f t="shared" si="3"/>
        <v>99.33603651870038</v>
      </c>
      <c r="G73" s="212">
        <f>D73-'[5]oktobris'!D73</f>
        <v>519535.23000000045</v>
      </c>
      <c r="H73" s="159" t="s">
        <v>110</v>
      </c>
      <c r="I73" s="212">
        <f aca="true" t="shared" si="21" ref="I73:K74">ROUND(B73/1000,0)</f>
        <v>6144</v>
      </c>
      <c r="J73" s="212">
        <f t="shared" si="21"/>
        <v>5642</v>
      </c>
      <c r="K73" s="212">
        <f>ROUND(D73/1000,0)</f>
        <v>5605</v>
      </c>
      <c r="L73" s="153">
        <f t="shared" si="6"/>
        <v>91.22721354166666</v>
      </c>
      <c r="M73" s="153">
        <f t="shared" si="7"/>
        <v>99.34420418291387</v>
      </c>
      <c r="N73" s="212">
        <v>520</v>
      </c>
      <c r="O73" s="131" t="str">
        <f t="shared" si="0"/>
        <v>     Uzturēšanas izdevumi</v>
      </c>
      <c r="P73" s="131">
        <f t="shared" si="1"/>
        <v>5605</v>
      </c>
      <c r="Q73" s="131">
        <v>5085</v>
      </c>
      <c r="R73" s="3">
        <f t="shared" si="4"/>
        <v>520</v>
      </c>
      <c r="U73" s="3">
        <f t="shared" si="5"/>
        <v>520</v>
      </c>
      <c r="V73" s="3">
        <f>U73</f>
        <v>520</v>
      </c>
    </row>
    <row r="74" spans="1:23" ht="12.75" customHeight="1">
      <c r="A74" s="159" t="s">
        <v>111</v>
      </c>
      <c r="B74" s="212">
        <v>80110</v>
      </c>
      <c r="C74" s="214">
        <v>77250</v>
      </c>
      <c r="D74" s="212">
        <v>62929</v>
      </c>
      <c r="E74" s="210">
        <f t="shared" si="2"/>
        <v>78.55323929596804</v>
      </c>
      <c r="F74" s="210">
        <f t="shared" si="3"/>
        <v>81.46148867313916</v>
      </c>
      <c r="G74" s="212">
        <f>D74-'[5]oktobris'!D74</f>
        <v>4341.309999999998</v>
      </c>
      <c r="H74" s="159" t="s">
        <v>111</v>
      </c>
      <c r="I74" s="212">
        <f t="shared" si="21"/>
        <v>80</v>
      </c>
      <c r="J74" s="212">
        <f t="shared" si="21"/>
        <v>77</v>
      </c>
      <c r="K74" s="212">
        <f t="shared" si="21"/>
        <v>63</v>
      </c>
      <c r="L74" s="153">
        <f t="shared" si="6"/>
        <v>78.75</v>
      </c>
      <c r="M74" s="153">
        <f t="shared" si="7"/>
        <v>81.81818181818183</v>
      </c>
      <c r="N74" s="212">
        <v>4</v>
      </c>
      <c r="O74" s="131" t="str">
        <f t="shared" si="0"/>
        <v>     Izdevumi kapitālieguldījumiem</v>
      </c>
      <c r="P74" s="131">
        <f t="shared" si="1"/>
        <v>63</v>
      </c>
      <c r="Q74" s="131">
        <v>59</v>
      </c>
      <c r="R74" s="3">
        <f t="shared" si="4"/>
        <v>4</v>
      </c>
      <c r="U74" s="3">
        <f t="shared" si="5"/>
        <v>4</v>
      </c>
      <c r="W74" s="3">
        <f>U74</f>
        <v>4</v>
      </c>
    </row>
    <row r="75" spans="1:21" ht="12.75" customHeight="1">
      <c r="A75" s="217" t="s">
        <v>336</v>
      </c>
      <c r="B75" s="15">
        <f>SUM(B76:B77)</f>
        <v>75359</v>
      </c>
      <c r="C75" s="15">
        <f>C76+C77</f>
        <v>67845</v>
      </c>
      <c r="D75" s="15">
        <f>SUM(D76:D77)</f>
        <v>66114</v>
      </c>
      <c r="E75" s="16">
        <f t="shared" si="2"/>
        <v>87.73205589246142</v>
      </c>
      <c r="F75" s="16">
        <f t="shared" si="3"/>
        <v>97.44859606455893</v>
      </c>
      <c r="G75" s="15">
        <f>D75-'[5]oktobris'!D75</f>
        <v>9271.419999999998</v>
      </c>
      <c r="H75" s="217" t="s">
        <v>336</v>
      </c>
      <c r="I75" s="15">
        <f>SUM(I76:I77)</f>
        <v>75</v>
      </c>
      <c r="J75" s="15">
        <f>SUM(J76:J77)</f>
        <v>68</v>
      </c>
      <c r="K75" s="15">
        <f>SUM(K76:K77)</f>
        <v>66</v>
      </c>
      <c r="L75" s="144">
        <f t="shared" si="6"/>
        <v>88</v>
      </c>
      <c r="M75" s="144">
        <f t="shared" si="7"/>
        <v>97.05882352941177</v>
      </c>
      <c r="N75" s="15">
        <v>9</v>
      </c>
      <c r="O75" s="131" t="str">
        <f aca="true" t="shared" si="22" ref="O75:O97">H75</f>
        <v>Centrālā vēlēšanu komisija</v>
      </c>
      <c r="P75" s="131">
        <f aca="true" t="shared" si="23" ref="P75:P97">K75</f>
        <v>66</v>
      </c>
      <c r="Q75" s="131">
        <v>57</v>
      </c>
      <c r="R75" s="3">
        <f t="shared" si="4"/>
        <v>9</v>
      </c>
      <c r="U75" s="3">
        <f t="shared" si="5"/>
        <v>9</v>
      </c>
    </row>
    <row r="76" spans="1:22" ht="12.75" customHeight="1">
      <c r="A76" s="159" t="s">
        <v>110</v>
      </c>
      <c r="B76" s="212">
        <v>73359</v>
      </c>
      <c r="C76" s="212">
        <v>65845</v>
      </c>
      <c r="D76" s="212">
        <v>64349</v>
      </c>
      <c r="E76" s="210">
        <f t="shared" si="2"/>
        <v>87.71793508635614</v>
      </c>
      <c r="F76" s="210">
        <f t="shared" si="3"/>
        <v>97.72799757005087</v>
      </c>
      <c r="G76" s="212">
        <f>D76-'[5]oktobris'!D76</f>
        <v>9271.71</v>
      </c>
      <c r="H76" s="159" t="s">
        <v>110</v>
      </c>
      <c r="I76" s="212">
        <f aca="true" t="shared" si="24" ref="I76:K77">ROUND(B76/1000,0)</f>
        <v>73</v>
      </c>
      <c r="J76" s="212">
        <f t="shared" si="24"/>
        <v>66</v>
      </c>
      <c r="K76" s="212">
        <f t="shared" si="24"/>
        <v>64</v>
      </c>
      <c r="L76" s="153">
        <f t="shared" si="6"/>
        <v>87.67123287671232</v>
      </c>
      <c r="M76" s="153">
        <f t="shared" si="7"/>
        <v>96.96969696969697</v>
      </c>
      <c r="N76" s="212">
        <v>9</v>
      </c>
      <c r="O76" s="131" t="str">
        <f t="shared" si="22"/>
        <v>     Uzturēšanas izdevumi</v>
      </c>
      <c r="P76" s="131">
        <f t="shared" si="23"/>
        <v>64</v>
      </c>
      <c r="Q76" s="131">
        <v>55</v>
      </c>
      <c r="R76" s="3">
        <f t="shared" si="4"/>
        <v>9</v>
      </c>
      <c r="U76" s="3">
        <f t="shared" si="5"/>
        <v>9</v>
      </c>
      <c r="V76" s="3">
        <f>U76</f>
        <v>9</v>
      </c>
    </row>
    <row r="77" spans="1:23" ht="12.75" customHeight="1">
      <c r="A77" s="159" t="s">
        <v>111</v>
      </c>
      <c r="B77" s="212">
        <v>2000</v>
      </c>
      <c r="C77" s="212">
        <v>2000</v>
      </c>
      <c r="D77" s="212">
        <v>1765</v>
      </c>
      <c r="E77" s="210">
        <f aca="true" t="shared" si="25" ref="E77:E97">IF(ISERROR(D77/B77)," ",(D77/B77))*100</f>
        <v>88.25</v>
      </c>
      <c r="F77" s="210">
        <f aca="true" t="shared" si="26" ref="F77:F97">IF(ISERROR(D77/C77)," ",(D77/C77))*100</f>
        <v>88.25</v>
      </c>
      <c r="G77" s="212">
        <f>D77-'[5]oktobris'!D77</f>
        <v>-0.2899999999999636</v>
      </c>
      <c r="H77" s="159" t="s">
        <v>111</v>
      </c>
      <c r="I77" s="212">
        <f t="shared" si="24"/>
        <v>2</v>
      </c>
      <c r="J77" s="212">
        <f t="shared" si="24"/>
        <v>2</v>
      </c>
      <c r="K77" s="212">
        <f t="shared" si="24"/>
        <v>2</v>
      </c>
      <c r="L77" s="153">
        <f t="shared" si="6"/>
        <v>100</v>
      </c>
      <c r="M77" s="153">
        <f t="shared" si="7"/>
        <v>100</v>
      </c>
      <c r="N77" s="212">
        <v>0</v>
      </c>
      <c r="O77" s="131" t="str">
        <f t="shared" si="22"/>
        <v>     Izdevumi kapitālieguldījumiem</v>
      </c>
      <c r="P77" s="131">
        <f t="shared" si="23"/>
        <v>2</v>
      </c>
      <c r="Q77" s="131">
        <v>2</v>
      </c>
      <c r="R77" s="3">
        <f t="shared" si="4"/>
        <v>0</v>
      </c>
      <c r="U77" s="3">
        <f t="shared" si="5"/>
        <v>0</v>
      </c>
      <c r="W77" s="3">
        <f>U77</f>
        <v>0</v>
      </c>
    </row>
    <row r="78" spans="1:21" ht="12.75" customHeight="1">
      <c r="A78" s="121" t="s">
        <v>337</v>
      </c>
      <c r="B78" s="15">
        <f>SUM(B79)</f>
        <v>50299</v>
      </c>
      <c r="C78" s="15">
        <f>SUM(C79)</f>
        <v>46899</v>
      </c>
      <c r="D78" s="15">
        <f>SUM(D79)</f>
        <v>42670</v>
      </c>
      <c r="E78" s="16">
        <f t="shared" si="25"/>
        <v>84.83270045130122</v>
      </c>
      <c r="F78" s="16">
        <f t="shared" si="26"/>
        <v>90.98275016524873</v>
      </c>
      <c r="G78" s="15">
        <f>D78-'[5]oktobris'!D78</f>
        <v>4620.010000000002</v>
      </c>
      <c r="H78" s="121" t="s">
        <v>337</v>
      </c>
      <c r="I78" s="15">
        <f>SUM(I79)</f>
        <v>50</v>
      </c>
      <c r="J78" s="15">
        <f>SUM(J79)</f>
        <v>47</v>
      </c>
      <c r="K78" s="15">
        <f>SUM(K79)</f>
        <v>43</v>
      </c>
      <c r="L78" s="144">
        <f t="shared" si="6"/>
        <v>86</v>
      </c>
      <c r="M78" s="144">
        <f t="shared" si="7"/>
        <v>91.48936170212765</v>
      </c>
      <c r="N78" s="15">
        <v>5</v>
      </c>
      <c r="O78" s="131" t="str">
        <f t="shared" si="22"/>
        <v>Centrālā zemes komisija</v>
      </c>
      <c r="P78" s="131">
        <f t="shared" si="23"/>
        <v>43</v>
      </c>
      <c r="Q78" s="131">
        <v>38</v>
      </c>
      <c r="R78" s="3">
        <f aca="true" t="shared" si="27" ref="R78:R97">P78-Q78</f>
        <v>5</v>
      </c>
      <c r="U78" s="3">
        <f aca="true" t="shared" si="28" ref="U78:U97">P78-Q78</f>
        <v>5</v>
      </c>
    </row>
    <row r="79" spans="1:22" ht="12.75" customHeight="1">
      <c r="A79" s="159" t="s">
        <v>110</v>
      </c>
      <c r="B79" s="212">
        <v>50299</v>
      </c>
      <c r="C79" s="212">
        <v>46899</v>
      </c>
      <c r="D79" s="212">
        <v>42670</v>
      </c>
      <c r="E79" s="210">
        <f t="shared" si="25"/>
        <v>84.83270045130122</v>
      </c>
      <c r="F79" s="210">
        <f t="shared" si="26"/>
        <v>90.98275016524873</v>
      </c>
      <c r="G79" s="212">
        <f>D79-'[5]oktobris'!D79</f>
        <v>4620.010000000002</v>
      </c>
      <c r="H79" s="159" t="s">
        <v>110</v>
      </c>
      <c r="I79" s="212">
        <f>ROUND(B79/1000,0)</f>
        <v>50</v>
      </c>
      <c r="J79" s="212">
        <f>ROUND(C79/1000,0)</f>
        <v>47</v>
      </c>
      <c r="K79" s="212">
        <f>ROUND(D79/1000,0)</f>
        <v>43</v>
      </c>
      <c r="L79" s="153">
        <f t="shared" si="6"/>
        <v>86</v>
      </c>
      <c r="M79" s="153">
        <f t="shared" si="7"/>
        <v>91.48936170212765</v>
      </c>
      <c r="N79" s="212">
        <v>5</v>
      </c>
      <c r="O79" s="131" t="str">
        <f t="shared" si="22"/>
        <v>     Uzturēšanas izdevumi</v>
      </c>
      <c r="P79" s="131">
        <f t="shared" si="23"/>
        <v>43</v>
      </c>
      <c r="Q79" s="131">
        <v>38</v>
      </c>
      <c r="R79" s="3">
        <f t="shared" si="27"/>
        <v>5</v>
      </c>
      <c r="U79" s="3">
        <f t="shared" si="28"/>
        <v>5</v>
      </c>
      <c r="V79" s="3">
        <f>U79</f>
        <v>5</v>
      </c>
    </row>
    <row r="80" spans="1:21" ht="12.75" customHeight="1">
      <c r="A80" s="121" t="s">
        <v>338</v>
      </c>
      <c r="B80" s="15">
        <f>SUM(B81)</f>
        <v>1706013</v>
      </c>
      <c r="C80" s="15">
        <f>0+C81</f>
        <v>785174</v>
      </c>
      <c r="D80" s="15">
        <f>SUM(D81)</f>
        <v>785174</v>
      </c>
      <c r="E80" s="16">
        <f t="shared" si="25"/>
        <v>46.0239165821128</v>
      </c>
      <c r="F80" s="16">
        <f t="shared" si="26"/>
        <v>100</v>
      </c>
      <c r="G80" s="15">
        <f>G81</f>
        <v>188788</v>
      </c>
      <c r="H80" s="121" t="s">
        <v>338</v>
      </c>
      <c r="I80" s="15">
        <f>SUM(I81)</f>
        <v>1706</v>
      </c>
      <c r="J80" s="15">
        <f>SUM(J81)</f>
        <v>785</v>
      </c>
      <c r="K80" s="15">
        <f>SUM(K81)</f>
        <v>785</v>
      </c>
      <c r="L80" s="144">
        <f aca="true" t="shared" si="29" ref="L80:L97">IF(ISERROR(ROUND(K80,0)/ROUND(I80,0))," ",(ROUND(K80,)/ROUND(I80,)))*100</f>
        <v>46.01406799531067</v>
      </c>
      <c r="M80" s="144">
        <f aca="true" t="shared" si="30" ref="M80:M97">IF(ISERROR(ROUND(K80,0)/ROUND(J80,0))," ",(ROUND(K80,)/ROUND(J80,)))*100</f>
        <v>100</v>
      </c>
      <c r="N80" s="15">
        <v>92</v>
      </c>
      <c r="O80" s="131" t="str">
        <f t="shared" si="22"/>
        <v>Satversmes aizsardzības birojs</v>
      </c>
      <c r="P80" s="131">
        <f t="shared" si="23"/>
        <v>785</v>
      </c>
      <c r="Q80" s="131">
        <v>693</v>
      </c>
      <c r="R80" s="3">
        <f t="shared" si="27"/>
        <v>92</v>
      </c>
      <c r="U80" s="3">
        <f t="shared" si="28"/>
        <v>92</v>
      </c>
    </row>
    <row r="81" spans="1:22" ht="12.75" customHeight="1">
      <c r="A81" s="159" t="s">
        <v>110</v>
      </c>
      <c r="B81" s="212">
        <v>1706013</v>
      </c>
      <c r="C81" s="212">
        <v>785174</v>
      </c>
      <c r="D81" s="212">
        <v>785174</v>
      </c>
      <c r="E81" s="210">
        <f t="shared" si="25"/>
        <v>46.0239165821128</v>
      </c>
      <c r="F81" s="210">
        <f t="shared" si="26"/>
        <v>100</v>
      </c>
      <c r="G81" s="212">
        <f>D81-'[5]Septembris'!D81</f>
        <v>188788</v>
      </c>
      <c r="H81" s="159" t="s">
        <v>110</v>
      </c>
      <c r="I81" s="212">
        <f>ROUND(B81/1000,0)</f>
        <v>1706</v>
      </c>
      <c r="J81" s="212">
        <f>ROUND(C81/1000,0)</f>
        <v>785</v>
      </c>
      <c r="K81" s="212">
        <f>ROUND(D81/1000,0)</f>
        <v>785</v>
      </c>
      <c r="L81" s="153">
        <f t="shared" si="29"/>
        <v>46.01406799531067</v>
      </c>
      <c r="M81" s="153">
        <f t="shared" si="30"/>
        <v>100</v>
      </c>
      <c r="N81" s="212">
        <v>92</v>
      </c>
      <c r="O81" s="131" t="str">
        <f t="shared" si="22"/>
        <v>     Uzturēšanas izdevumi</v>
      </c>
      <c r="P81" s="131">
        <f t="shared" si="23"/>
        <v>785</v>
      </c>
      <c r="Q81" s="131">
        <v>693</v>
      </c>
      <c r="R81" s="3">
        <f t="shared" si="27"/>
        <v>92</v>
      </c>
      <c r="U81" s="3">
        <f t="shared" si="28"/>
        <v>92</v>
      </c>
      <c r="V81" s="3">
        <f>U81</f>
        <v>92</v>
      </c>
    </row>
    <row r="82" spans="1:21" ht="12.75" customHeight="1">
      <c r="A82" s="26" t="s">
        <v>339</v>
      </c>
      <c r="B82" s="15">
        <f>SUM(B83:B84)</f>
        <v>7257739</v>
      </c>
      <c r="C82" s="15">
        <f>SUM(C83:C84)</f>
        <v>6232454</v>
      </c>
      <c r="D82" s="215">
        <f>SUM(D83:D84)</f>
        <v>6226786</v>
      </c>
      <c r="E82" s="16">
        <f t="shared" si="25"/>
        <v>85.79512159365335</v>
      </c>
      <c r="F82" s="16">
        <f t="shared" si="26"/>
        <v>99.90905668938753</v>
      </c>
      <c r="G82" s="15">
        <f>SUM(G83:G84)</f>
        <v>547060.9200000004</v>
      </c>
      <c r="H82" s="26" t="s">
        <v>339</v>
      </c>
      <c r="I82" s="15">
        <f>SUM(I83:I84)</f>
        <v>7257</v>
      </c>
      <c r="J82" s="15">
        <f>SUM(J83:J84)</f>
        <v>6232</v>
      </c>
      <c r="K82" s="15">
        <f>SUM(K83:K84)</f>
        <v>6227</v>
      </c>
      <c r="L82" s="144">
        <f t="shared" si="29"/>
        <v>85.80680722061457</v>
      </c>
      <c r="M82" s="144">
        <f t="shared" si="30"/>
        <v>99.91976893453145</v>
      </c>
      <c r="N82" s="15">
        <v>547</v>
      </c>
      <c r="O82" s="131" t="str">
        <f t="shared" si="22"/>
        <v>Radio un televīzija</v>
      </c>
      <c r="P82" s="131">
        <f t="shared" si="23"/>
        <v>6227</v>
      </c>
      <c r="Q82" s="131">
        <v>5680</v>
      </c>
      <c r="R82" s="3">
        <f t="shared" si="27"/>
        <v>547</v>
      </c>
      <c r="U82" s="3">
        <f t="shared" si="28"/>
        <v>547</v>
      </c>
    </row>
    <row r="83" spans="1:22" ht="12.75" customHeight="1">
      <c r="A83" s="159" t="s">
        <v>110</v>
      </c>
      <c r="B83" s="212">
        <v>7049739</v>
      </c>
      <c r="C83" s="212">
        <v>6024454</v>
      </c>
      <c r="D83" s="212">
        <v>6018791</v>
      </c>
      <c r="E83" s="210">
        <f t="shared" si="25"/>
        <v>85.37608271738854</v>
      </c>
      <c r="F83" s="210">
        <f t="shared" si="26"/>
        <v>99.90599978022905</v>
      </c>
      <c r="G83" s="212">
        <f>D83-'[5]oktobris'!D83</f>
        <v>545956.3600000003</v>
      </c>
      <c r="H83" s="159" t="s">
        <v>110</v>
      </c>
      <c r="I83" s="212">
        <f aca="true" t="shared" si="31" ref="I83:K84">ROUND(B83/1000,0)</f>
        <v>7050</v>
      </c>
      <c r="J83" s="212">
        <f>ROUND(C83/1000,0)</f>
        <v>6024</v>
      </c>
      <c r="K83" s="212">
        <f t="shared" si="31"/>
        <v>6019</v>
      </c>
      <c r="L83" s="153">
        <f t="shared" si="29"/>
        <v>85.3758865248227</v>
      </c>
      <c r="M83" s="153">
        <f t="shared" si="30"/>
        <v>99.91699867197875</v>
      </c>
      <c r="N83" s="212">
        <v>546</v>
      </c>
      <c r="O83" s="131" t="str">
        <f t="shared" si="22"/>
        <v>     Uzturēšanas izdevumi</v>
      </c>
      <c r="P83" s="131">
        <f t="shared" si="23"/>
        <v>6019</v>
      </c>
      <c r="Q83" s="131">
        <v>5473</v>
      </c>
      <c r="R83" s="3">
        <f t="shared" si="27"/>
        <v>546</v>
      </c>
      <c r="U83" s="3">
        <f t="shared" si="28"/>
        <v>546</v>
      </c>
      <c r="V83" s="3">
        <f>U83</f>
        <v>546</v>
      </c>
    </row>
    <row r="84" spans="1:23" ht="12.75" customHeight="1">
      <c r="A84" s="159" t="s">
        <v>111</v>
      </c>
      <c r="B84" s="212">
        <v>208000</v>
      </c>
      <c r="C84" s="212">
        <v>208000</v>
      </c>
      <c r="D84" s="212">
        <v>207995</v>
      </c>
      <c r="E84" s="210">
        <f t="shared" si="25"/>
        <v>99.99759615384616</v>
      </c>
      <c r="F84" s="210">
        <f t="shared" si="26"/>
        <v>99.99759615384616</v>
      </c>
      <c r="G84" s="212">
        <f>D84-'[5]oktobris'!D84</f>
        <v>1104.5599999999977</v>
      </c>
      <c r="H84" s="159" t="s">
        <v>111</v>
      </c>
      <c r="I84" s="212">
        <f>ROUND(B84/1000,0)-1</f>
        <v>207</v>
      </c>
      <c r="J84" s="212">
        <f t="shared" si="31"/>
        <v>208</v>
      </c>
      <c r="K84" s="212">
        <f>ROUND(D84/1000,0)</f>
        <v>208</v>
      </c>
      <c r="L84" s="153">
        <f t="shared" si="29"/>
        <v>100.48309178743962</v>
      </c>
      <c r="M84" s="153">
        <f t="shared" si="30"/>
        <v>100</v>
      </c>
      <c r="N84" s="212">
        <v>1</v>
      </c>
      <c r="O84" s="131" t="str">
        <f t="shared" si="22"/>
        <v>     Izdevumi kapitālieguldījumiem</v>
      </c>
      <c r="P84" s="131">
        <f t="shared" si="23"/>
        <v>208</v>
      </c>
      <c r="Q84" s="131">
        <v>207</v>
      </c>
      <c r="R84" s="3">
        <f t="shared" si="27"/>
        <v>1</v>
      </c>
      <c r="U84" s="3">
        <f t="shared" si="28"/>
        <v>1</v>
      </c>
      <c r="W84" s="3">
        <f>U84</f>
        <v>1</v>
      </c>
    </row>
    <row r="85" spans="1:21" ht="12.75" customHeight="1">
      <c r="A85" s="121" t="s">
        <v>340</v>
      </c>
      <c r="B85" s="15">
        <f>SUM(B86)</f>
        <v>96621</v>
      </c>
      <c r="C85" s="15">
        <f>SUM(C86)</f>
        <v>88644</v>
      </c>
      <c r="D85" s="15">
        <f>SUM(D86)</f>
        <v>88643</v>
      </c>
      <c r="E85" s="16">
        <f t="shared" si="25"/>
        <v>91.74299582906407</v>
      </c>
      <c r="F85" s="16">
        <f t="shared" si="26"/>
        <v>99.99887189206264</v>
      </c>
      <c r="G85" s="15">
        <f>SUM(G86)</f>
        <v>7463</v>
      </c>
      <c r="H85" s="121" t="s">
        <v>340</v>
      </c>
      <c r="I85" s="15">
        <f>SUM(I86)</f>
        <v>97</v>
      </c>
      <c r="J85" s="15">
        <f>SUM(J86)</f>
        <v>89</v>
      </c>
      <c r="K85" s="15">
        <f>SUM(K86)</f>
        <v>89</v>
      </c>
      <c r="L85" s="144">
        <f t="shared" si="29"/>
        <v>91.75257731958763</v>
      </c>
      <c r="M85" s="144">
        <f t="shared" si="30"/>
        <v>100</v>
      </c>
      <c r="N85" s="15">
        <v>7</v>
      </c>
      <c r="O85" s="131" t="str">
        <f t="shared" si="22"/>
        <v>Valsts cilvēktiesību birojs</v>
      </c>
      <c r="P85" s="131">
        <f t="shared" si="23"/>
        <v>89</v>
      </c>
      <c r="Q85" s="131">
        <v>81</v>
      </c>
      <c r="R85" s="3">
        <f t="shared" si="27"/>
        <v>8</v>
      </c>
      <c r="U85" s="3">
        <f t="shared" si="28"/>
        <v>8</v>
      </c>
    </row>
    <row r="86" spans="1:22" ht="12.75" customHeight="1">
      <c r="A86" s="159" t="s">
        <v>110</v>
      </c>
      <c r="B86" s="212">
        <v>96621</v>
      </c>
      <c r="C86" s="212">
        <v>88644</v>
      </c>
      <c r="D86" s="212">
        <v>88643</v>
      </c>
      <c r="E86" s="210">
        <f t="shared" si="25"/>
        <v>91.74299582906407</v>
      </c>
      <c r="F86" s="210">
        <f t="shared" si="26"/>
        <v>99.99887189206264</v>
      </c>
      <c r="G86" s="212">
        <f>D86-'[5]oktobris'!D86</f>
        <v>7463</v>
      </c>
      <c r="H86" s="159" t="s">
        <v>110</v>
      </c>
      <c r="I86" s="212">
        <f>ROUND(B86/1000,0)</f>
        <v>97</v>
      </c>
      <c r="J86" s="212">
        <f>ROUND(C86/1000,0)</f>
        <v>89</v>
      </c>
      <c r="K86" s="212">
        <f>ROUND(D86/1000,0)</f>
        <v>89</v>
      </c>
      <c r="L86" s="153">
        <f t="shared" si="29"/>
        <v>91.75257731958763</v>
      </c>
      <c r="M86" s="153">
        <f t="shared" si="30"/>
        <v>100</v>
      </c>
      <c r="N86" s="212">
        <v>7</v>
      </c>
      <c r="O86" s="131" t="str">
        <f t="shared" si="22"/>
        <v>     Uzturēšanas izdevumi</v>
      </c>
      <c r="P86" s="131">
        <f t="shared" si="23"/>
        <v>89</v>
      </c>
      <c r="Q86" s="131">
        <v>81</v>
      </c>
      <c r="R86" s="3">
        <f t="shared" si="27"/>
        <v>8</v>
      </c>
      <c r="U86" s="3">
        <f t="shared" si="28"/>
        <v>8</v>
      </c>
      <c r="V86" s="3">
        <f>U86</f>
        <v>8</v>
      </c>
    </row>
    <row r="87" spans="1:21" ht="38.25" customHeight="1">
      <c r="A87" s="179" t="s">
        <v>127</v>
      </c>
      <c r="B87" s="15">
        <f>SUM(B88:B89)</f>
        <v>2961342</v>
      </c>
      <c r="C87" s="15">
        <f>SUM(C88:C89)</f>
        <v>2748982</v>
      </c>
      <c r="D87" s="215">
        <f>SUM(D88:D89)</f>
        <v>1328946</v>
      </c>
      <c r="E87" s="16">
        <f t="shared" si="25"/>
        <v>44.87647829936562</v>
      </c>
      <c r="F87" s="16">
        <f t="shared" si="26"/>
        <v>48.34320486638327</v>
      </c>
      <c r="G87" s="15">
        <f>D87-'[5]Septembris'!D87</f>
        <v>340621</v>
      </c>
      <c r="H87" s="179" t="s">
        <v>127</v>
      </c>
      <c r="I87" s="15">
        <f>SUM(I88:I89)</f>
        <v>2961</v>
      </c>
      <c r="J87" s="15">
        <f>SUM(J88:J89)</f>
        <v>2749</v>
      </c>
      <c r="K87" s="15">
        <f>SUM(K88:K89)</f>
        <v>1329</v>
      </c>
      <c r="L87" s="144">
        <f t="shared" si="29"/>
        <v>44.883485309017225</v>
      </c>
      <c r="M87" s="144">
        <f t="shared" si="30"/>
        <v>48.34485267369953</v>
      </c>
      <c r="N87" s="15">
        <v>254</v>
      </c>
      <c r="O87" s="131" t="str">
        <f t="shared" si="22"/>
        <v>Īpašu uzdevumu ministra sadarbībai  ar starptautiskajām finansu institūcijām sekretariāts</v>
      </c>
      <c r="P87" s="131">
        <f t="shared" si="23"/>
        <v>1329</v>
      </c>
      <c r="Q87" s="131">
        <v>1075</v>
      </c>
      <c r="R87" s="3">
        <f t="shared" si="27"/>
        <v>254</v>
      </c>
      <c r="U87" s="3">
        <f t="shared" si="28"/>
        <v>254</v>
      </c>
    </row>
    <row r="88" spans="1:22" ht="12.75" customHeight="1">
      <c r="A88" s="159" t="s">
        <v>110</v>
      </c>
      <c r="B88" s="212">
        <v>2957342</v>
      </c>
      <c r="C88" s="212">
        <v>2744982</v>
      </c>
      <c r="D88" s="212">
        <v>1324946</v>
      </c>
      <c r="E88" s="210">
        <f t="shared" si="25"/>
        <v>44.8019201025786</v>
      </c>
      <c r="F88" s="210">
        <f t="shared" si="26"/>
        <v>48.267930354370264</v>
      </c>
      <c r="G88" s="212">
        <f>D88-'[5]oktobris'!D88</f>
        <v>254262.72999999998</v>
      </c>
      <c r="H88" s="159" t="s">
        <v>110</v>
      </c>
      <c r="I88" s="212">
        <f aca="true" t="shared" si="32" ref="I88:K89">ROUND(B88/1000,0)</f>
        <v>2957</v>
      </c>
      <c r="J88" s="212">
        <f t="shared" si="32"/>
        <v>2745</v>
      </c>
      <c r="K88" s="212">
        <f>ROUND(D88/1000,0)</f>
        <v>1325</v>
      </c>
      <c r="L88" s="153">
        <f t="shared" si="29"/>
        <v>44.808927967534665</v>
      </c>
      <c r="M88" s="153">
        <f t="shared" si="30"/>
        <v>48.26958105646631</v>
      </c>
      <c r="N88" s="214">
        <v>254</v>
      </c>
      <c r="O88" s="131" t="str">
        <f t="shared" si="22"/>
        <v>     Uzturēšanas izdevumi</v>
      </c>
      <c r="P88" s="131">
        <f t="shared" si="23"/>
        <v>1325</v>
      </c>
      <c r="Q88" s="131">
        <v>1071</v>
      </c>
      <c r="R88" s="3">
        <f t="shared" si="27"/>
        <v>254</v>
      </c>
      <c r="U88" s="3">
        <f t="shared" si="28"/>
        <v>254</v>
      </c>
      <c r="V88" s="3">
        <f aca="true" t="shared" si="33" ref="V88:V97">U88</f>
        <v>254</v>
      </c>
    </row>
    <row r="89" spans="1:23" ht="12.75" customHeight="1">
      <c r="A89" s="159" t="s">
        <v>111</v>
      </c>
      <c r="B89" s="212">
        <v>4000</v>
      </c>
      <c r="C89" s="212">
        <v>4000</v>
      </c>
      <c r="D89" s="212">
        <v>4000</v>
      </c>
      <c r="E89" s="210">
        <f t="shared" si="25"/>
        <v>100</v>
      </c>
      <c r="F89" s="210">
        <f t="shared" si="26"/>
        <v>100</v>
      </c>
      <c r="G89" s="212">
        <f>D89-'[5]oktobris'!D89</f>
        <v>0</v>
      </c>
      <c r="H89" s="159" t="s">
        <v>111</v>
      </c>
      <c r="I89" s="212">
        <f t="shared" si="32"/>
        <v>4</v>
      </c>
      <c r="J89" s="212">
        <f t="shared" si="32"/>
        <v>4</v>
      </c>
      <c r="K89" s="212">
        <f t="shared" si="32"/>
        <v>4</v>
      </c>
      <c r="L89" s="153">
        <f t="shared" si="29"/>
        <v>100</v>
      </c>
      <c r="M89" s="153">
        <f t="shared" si="30"/>
        <v>100</v>
      </c>
      <c r="N89" s="214">
        <v>0</v>
      </c>
      <c r="O89" s="131" t="str">
        <f t="shared" si="22"/>
        <v>     Izdevumi kapitālieguldījumiem</v>
      </c>
      <c r="P89" s="131">
        <f t="shared" si="23"/>
        <v>4</v>
      </c>
      <c r="Q89" s="131">
        <v>4</v>
      </c>
      <c r="R89" s="3">
        <f t="shared" si="27"/>
        <v>0</v>
      </c>
      <c r="U89" s="3">
        <f t="shared" si="28"/>
        <v>0</v>
      </c>
      <c r="V89" s="3">
        <f t="shared" si="33"/>
        <v>0</v>
      </c>
      <c r="W89" s="3">
        <f>U89</f>
        <v>0</v>
      </c>
    </row>
    <row r="90" spans="1:21" ht="40.5" customHeight="1">
      <c r="A90" s="179" t="s">
        <v>341</v>
      </c>
      <c r="B90" s="15">
        <f>SUM(B91:B92)</f>
        <v>3311788</v>
      </c>
      <c r="C90" s="15">
        <f>SUM(C91:C92)</f>
        <v>2696828</v>
      </c>
      <c r="D90" s="215">
        <f>SUM(D91:D92)</f>
        <v>1331328</v>
      </c>
      <c r="E90" s="16">
        <f t="shared" si="25"/>
        <v>40.19967461685349</v>
      </c>
      <c r="F90" s="16">
        <f t="shared" si="26"/>
        <v>49.36644087053383</v>
      </c>
      <c r="G90" s="15">
        <f>SUM(G91:G92)</f>
        <v>90471.67000000007</v>
      </c>
      <c r="H90" s="179" t="s">
        <v>128</v>
      </c>
      <c r="I90" s="15">
        <f>SUM(I91:I92)</f>
        <v>3312</v>
      </c>
      <c r="J90" s="15">
        <f>SUM(J91:J92)</f>
        <v>2697</v>
      </c>
      <c r="K90" s="15">
        <f>SUM(K91:K92)</f>
        <v>1331</v>
      </c>
      <c r="L90" s="144">
        <f t="shared" si="29"/>
        <v>40.18719806763285</v>
      </c>
      <c r="M90" s="144">
        <f t="shared" si="30"/>
        <v>49.35113088616982</v>
      </c>
      <c r="N90" s="215">
        <v>90</v>
      </c>
      <c r="O90" s="131" t="str">
        <f t="shared" si="22"/>
        <v>Īpašu uzdevumu ministra valsts pārvaldes  un  pašvaldību  reformas jautājumos  sekretariāts</v>
      </c>
      <c r="P90" s="131">
        <f t="shared" si="23"/>
        <v>1331</v>
      </c>
      <c r="Q90" s="131">
        <v>1241</v>
      </c>
      <c r="R90" s="3">
        <f t="shared" si="27"/>
        <v>90</v>
      </c>
      <c r="U90" s="3">
        <f t="shared" si="28"/>
        <v>90</v>
      </c>
    </row>
    <row r="91" spans="1:22" ht="12.75" customHeight="1">
      <c r="A91" s="159" t="s">
        <v>110</v>
      </c>
      <c r="B91" s="212">
        <v>3038031</v>
      </c>
      <c r="C91" s="212">
        <v>2671271</v>
      </c>
      <c r="D91" s="212">
        <v>1314489</v>
      </c>
      <c r="E91" s="210">
        <f t="shared" si="25"/>
        <v>43.267794173265514</v>
      </c>
      <c r="F91" s="210">
        <f t="shared" si="26"/>
        <v>49.20837309280863</v>
      </c>
      <c r="G91" s="212">
        <f>D91-'[5]oktobris'!D91</f>
        <v>88602.58000000007</v>
      </c>
      <c r="H91" s="159" t="s">
        <v>110</v>
      </c>
      <c r="I91" s="212">
        <f aca="true" t="shared" si="34" ref="I91:K92">ROUND(B91/1000,0)</f>
        <v>3038</v>
      </c>
      <c r="J91" s="212">
        <f t="shared" si="34"/>
        <v>2671</v>
      </c>
      <c r="K91" s="212">
        <f>ROUND(D91/1000,0)</f>
        <v>1314</v>
      </c>
      <c r="L91" s="153">
        <f t="shared" si="29"/>
        <v>43.252139565503626</v>
      </c>
      <c r="M91" s="153">
        <f t="shared" si="30"/>
        <v>49.19505803070011</v>
      </c>
      <c r="N91" s="214">
        <v>88</v>
      </c>
      <c r="O91" s="131" t="str">
        <f t="shared" si="22"/>
        <v>     Uzturēšanas izdevumi</v>
      </c>
      <c r="P91" s="131">
        <f t="shared" si="23"/>
        <v>1314</v>
      </c>
      <c r="Q91" s="131">
        <v>1226</v>
      </c>
      <c r="R91" s="3">
        <f t="shared" si="27"/>
        <v>88</v>
      </c>
      <c r="U91" s="3">
        <f t="shared" si="28"/>
        <v>88</v>
      </c>
      <c r="V91" s="3">
        <f t="shared" si="33"/>
        <v>88</v>
      </c>
    </row>
    <row r="92" spans="1:23" ht="12.75" customHeight="1">
      <c r="A92" s="159" t="s">
        <v>111</v>
      </c>
      <c r="B92" s="212">
        <v>273757</v>
      </c>
      <c r="C92" s="212">
        <v>25557</v>
      </c>
      <c r="D92" s="212">
        <v>16839</v>
      </c>
      <c r="E92" s="210">
        <f t="shared" si="25"/>
        <v>6.151075588934712</v>
      </c>
      <c r="F92" s="210">
        <f t="shared" si="26"/>
        <v>65.8880150252377</v>
      </c>
      <c r="G92" s="212">
        <f>D92-'[5]oktobris'!D92</f>
        <v>1869.0900000000001</v>
      </c>
      <c r="H92" s="159" t="s">
        <v>111</v>
      </c>
      <c r="I92" s="212">
        <f t="shared" si="34"/>
        <v>274</v>
      </c>
      <c r="J92" s="212">
        <f>ROUND(C92/1000,0)</f>
        <v>26</v>
      </c>
      <c r="K92" s="212">
        <f t="shared" si="34"/>
        <v>17</v>
      </c>
      <c r="L92" s="153">
        <f t="shared" si="29"/>
        <v>6.204379562043796</v>
      </c>
      <c r="M92" s="153">
        <f t="shared" si="30"/>
        <v>65.38461538461539</v>
      </c>
      <c r="N92" s="214">
        <v>2</v>
      </c>
      <c r="O92" s="131" t="str">
        <f t="shared" si="22"/>
        <v>     Izdevumi kapitālieguldījumiem</v>
      </c>
      <c r="P92" s="131">
        <f t="shared" si="23"/>
        <v>17</v>
      </c>
      <c r="Q92" s="131">
        <v>15</v>
      </c>
      <c r="R92" s="3">
        <f t="shared" si="27"/>
        <v>2</v>
      </c>
      <c r="U92" s="3">
        <f t="shared" si="28"/>
        <v>2</v>
      </c>
      <c r="W92" s="3">
        <f>U92</f>
        <v>2</v>
      </c>
    </row>
    <row r="93" spans="1:21" ht="12.75" customHeight="1">
      <c r="A93" s="121" t="s">
        <v>342</v>
      </c>
      <c r="B93" s="15">
        <f>SUM(B94:B95)</f>
        <v>102584335</v>
      </c>
      <c r="C93" s="15">
        <f>SUM(C94:C95)</f>
        <v>93978132</v>
      </c>
      <c r="D93" s="15">
        <f>SUM(D94:D95)</f>
        <v>91663722</v>
      </c>
      <c r="E93" s="16">
        <f t="shared" si="25"/>
        <v>89.35450232240623</v>
      </c>
      <c r="F93" s="16">
        <f t="shared" si="26"/>
        <v>97.53728878118156</v>
      </c>
      <c r="G93" s="15">
        <f>SUM(G94:G95)</f>
        <v>9068075.85</v>
      </c>
      <c r="H93" s="121" t="s">
        <v>342</v>
      </c>
      <c r="I93" s="15">
        <f>SUM(I94:I95)</f>
        <v>102585</v>
      </c>
      <c r="J93" s="15">
        <f>SUM(J94:J95)</f>
        <v>93978</v>
      </c>
      <c r="K93" s="15">
        <f>SUM(K94:K95)</f>
        <v>91664</v>
      </c>
      <c r="L93" s="144">
        <f t="shared" si="29"/>
        <v>89.3541940829556</v>
      </c>
      <c r="M93" s="144">
        <f t="shared" si="30"/>
        <v>97.53772159441571</v>
      </c>
      <c r="N93" s="215">
        <v>9067</v>
      </c>
      <c r="O93" s="131" t="str">
        <f t="shared" si="22"/>
        <v>Mērķdotācijas pašvaldībām</v>
      </c>
      <c r="P93" s="131">
        <f t="shared" si="23"/>
        <v>91664</v>
      </c>
      <c r="Q93" s="131">
        <v>82596</v>
      </c>
      <c r="R93" s="3">
        <f t="shared" si="27"/>
        <v>9068</v>
      </c>
      <c r="U93" s="3">
        <f>P93-Q93-1</f>
        <v>9067</v>
      </c>
    </row>
    <row r="94" spans="1:22" ht="12.75" customHeight="1">
      <c r="A94" s="159" t="s">
        <v>110</v>
      </c>
      <c r="B94" s="212">
        <v>91869612</v>
      </c>
      <c r="C94" s="212">
        <v>83562959</v>
      </c>
      <c r="D94" s="212">
        <v>83556867</v>
      </c>
      <c r="E94" s="210">
        <f t="shared" si="25"/>
        <v>90.95158364226029</v>
      </c>
      <c r="F94" s="210">
        <f t="shared" si="26"/>
        <v>99.99270968851162</v>
      </c>
      <c r="G94" s="212">
        <f>D94-'[5]oktobris'!D94</f>
        <v>8191694</v>
      </c>
      <c r="H94" s="159" t="s">
        <v>110</v>
      </c>
      <c r="I94" s="212">
        <f aca="true" t="shared" si="35" ref="I94:K95">ROUND(B94/1000,0)</f>
        <v>91870</v>
      </c>
      <c r="J94" s="212">
        <f t="shared" si="35"/>
        <v>83563</v>
      </c>
      <c r="K94" s="212">
        <f t="shared" si="35"/>
        <v>83557</v>
      </c>
      <c r="L94" s="153">
        <f t="shared" si="29"/>
        <v>90.95134429084575</v>
      </c>
      <c r="M94" s="153">
        <f t="shared" si="30"/>
        <v>99.99281978866244</v>
      </c>
      <c r="N94" s="214">
        <v>8192</v>
      </c>
      <c r="O94" s="131" t="str">
        <f t="shared" si="22"/>
        <v>     Uzturēšanas izdevumi</v>
      </c>
      <c r="P94" s="131">
        <f t="shared" si="23"/>
        <v>83557</v>
      </c>
      <c r="Q94" s="131">
        <v>75365</v>
      </c>
      <c r="R94" s="3">
        <f t="shared" si="27"/>
        <v>8192</v>
      </c>
      <c r="U94" s="3">
        <f t="shared" si="28"/>
        <v>8192</v>
      </c>
      <c r="V94" s="3">
        <f t="shared" si="33"/>
        <v>8192</v>
      </c>
    </row>
    <row r="95" spans="1:23" ht="12.75" customHeight="1">
      <c r="A95" s="159" t="s">
        <v>111</v>
      </c>
      <c r="B95" s="212">
        <v>10714723</v>
      </c>
      <c r="C95" s="212">
        <v>10415173</v>
      </c>
      <c r="D95" s="212">
        <v>8106855</v>
      </c>
      <c r="E95" s="210">
        <f t="shared" si="25"/>
        <v>75.66089202679342</v>
      </c>
      <c r="F95" s="210">
        <f t="shared" si="26"/>
        <v>77.83696919868733</v>
      </c>
      <c r="G95" s="212">
        <f>D95-'[5]oktobris'!D95</f>
        <v>876381.8499999996</v>
      </c>
      <c r="H95" s="159" t="s">
        <v>111</v>
      </c>
      <c r="I95" s="212">
        <f t="shared" si="35"/>
        <v>10715</v>
      </c>
      <c r="J95" s="212">
        <f>ROUND(C95/1000,0)</f>
        <v>10415</v>
      </c>
      <c r="K95" s="212">
        <f>ROUND(D95/1000,0)</f>
        <v>8107</v>
      </c>
      <c r="L95" s="153">
        <f t="shared" si="29"/>
        <v>75.66028931404573</v>
      </c>
      <c r="M95" s="153">
        <f t="shared" si="30"/>
        <v>77.83965434469515</v>
      </c>
      <c r="N95" s="214">
        <v>875</v>
      </c>
      <c r="O95" s="131" t="str">
        <f t="shared" si="22"/>
        <v>     Izdevumi kapitālieguldījumiem</v>
      </c>
      <c r="P95" s="131">
        <f t="shared" si="23"/>
        <v>8107</v>
      </c>
      <c r="Q95" s="131">
        <v>7231</v>
      </c>
      <c r="R95" s="3">
        <f t="shared" si="27"/>
        <v>876</v>
      </c>
      <c r="U95" s="3">
        <f>P95-Q95-1</f>
        <v>875</v>
      </c>
      <c r="W95" s="3">
        <f>U95</f>
        <v>875</v>
      </c>
    </row>
    <row r="96" spans="1:21" ht="12.75" customHeight="1">
      <c r="A96" s="121" t="s">
        <v>343</v>
      </c>
      <c r="B96" s="15">
        <f>SUM(B97)</f>
        <v>7134173</v>
      </c>
      <c r="C96" s="15">
        <f>SUM(C97)</f>
        <v>6881543</v>
      </c>
      <c r="D96" s="15">
        <f>SUM(D97)</f>
        <v>6527761</v>
      </c>
      <c r="E96" s="16">
        <f t="shared" si="25"/>
        <v>91.49989774568125</v>
      </c>
      <c r="F96" s="16">
        <f t="shared" si="26"/>
        <v>94.85897276235868</v>
      </c>
      <c r="G96" s="15">
        <f>G97</f>
        <v>608949</v>
      </c>
      <c r="H96" s="121" t="s">
        <v>343</v>
      </c>
      <c r="I96" s="15">
        <f>SUM(I97)</f>
        <v>7134</v>
      </c>
      <c r="J96" s="15">
        <f>SUM(J97)</f>
        <v>6882</v>
      </c>
      <c r="K96" s="15">
        <f>SUM(K97)</f>
        <v>6528</v>
      </c>
      <c r="L96" s="144">
        <f t="shared" si="29"/>
        <v>91.50546677880573</v>
      </c>
      <c r="M96" s="144">
        <f t="shared" si="30"/>
        <v>94.85614646904969</v>
      </c>
      <c r="N96" s="215">
        <v>609</v>
      </c>
      <c r="O96" s="131" t="str">
        <f t="shared" si="22"/>
        <v>Dotācija pašvaldībām</v>
      </c>
      <c r="P96" s="131">
        <f t="shared" si="23"/>
        <v>6528</v>
      </c>
      <c r="Q96" s="131">
        <v>5919</v>
      </c>
      <c r="R96" s="3">
        <f t="shared" si="27"/>
        <v>609</v>
      </c>
      <c r="U96" s="3">
        <f t="shared" si="28"/>
        <v>609</v>
      </c>
    </row>
    <row r="97" spans="1:22" ht="12.75" customHeight="1">
      <c r="A97" s="114" t="s">
        <v>110</v>
      </c>
      <c r="B97" s="212">
        <v>7134173</v>
      </c>
      <c r="C97" s="212">
        <v>6881543</v>
      </c>
      <c r="D97" s="212">
        <v>6527761</v>
      </c>
      <c r="E97" s="210">
        <f t="shared" si="25"/>
        <v>91.49989774568125</v>
      </c>
      <c r="F97" s="210">
        <f t="shared" si="26"/>
        <v>94.85897276235868</v>
      </c>
      <c r="G97" s="212">
        <f>D97-'[5]oktobris'!D97</f>
        <v>608949</v>
      </c>
      <c r="H97" s="114" t="s">
        <v>110</v>
      </c>
      <c r="I97" s="212">
        <f>ROUND(B97/1000,0)</f>
        <v>7134</v>
      </c>
      <c r="J97" s="212">
        <f>ROUND(C97/1000,0)</f>
        <v>6882</v>
      </c>
      <c r="K97" s="212">
        <f>ROUND(D97/1000,0)</f>
        <v>6528</v>
      </c>
      <c r="L97" s="153">
        <f t="shared" si="29"/>
        <v>91.50546677880573</v>
      </c>
      <c r="M97" s="153">
        <f t="shared" si="30"/>
        <v>94.85614646904969</v>
      </c>
      <c r="N97" s="212">
        <v>609</v>
      </c>
      <c r="O97" s="131" t="str">
        <f t="shared" si="22"/>
        <v>     Uzturēšanas izdevumi</v>
      </c>
      <c r="P97" s="131">
        <f t="shared" si="23"/>
        <v>6528</v>
      </c>
      <c r="Q97" s="131">
        <v>5919</v>
      </c>
      <c r="R97" s="3">
        <f t="shared" si="27"/>
        <v>609</v>
      </c>
      <c r="U97" s="3">
        <f t="shared" si="28"/>
        <v>609</v>
      </c>
      <c r="V97" s="3">
        <f t="shared" si="33"/>
        <v>609</v>
      </c>
    </row>
    <row r="98" spans="1:13" ht="12" customHeight="1">
      <c r="A98" s="218"/>
      <c r="B98" s="219"/>
      <c r="C98" s="219"/>
      <c r="D98" s="219"/>
      <c r="E98" s="220"/>
      <c r="F98" s="220"/>
      <c r="G98" s="3">
        <f>D98-'[5]Septembris'!D98</f>
        <v>0</v>
      </c>
      <c r="H98" s="218"/>
      <c r="I98" s="219"/>
      <c r="J98" s="219"/>
      <c r="K98" s="219"/>
      <c r="L98" s="221"/>
      <c r="M98" s="221"/>
    </row>
    <row r="99" spans="1:23" ht="12" customHeight="1">
      <c r="A99" s="218"/>
      <c r="B99" s="219"/>
      <c r="C99" s="219"/>
      <c r="D99" s="219"/>
      <c r="E99" s="222"/>
      <c r="F99" s="223"/>
      <c r="H99" s="1"/>
      <c r="I99" s="93"/>
      <c r="J99" s="92"/>
      <c r="K99" s="224"/>
      <c r="L99" s="225"/>
      <c r="M99" s="226"/>
      <c r="V99" s="3">
        <f>SUM(V17:V98)</f>
        <v>64118</v>
      </c>
      <c r="W99" s="3">
        <f>SUM(W17:W98)</f>
        <v>6310</v>
      </c>
    </row>
    <row r="100" spans="1:13" ht="12" customHeight="1">
      <c r="A100" s="1" t="s">
        <v>344</v>
      </c>
      <c r="B100" s="93"/>
      <c r="C100" s="92"/>
      <c r="D100" s="224"/>
      <c r="E100" s="224"/>
      <c r="F100" s="227"/>
      <c r="L100" s="228"/>
      <c r="M100" s="228"/>
    </row>
    <row r="101" spans="2:14" ht="12" customHeight="1">
      <c r="B101" s="90"/>
      <c r="C101" s="89" t="s">
        <v>345</v>
      </c>
      <c r="D101" s="89"/>
      <c r="E101" s="198"/>
      <c r="F101" s="229"/>
      <c r="I101" s="1"/>
      <c r="J101" s="93"/>
      <c r="K101" s="92"/>
      <c r="L101" s="224"/>
      <c r="M101" s="224"/>
      <c r="N101" s="229"/>
    </row>
    <row r="102" spans="2:13" ht="12" customHeight="1">
      <c r="B102" s="90"/>
      <c r="C102" s="89"/>
      <c r="D102" s="89"/>
      <c r="E102" s="198"/>
      <c r="F102" s="229"/>
      <c r="H102" s="3" t="s">
        <v>346</v>
      </c>
      <c r="I102" s="88"/>
      <c r="J102" s="128"/>
      <c r="K102" s="89"/>
      <c r="M102" s="224"/>
    </row>
    <row r="103" spans="2:19" ht="12" customHeight="1">
      <c r="B103" s="90"/>
      <c r="C103" s="89"/>
      <c r="D103" s="89"/>
      <c r="E103" s="198"/>
      <c r="F103" s="229"/>
      <c r="M103" s="224"/>
      <c r="P103" s="90"/>
      <c r="Q103" s="89"/>
      <c r="R103" s="89"/>
      <c r="S103" s="198"/>
    </row>
    <row r="104" spans="2:13" ht="12" customHeight="1">
      <c r="B104" s="90"/>
      <c r="C104" s="89"/>
      <c r="D104" s="89"/>
      <c r="E104" s="198"/>
      <c r="F104" s="229"/>
      <c r="J104" s="89"/>
      <c r="K104" s="89"/>
      <c r="L104" s="198"/>
      <c r="M104" s="224"/>
    </row>
    <row r="105" ht="12.75">
      <c r="M105" s="224"/>
    </row>
    <row r="106" spans="3:4" ht="12.75">
      <c r="C106" s="89"/>
      <c r="D106" s="89"/>
    </row>
    <row r="110" ht="12.75">
      <c r="A110" s="3" t="s">
        <v>137</v>
      </c>
    </row>
    <row r="111" ht="12.75">
      <c r="A111" s="3" t="s">
        <v>347</v>
      </c>
    </row>
    <row r="113" ht="12.75">
      <c r="H113" s="50" t="s">
        <v>137</v>
      </c>
    </row>
    <row r="114" ht="12.75">
      <c r="H114" s="50" t="s">
        <v>348</v>
      </c>
    </row>
    <row r="115" spans="3:4" ht="12.75">
      <c r="C115" s="89"/>
      <c r="D115" s="89"/>
    </row>
    <row r="116" spans="3:4" ht="12.75">
      <c r="C116" s="89"/>
      <c r="D116" s="89"/>
    </row>
  </sheetData>
  <mergeCells count="5">
    <mergeCell ref="H9:M9"/>
    <mergeCell ref="A5:F5"/>
    <mergeCell ref="H5:M5"/>
    <mergeCell ref="A6:F6"/>
    <mergeCell ref="H6:M6"/>
  </mergeCells>
  <printOptions/>
  <pageMargins left="0.75" right="0.19" top="0.17" bottom="0.54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76"/>
  <sheetViews>
    <sheetView workbookViewId="0" topLeftCell="H1">
      <selection activeCell="A9" sqref="A9"/>
    </sheetView>
  </sheetViews>
  <sheetFormatPr defaultColWidth="9.140625" defaultRowHeight="12.75"/>
  <cols>
    <col min="1" max="1" width="38.00390625" style="3" hidden="1" customWidth="1"/>
    <col min="2" max="2" width="15.00390625" style="3" hidden="1" customWidth="1"/>
    <col min="3" max="3" width="12.7109375" style="3" hidden="1" customWidth="1"/>
    <col min="4" max="4" width="14.140625" style="230" hidden="1" customWidth="1"/>
    <col min="5" max="5" width="10.28125" style="0" hidden="1" customWidth="1"/>
    <col min="6" max="6" width="13.8515625" style="0" hidden="1" customWidth="1"/>
    <col min="7" max="7" width="13.140625" style="231" hidden="1" customWidth="1"/>
    <col min="8" max="8" width="37.28125" style="0" customWidth="1"/>
    <col min="9" max="9" width="11.421875" style="0" customWidth="1"/>
    <col min="10" max="10" width="12.140625" style="232" customWidth="1"/>
    <col min="11" max="11" width="8.28125" style="232" customWidth="1"/>
    <col min="12" max="12" width="7.421875" style="0" customWidth="1"/>
    <col min="13" max="13" width="9.28125" style="0" customWidth="1"/>
    <col min="15" max="15" width="42.28125" style="0" hidden="1" customWidth="1"/>
  </cols>
  <sheetData>
    <row r="2" spans="1:14" ht="12.75">
      <c r="A2" s="1" t="s">
        <v>349</v>
      </c>
      <c r="B2" s="1"/>
      <c r="C2" s="1"/>
      <c r="F2" t="s">
        <v>350</v>
      </c>
      <c r="I2" s="1" t="s">
        <v>349</v>
      </c>
      <c r="K2" s="1"/>
      <c r="N2" t="s">
        <v>350</v>
      </c>
    </row>
    <row r="3" spans="1:11" ht="12.75">
      <c r="A3" s="25"/>
      <c r="J3" s="25"/>
      <c r="K3" s="3"/>
    </row>
    <row r="4" spans="1:11" ht="12.75">
      <c r="A4" s="130" t="s">
        <v>351</v>
      </c>
      <c r="B4" s="1"/>
      <c r="C4" s="1"/>
      <c r="I4" s="130" t="s">
        <v>351</v>
      </c>
      <c r="K4" s="1"/>
    </row>
    <row r="5" spans="1:11" ht="12.75">
      <c r="A5" s="130" t="s">
        <v>352</v>
      </c>
      <c r="B5" s="1"/>
      <c r="C5" s="1"/>
      <c r="I5" s="130" t="s">
        <v>352</v>
      </c>
      <c r="K5" s="1"/>
    </row>
    <row r="6" spans="1:11" ht="12.75">
      <c r="A6" s="130" t="s">
        <v>353</v>
      </c>
      <c r="B6" s="1"/>
      <c r="C6" s="1"/>
      <c r="I6" s="130" t="s">
        <v>353</v>
      </c>
      <c r="K6" s="1"/>
    </row>
    <row r="7" spans="1:14" ht="12.75">
      <c r="A7" s="130"/>
      <c r="B7" s="1"/>
      <c r="C7" s="1"/>
      <c r="J7" s="130"/>
      <c r="K7" s="1"/>
      <c r="N7" s="50" t="s">
        <v>185</v>
      </c>
    </row>
    <row r="8" spans="4:11" ht="5.25" customHeight="1">
      <c r="D8" s="233"/>
      <c r="H8" s="3"/>
      <c r="I8" s="3"/>
      <c r="J8" s="7"/>
      <c r="K8" s="234"/>
    </row>
    <row r="9" spans="1:15" s="4" customFormat="1" ht="69.75" customHeight="1">
      <c r="A9" s="133" t="s">
        <v>101</v>
      </c>
      <c r="B9" s="133" t="s">
        <v>102</v>
      </c>
      <c r="C9" s="113" t="s">
        <v>354</v>
      </c>
      <c r="D9" s="235" t="s">
        <v>104</v>
      </c>
      <c r="E9" s="113" t="s">
        <v>355</v>
      </c>
      <c r="F9" s="236" t="s">
        <v>356</v>
      </c>
      <c r="G9" s="237" t="s">
        <v>357</v>
      </c>
      <c r="H9" s="133" t="s">
        <v>101</v>
      </c>
      <c r="I9" s="133" t="s">
        <v>102</v>
      </c>
      <c r="J9" s="133" t="s">
        <v>354</v>
      </c>
      <c r="K9" s="133" t="s">
        <v>104</v>
      </c>
      <c r="L9" s="133" t="s">
        <v>355</v>
      </c>
      <c r="M9" s="133" t="s">
        <v>358</v>
      </c>
      <c r="N9" s="133" t="s">
        <v>357</v>
      </c>
      <c r="O9" s="133" t="s">
        <v>101</v>
      </c>
    </row>
    <row r="10" spans="1:15" ht="15" customHeight="1">
      <c r="A10" s="133">
        <v>1</v>
      </c>
      <c r="B10" s="133">
        <v>2</v>
      </c>
      <c r="C10" s="138">
        <v>3</v>
      </c>
      <c r="D10" s="238">
        <v>4</v>
      </c>
      <c r="E10" s="166">
        <v>5</v>
      </c>
      <c r="F10" s="166">
        <v>6</v>
      </c>
      <c r="G10" s="239">
        <v>7</v>
      </c>
      <c r="H10" s="131">
        <v>1</v>
      </c>
      <c r="I10" s="131">
        <v>2</v>
      </c>
      <c r="J10" s="131">
        <v>3</v>
      </c>
      <c r="K10" s="131">
        <v>4</v>
      </c>
      <c r="L10" s="131">
        <v>5</v>
      </c>
      <c r="M10" s="131">
        <v>6</v>
      </c>
      <c r="N10" s="131">
        <v>7</v>
      </c>
      <c r="O10" s="131">
        <v>1</v>
      </c>
    </row>
    <row r="11" spans="1:15" ht="15" customHeight="1">
      <c r="A11" s="38" t="s">
        <v>359</v>
      </c>
      <c r="B11" s="240">
        <v>706682046</v>
      </c>
      <c r="C11" s="138"/>
      <c r="D11" s="238">
        <v>618745869</v>
      </c>
      <c r="E11" s="241">
        <f>IF(ISERROR(D11/B11)," ",(D11/B11))*100</f>
        <v>87.55647217900312</v>
      </c>
      <c r="F11" s="242"/>
      <c r="G11" s="239"/>
      <c r="H11" s="121" t="s">
        <v>359</v>
      </c>
      <c r="I11" s="243">
        <f>ROUND(B11/1000,0)</f>
        <v>706682</v>
      </c>
      <c r="J11" s="244">
        <f>ROUND(C11/1000,0)</f>
        <v>0</v>
      </c>
      <c r="K11" s="244">
        <v>618745</v>
      </c>
      <c r="L11" s="144">
        <f>IF(ISERROR(K11/I11)," ",(K11/I11))*100</f>
        <v>87.55635490928026</v>
      </c>
      <c r="M11" s="16" t="str">
        <f>IF(ISERROR(ROUND(K11,0)/ROUND(J11,0))," ",(ROUND(K11,)/ROUND(J11,)))</f>
        <v> </v>
      </c>
      <c r="N11" s="162">
        <v>59058</v>
      </c>
      <c r="O11" s="121" t="s">
        <v>359</v>
      </c>
    </row>
    <row r="12" spans="1:15" ht="15" customHeight="1">
      <c r="A12" s="245" t="s">
        <v>360</v>
      </c>
      <c r="B12" s="246">
        <v>774357367</v>
      </c>
      <c r="C12" s="138">
        <f>C13+C14+C15+C16</f>
        <v>705252723</v>
      </c>
      <c r="D12" s="238">
        <f>SUM(D13:D16)</f>
        <v>683851533</v>
      </c>
      <c r="E12" s="241">
        <f>IF(ISERROR(D12/B12)," ",(D12/B12))*100</f>
        <v>88.31213624910215</v>
      </c>
      <c r="F12" s="241">
        <f>IF(ISERROR(D12/C12)," ",(D12/C12))*100</f>
        <v>96.96545801213446</v>
      </c>
      <c r="G12" s="239">
        <f>SUM(G13:G16)</f>
        <v>70316921.33</v>
      </c>
      <c r="H12" s="114" t="s">
        <v>360</v>
      </c>
      <c r="I12" s="247">
        <f aca="true" t="shared" si="0" ref="I12:J24">ROUND(B12/1000,0)</f>
        <v>774357</v>
      </c>
      <c r="J12" s="248">
        <f t="shared" si="0"/>
        <v>705253</v>
      </c>
      <c r="K12" s="249">
        <f>K13+K14+K15+K16</f>
        <v>683851</v>
      </c>
      <c r="L12" s="153">
        <f>IF(ISERROR(K12/I12)," ",(K12/I12))*100</f>
        <v>88.3121092725965</v>
      </c>
      <c r="M12" s="241">
        <f>IF(ISERROR(K12/J12)," ",(K12/J12))*100</f>
        <v>96.96534435160147</v>
      </c>
      <c r="N12" s="250">
        <f>N13+N14+N15+N16</f>
        <v>70317</v>
      </c>
      <c r="O12" s="114" t="s">
        <v>360</v>
      </c>
    </row>
    <row r="13" spans="1:15" ht="15" customHeight="1">
      <c r="A13" s="113" t="s">
        <v>361</v>
      </c>
      <c r="B13" s="149">
        <v>681702603</v>
      </c>
      <c r="C13" s="138">
        <v>622900257</v>
      </c>
      <c r="D13" s="138">
        <v>622900257</v>
      </c>
      <c r="E13" s="241">
        <f aca="true" t="shared" si="1" ref="E13:E20">IF(ISERROR(D13/B13)," ",(D13/B13))*100</f>
        <v>91.37419371127147</v>
      </c>
      <c r="F13" s="242">
        <f>IF(ISERROR(D13/C13)," ",(D13/C13))*100</f>
        <v>100</v>
      </c>
      <c r="G13" s="239">
        <f>D13-'[6]oktobri'!D13</f>
        <v>60339098</v>
      </c>
      <c r="H13" s="114" t="s">
        <v>361</v>
      </c>
      <c r="I13" s="247">
        <f t="shared" si="0"/>
        <v>681703</v>
      </c>
      <c r="J13" s="248">
        <f t="shared" si="0"/>
        <v>622900</v>
      </c>
      <c r="K13" s="248">
        <f>ROUND(D13/1000,0)</f>
        <v>622900</v>
      </c>
      <c r="L13" s="153">
        <f>IF(ISERROR(K13/I13)," ",(K13/I13))*100</f>
        <v>91.37410279843274</v>
      </c>
      <c r="M13" s="242">
        <f>IF(ISERROR(K13/J13)," ",(K13/J13))*100</f>
        <v>100</v>
      </c>
      <c r="N13" s="250">
        <f>K13-'[6]oktobri'!K13</f>
        <v>60339</v>
      </c>
      <c r="O13" s="114" t="s">
        <v>361</v>
      </c>
    </row>
    <row r="14" spans="1:15" ht="15" customHeight="1">
      <c r="A14" s="113" t="s">
        <v>362</v>
      </c>
      <c r="B14" s="149">
        <v>1107301</v>
      </c>
      <c r="C14" s="138">
        <v>873703</v>
      </c>
      <c r="D14" s="238">
        <v>331807</v>
      </c>
      <c r="E14" s="241">
        <f t="shared" si="1"/>
        <v>29.965384299300734</v>
      </c>
      <c r="F14" s="241">
        <f>IF(ISERROR(D14/C14)," ",(D14/C14))*100</f>
        <v>37.977092902279146</v>
      </c>
      <c r="G14" s="239">
        <f>D14-'[6]oktobri'!D14</f>
        <v>135699.33</v>
      </c>
      <c r="H14" s="114" t="s">
        <v>362</v>
      </c>
      <c r="I14" s="247">
        <f t="shared" si="0"/>
        <v>1107</v>
      </c>
      <c r="J14" s="248">
        <f t="shared" si="0"/>
        <v>874</v>
      </c>
      <c r="K14" s="248">
        <f>ROUND(D14/1000,0)</f>
        <v>332</v>
      </c>
      <c r="L14" s="153">
        <f>IF(ISERROR(K14/I14)," ",(K14/I14))*100</f>
        <v>29.99096657633243</v>
      </c>
      <c r="M14" s="241">
        <f>IF(ISERROR(K14/J14)," ",(K14/J14))*100</f>
        <v>37.986270022883296</v>
      </c>
      <c r="N14" s="250">
        <f>K14-'[6]oktobri'!K14</f>
        <v>136</v>
      </c>
      <c r="O14" s="114" t="s">
        <v>362</v>
      </c>
    </row>
    <row r="15" spans="1:15" ht="20.25" customHeight="1">
      <c r="A15" s="113" t="s">
        <v>363</v>
      </c>
      <c r="B15" s="149">
        <v>61661269</v>
      </c>
      <c r="C15" s="138">
        <v>55646275</v>
      </c>
      <c r="D15" s="238">
        <v>50995466</v>
      </c>
      <c r="E15" s="241">
        <f t="shared" si="1"/>
        <v>82.70258920555138</v>
      </c>
      <c r="F15" s="241">
        <f aca="true" t="shared" si="2" ref="F15:F20">IF(ISERROR(D15/C15)," ",(D15/C15))*100</f>
        <v>91.6421916830911</v>
      </c>
      <c r="G15" s="239">
        <f>D15-'[6]oktobri'!D15</f>
        <v>4635306</v>
      </c>
      <c r="H15" s="114" t="s">
        <v>363</v>
      </c>
      <c r="I15" s="247">
        <f t="shared" si="0"/>
        <v>61661</v>
      </c>
      <c r="J15" s="248">
        <f t="shared" si="0"/>
        <v>55646</v>
      </c>
      <c r="K15" s="248">
        <f>ROUND(D15/1000,0)</f>
        <v>50995</v>
      </c>
      <c r="L15" s="153">
        <f aca="true" t="shared" si="3" ref="L15:L20">IF(ISERROR(K15/I15)," ",(K15/I15))*100</f>
        <v>82.70219425568837</v>
      </c>
      <c r="M15" s="241">
        <f aca="true" t="shared" si="4" ref="M15:M20">IF(ISERROR(K15/J15)," ",(K15/J15))*100</f>
        <v>91.64180713797937</v>
      </c>
      <c r="N15" s="250">
        <f>K15-'[6]oktobri'!K15</f>
        <v>4635</v>
      </c>
      <c r="O15" s="114" t="s">
        <v>363</v>
      </c>
    </row>
    <row r="16" spans="1:15" ht="15" customHeight="1">
      <c r="A16" s="245" t="s">
        <v>364</v>
      </c>
      <c r="B16" s="157">
        <v>29886194</v>
      </c>
      <c r="C16" s="138">
        <v>25832488</v>
      </c>
      <c r="D16" s="251">
        <v>9624003</v>
      </c>
      <c r="E16" s="241">
        <f t="shared" si="1"/>
        <v>32.20217000532085</v>
      </c>
      <c r="F16" s="241">
        <f t="shared" si="2"/>
        <v>37.25542425491498</v>
      </c>
      <c r="G16" s="239">
        <f>D16-'[6]oktobri'!D16</f>
        <v>5206818</v>
      </c>
      <c r="H16" s="114" t="s">
        <v>365</v>
      </c>
      <c r="I16" s="247">
        <f t="shared" si="0"/>
        <v>29886</v>
      </c>
      <c r="J16" s="248">
        <f t="shared" si="0"/>
        <v>25832</v>
      </c>
      <c r="K16" s="248">
        <f>ROUND(D16/1000,0)</f>
        <v>9624</v>
      </c>
      <c r="L16" s="153">
        <f t="shared" si="3"/>
        <v>32.20236900220839</v>
      </c>
      <c r="M16" s="241">
        <f t="shared" si="4"/>
        <v>37.25611644471973</v>
      </c>
      <c r="N16" s="250">
        <f>K16-'[6]oktobri'!K16</f>
        <v>5207</v>
      </c>
      <c r="O16" s="114" t="s">
        <v>365</v>
      </c>
    </row>
    <row r="17" spans="1:15" ht="15" customHeight="1">
      <c r="A17" s="38" t="s">
        <v>366</v>
      </c>
      <c r="B17" s="164">
        <v>776755242</v>
      </c>
      <c r="C17" s="138">
        <f>C18+C41</f>
        <v>705904702</v>
      </c>
      <c r="D17" s="238">
        <f>SUM(D18,D41)</f>
        <v>666403237.65</v>
      </c>
      <c r="E17" s="241">
        <f t="shared" si="1"/>
        <v>85.79320764339302</v>
      </c>
      <c r="F17" s="241">
        <f t="shared" si="2"/>
        <v>94.40413638865377</v>
      </c>
      <c r="G17" s="239">
        <f>D17-'[6]oktobri'!C17</f>
        <v>24108978.649999976</v>
      </c>
      <c r="H17" s="121" t="s">
        <v>366</v>
      </c>
      <c r="I17" s="243">
        <f t="shared" si="0"/>
        <v>776755</v>
      </c>
      <c r="J17" s="244">
        <f t="shared" si="0"/>
        <v>705905</v>
      </c>
      <c r="K17" s="252">
        <f>SUM(K18,K41)</f>
        <v>666403</v>
      </c>
      <c r="L17" s="153">
        <f t="shared" si="3"/>
        <v>85.7932037772528</v>
      </c>
      <c r="M17" s="241">
        <f t="shared" si="4"/>
        <v>94.4040628696496</v>
      </c>
      <c r="N17" s="162">
        <f>N18+N41</f>
        <v>70426</v>
      </c>
      <c r="O17" s="121" t="s">
        <v>366</v>
      </c>
    </row>
    <row r="18" spans="1:15" ht="15" customHeight="1">
      <c r="A18" s="155" t="s">
        <v>367</v>
      </c>
      <c r="B18" s="240">
        <v>705633474</v>
      </c>
      <c r="C18" s="138">
        <f>C19+C24+C28</f>
        <v>641972914</v>
      </c>
      <c r="D18" s="238">
        <f>SUM(D19,D24,D28)</f>
        <v>615696770.65</v>
      </c>
      <c r="E18" s="241">
        <f t="shared" si="1"/>
        <v>87.25447322670522</v>
      </c>
      <c r="F18" s="241">
        <f t="shared" si="2"/>
        <v>95.90697009531463</v>
      </c>
      <c r="G18" s="239"/>
      <c r="H18" s="142" t="s">
        <v>367</v>
      </c>
      <c r="I18" s="243">
        <f t="shared" si="0"/>
        <v>705633</v>
      </c>
      <c r="J18" s="244">
        <f t="shared" si="0"/>
        <v>641973</v>
      </c>
      <c r="K18" s="252">
        <f>SUM(K19,K24,K28)</f>
        <v>615697</v>
      </c>
      <c r="L18" s="153">
        <f t="shared" si="3"/>
        <v>87.25456434152031</v>
      </c>
      <c r="M18" s="241">
        <f t="shared" si="4"/>
        <v>95.90699297322473</v>
      </c>
      <c r="N18" s="162">
        <f>N19+N24+N28</f>
        <v>64117</v>
      </c>
      <c r="O18" s="142" t="s">
        <v>367</v>
      </c>
    </row>
    <row r="19" spans="1:15" ht="15" customHeight="1">
      <c r="A19" s="19" t="s">
        <v>368</v>
      </c>
      <c r="B19" s="240">
        <v>366822085</v>
      </c>
      <c r="C19" s="138">
        <v>327595463</v>
      </c>
      <c r="D19" s="238">
        <f>D20+D21+D22+D23</f>
        <v>307533933.65</v>
      </c>
      <c r="E19" s="241">
        <f t="shared" si="1"/>
        <v>83.83735500821876</v>
      </c>
      <c r="F19" s="241">
        <f t="shared" si="2"/>
        <v>93.87612723134691</v>
      </c>
      <c r="G19" s="239">
        <f>D19-'[6]oktobri'!C19</f>
        <v>18093730.649999976</v>
      </c>
      <c r="H19" s="147" t="s">
        <v>368</v>
      </c>
      <c r="I19" s="243">
        <f t="shared" si="0"/>
        <v>366822</v>
      </c>
      <c r="J19" s="244">
        <f t="shared" si="0"/>
        <v>327595</v>
      </c>
      <c r="K19" s="253">
        <f>SUM(K20,K21,K22,K23)</f>
        <v>307534</v>
      </c>
      <c r="L19" s="153">
        <f t="shared" si="3"/>
        <v>83.83739252280398</v>
      </c>
      <c r="M19" s="241">
        <f t="shared" si="4"/>
        <v>93.87628016300616</v>
      </c>
      <c r="N19" s="162">
        <f>SUM(N20,N21,N22,N23)</f>
        <v>33055</v>
      </c>
      <c r="O19" s="147" t="s">
        <v>368</v>
      </c>
    </row>
    <row r="20" spans="1:15" ht="15" customHeight="1">
      <c r="A20" s="30" t="s">
        <v>369</v>
      </c>
      <c r="B20" s="254">
        <v>161478894</v>
      </c>
      <c r="C20" s="138">
        <v>147348938</v>
      </c>
      <c r="D20" s="238">
        <v>143571831</v>
      </c>
      <c r="E20" s="241">
        <f t="shared" si="1"/>
        <v>88.91058604847764</v>
      </c>
      <c r="F20" s="241">
        <f t="shared" si="2"/>
        <v>97.4366242123849</v>
      </c>
      <c r="G20" s="239">
        <f>D20-'[6]oktobri'!D20</f>
        <v>13955789</v>
      </c>
      <c r="H20" s="28" t="s">
        <v>369</v>
      </c>
      <c r="I20" s="247">
        <f t="shared" si="0"/>
        <v>161479</v>
      </c>
      <c r="J20" s="248">
        <f t="shared" si="0"/>
        <v>147349</v>
      </c>
      <c r="K20" s="248">
        <f>ROUND(D20/1000,0)</f>
        <v>143572</v>
      </c>
      <c r="L20" s="153">
        <f t="shared" si="3"/>
        <v>88.910632342286</v>
      </c>
      <c r="M20" s="241">
        <f t="shared" si="4"/>
        <v>97.43669790768855</v>
      </c>
      <c r="N20" s="250">
        <f>K20-'[6]oktobri'!K20</f>
        <v>13956</v>
      </c>
      <c r="O20" s="28" t="s">
        <v>369</v>
      </c>
    </row>
    <row r="21" spans="1:15" ht="25.5" customHeight="1">
      <c r="A21" s="113" t="s">
        <v>370</v>
      </c>
      <c r="B21" s="255" t="s">
        <v>146</v>
      </c>
      <c r="C21" s="138" t="s">
        <v>146</v>
      </c>
      <c r="D21" s="238">
        <v>37623589</v>
      </c>
      <c r="E21" s="242" t="s">
        <v>146</v>
      </c>
      <c r="F21" s="242" t="s">
        <v>146</v>
      </c>
      <c r="G21" s="239">
        <f>D21-'[6]oktobri'!D21</f>
        <v>3354720</v>
      </c>
      <c r="H21" s="114" t="s">
        <v>370</v>
      </c>
      <c r="I21" s="249" t="s">
        <v>146</v>
      </c>
      <c r="J21" s="244"/>
      <c r="K21" s="248">
        <f>ROUND(D21/1000,0)</f>
        <v>37624</v>
      </c>
      <c r="L21" s="256" t="s">
        <v>146</v>
      </c>
      <c r="M21" s="242" t="s">
        <v>146</v>
      </c>
      <c r="N21" s="250">
        <f>K21-'[6]oktobri'!K21</f>
        <v>3355</v>
      </c>
      <c r="O21" s="114" t="s">
        <v>370</v>
      </c>
    </row>
    <row r="22" spans="1:15" ht="15.75" customHeight="1">
      <c r="A22" s="113" t="s">
        <v>371</v>
      </c>
      <c r="B22" s="255" t="s">
        <v>146</v>
      </c>
      <c r="C22" s="138">
        <v>180246525</v>
      </c>
      <c r="D22" s="238">
        <f>125540975+25531.65</f>
        <v>125566506.65</v>
      </c>
      <c r="E22" s="242" t="s">
        <v>146</v>
      </c>
      <c r="F22" s="242" t="s">
        <v>146</v>
      </c>
      <c r="G22" s="239">
        <f>15142283</f>
        <v>15142283</v>
      </c>
      <c r="H22" s="114" t="s">
        <v>371</v>
      </c>
      <c r="I22" s="249" t="s">
        <v>146</v>
      </c>
      <c r="J22" s="248">
        <f t="shared" si="0"/>
        <v>180247</v>
      </c>
      <c r="K22" s="248">
        <f>ROUND(D22/1000,0)-1</f>
        <v>125566</v>
      </c>
      <c r="L22" s="256" t="s">
        <v>146</v>
      </c>
      <c r="M22" s="242" t="s">
        <v>146</v>
      </c>
      <c r="N22" s="250">
        <f>15142-2</f>
        <v>15140</v>
      </c>
      <c r="O22" s="114" t="s">
        <v>371</v>
      </c>
    </row>
    <row r="23" spans="1:15" ht="15" customHeight="1">
      <c r="A23" s="257" t="s">
        <v>372</v>
      </c>
      <c r="B23" s="238">
        <v>883858</v>
      </c>
      <c r="C23" s="138" t="s">
        <v>146</v>
      </c>
      <c r="D23" s="238">
        <v>772007</v>
      </c>
      <c r="E23" s="242"/>
      <c r="F23" s="242" t="s">
        <v>146</v>
      </c>
      <c r="G23" s="239">
        <f>772007.38-167709.58</f>
        <v>604297.8</v>
      </c>
      <c r="H23" s="258" t="s">
        <v>372</v>
      </c>
      <c r="I23" s="238">
        <f>ROUND(B23/1000,0)</f>
        <v>884</v>
      </c>
      <c r="J23" s="244"/>
      <c r="K23" s="242">
        <f>ROUND(D23/1000,0)</f>
        <v>772</v>
      </c>
      <c r="L23" s="256" t="s">
        <v>146</v>
      </c>
      <c r="M23" s="242" t="s">
        <v>146</v>
      </c>
      <c r="N23" s="250">
        <v>604</v>
      </c>
      <c r="O23" s="257" t="s">
        <v>372</v>
      </c>
    </row>
    <row r="24" spans="1:15" ht="29.25" customHeight="1">
      <c r="A24" s="38" t="s">
        <v>373</v>
      </c>
      <c r="B24" s="240">
        <v>39686484</v>
      </c>
      <c r="C24" s="138">
        <v>38607181</v>
      </c>
      <c r="D24" s="238">
        <f>SUM(D25,D26,D27)</f>
        <v>37755794</v>
      </c>
      <c r="E24" s="241">
        <f>IF(ISERROR(D24/B24)," ",(D24/B24))*100</f>
        <v>95.13514475104421</v>
      </c>
      <c r="F24" s="241">
        <f>IF(ISERROR(D24/C24)," ",(D24/C24))*100</f>
        <v>97.79474445440603</v>
      </c>
      <c r="G24" s="239"/>
      <c r="H24" s="121" t="s">
        <v>373</v>
      </c>
      <c r="I24" s="259">
        <f>ROUND(B24/1000,0)</f>
        <v>39686</v>
      </c>
      <c r="J24" s="244">
        <f t="shared" si="0"/>
        <v>38607</v>
      </c>
      <c r="K24" s="253">
        <f>SUM(K25,K26,K27)</f>
        <v>37756</v>
      </c>
      <c r="L24" s="144">
        <f>IF(ISERROR(ROUND(K24,0)/ROUND(I24,0))," ",(ROUND(K24,)/ROUND(I24,)))*100</f>
        <v>95.13682406894118</v>
      </c>
      <c r="M24" s="241">
        <f>IF(ISERROR(K24/J24)," ",(K24/J24))*100</f>
        <v>97.79573652446447</v>
      </c>
      <c r="N24" s="162">
        <f>K24-'[6]oktobri'!K23-1</f>
        <v>2989</v>
      </c>
      <c r="O24" s="121" t="s">
        <v>373</v>
      </c>
    </row>
    <row r="25" spans="1:15" ht="28.5" customHeight="1">
      <c r="A25" s="113" t="s">
        <v>374</v>
      </c>
      <c r="B25" s="255" t="s">
        <v>146</v>
      </c>
      <c r="C25" s="138" t="s">
        <v>146</v>
      </c>
      <c r="D25" s="238">
        <v>18847225</v>
      </c>
      <c r="E25" s="166" t="s">
        <v>146</v>
      </c>
      <c r="F25" s="242" t="s">
        <v>146</v>
      </c>
      <c r="G25" s="239">
        <f>D25-'[6]oktobri'!D24</f>
        <v>2316255</v>
      </c>
      <c r="H25" s="114" t="s">
        <v>374</v>
      </c>
      <c r="I25" s="249" t="s">
        <v>146</v>
      </c>
      <c r="J25" s="249" t="s">
        <v>146</v>
      </c>
      <c r="K25" s="248">
        <f>ROUND(D25/1000,0)</f>
        <v>18847</v>
      </c>
      <c r="L25" s="256" t="s">
        <v>146</v>
      </c>
      <c r="M25" s="242" t="s">
        <v>146</v>
      </c>
      <c r="N25" s="250">
        <f>K25-'[6]oktobri'!K24-1</f>
        <v>2315</v>
      </c>
      <c r="O25" s="114" t="s">
        <v>374</v>
      </c>
    </row>
    <row r="26" spans="1:15" ht="15" customHeight="1">
      <c r="A26" s="113" t="s">
        <v>375</v>
      </c>
      <c r="B26" s="255" t="s">
        <v>146</v>
      </c>
      <c r="C26" s="138" t="s">
        <v>146</v>
      </c>
      <c r="D26" s="238">
        <v>18540794</v>
      </c>
      <c r="E26" s="166" t="s">
        <v>146</v>
      </c>
      <c r="F26" s="242" t="s">
        <v>146</v>
      </c>
      <c r="G26" s="239">
        <f>D26-'[6]oktobri'!D25</f>
        <v>672911</v>
      </c>
      <c r="H26" s="114" t="s">
        <v>375</v>
      </c>
      <c r="I26" s="249" t="s">
        <v>146</v>
      </c>
      <c r="J26" s="249" t="s">
        <v>146</v>
      </c>
      <c r="K26" s="248">
        <f>ROUND(D26/1000,0)</f>
        <v>18541</v>
      </c>
      <c r="L26" s="256" t="s">
        <v>146</v>
      </c>
      <c r="M26" s="242" t="s">
        <v>146</v>
      </c>
      <c r="N26" s="250">
        <f>K26-'[6]oktobri'!K25</f>
        <v>673</v>
      </c>
      <c r="O26" s="114" t="s">
        <v>375</v>
      </c>
    </row>
    <row r="27" spans="1:15" ht="28.5" customHeight="1">
      <c r="A27" s="113" t="s">
        <v>376</v>
      </c>
      <c r="B27" s="255" t="s">
        <v>146</v>
      </c>
      <c r="C27" s="138" t="s">
        <v>146</v>
      </c>
      <c r="D27" s="238">
        <v>367775</v>
      </c>
      <c r="E27" s="166" t="s">
        <v>146</v>
      </c>
      <c r="F27" s="242" t="s">
        <v>146</v>
      </c>
      <c r="G27" s="239">
        <f>D27-'[6]oktobri'!D26</f>
        <v>413</v>
      </c>
      <c r="H27" s="114" t="s">
        <v>377</v>
      </c>
      <c r="I27" s="249" t="s">
        <v>146</v>
      </c>
      <c r="J27" s="249" t="s">
        <v>146</v>
      </c>
      <c r="K27" s="248">
        <f>ROUND(D27/1000,0)</f>
        <v>368</v>
      </c>
      <c r="L27" s="256" t="s">
        <v>146</v>
      </c>
      <c r="M27" s="242" t="s">
        <v>146</v>
      </c>
      <c r="N27" s="250">
        <f>K27-'[6]oktobri'!K26</f>
        <v>1</v>
      </c>
      <c r="O27" s="114" t="s">
        <v>377</v>
      </c>
    </row>
    <row r="28" spans="1:15" ht="15" customHeight="1">
      <c r="A28" s="29" t="s">
        <v>378</v>
      </c>
      <c r="B28" s="240">
        <v>299124905</v>
      </c>
      <c r="C28" s="138">
        <v>275770270</v>
      </c>
      <c r="D28" s="238">
        <f>SUM(D29,D30,D31,D32,D35,D40)</f>
        <v>270407043</v>
      </c>
      <c r="E28" s="241">
        <f>IF(ISERROR(D28/B28)," ",(D28/B28))*100</f>
        <v>90.39937446866887</v>
      </c>
      <c r="F28" s="241">
        <f>IF(ISERROR(D28/C28)," ",(D28/C28))*100</f>
        <v>98.05518303332697</v>
      </c>
      <c r="G28" s="239">
        <f>D28-'[6]oktobri'!D27</f>
        <v>28072795</v>
      </c>
      <c r="H28" s="26" t="s">
        <v>378</v>
      </c>
      <c r="I28" s="260">
        <f>ROUND(B28/1000,0)</f>
        <v>299125</v>
      </c>
      <c r="J28" s="253">
        <f>ROUND(C28/1000,0)</f>
        <v>275770</v>
      </c>
      <c r="K28" s="253">
        <f>SUM(K29,K30,K31,K32,K35,K40)</f>
        <v>270407</v>
      </c>
      <c r="L28" s="144">
        <f>IF(ISERROR(ROUND(K28,0)/ROUND(I28,0))," ",(ROUND(K28,)/ROUND(I28,)))*100</f>
        <v>90.399331383201</v>
      </c>
      <c r="M28" s="241">
        <f>IF(ISERROR(K28/J28)," ",(K28/J28))*100</f>
        <v>98.05526344417449</v>
      </c>
      <c r="N28" s="162">
        <f>N29+N30+N31+N32+N35+N40</f>
        <v>28073</v>
      </c>
      <c r="O28" s="26" t="s">
        <v>378</v>
      </c>
    </row>
    <row r="29" spans="1:15" ht="15" customHeight="1">
      <c r="A29" s="30" t="s">
        <v>379</v>
      </c>
      <c r="B29" s="255" t="s">
        <v>146</v>
      </c>
      <c r="C29" s="138" t="s">
        <v>146</v>
      </c>
      <c r="D29" s="238">
        <v>21473866</v>
      </c>
      <c r="E29" s="166" t="s">
        <v>146</v>
      </c>
      <c r="F29" s="242" t="s">
        <v>146</v>
      </c>
      <c r="G29" s="239">
        <f>D29-'[6]oktobri'!D28</f>
        <v>3735380</v>
      </c>
      <c r="H29" s="28" t="s">
        <v>379</v>
      </c>
      <c r="I29" s="249" t="s">
        <v>146</v>
      </c>
      <c r="J29" s="249" t="s">
        <v>146</v>
      </c>
      <c r="K29" s="261">
        <f aca="true" t="shared" si="5" ref="K29:K49">ROUND(D29/1000,0)</f>
        <v>21474</v>
      </c>
      <c r="L29" s="256" t="s">
        <v>146</v>
      </c>
      <c r="M29" s="242" t="s">
        <v>146</v>
      </c>
      <c r="N29" s="250">
        <f>K29-'[6]oktobri'!K28</f>
        <v>3736</v>
      </c>
      <c r="O29" s="28" t="s">
        <v>379</v>
      </c>
    </row>
    <row r="30" spans="1:15" ht="15" customHeight="1">
      <c r="A30" s="113" t="s">
        <v>380</v>
      </c>
      <c r="B30" s="255" t="s">
        <v>146</v>
      </c>
      <c r="C30" s="138" t="s">
        <v>146</v>
      </c>
      <c r="D30" s="238">
        <v>83556867</v>
      </c>
      <c r="E30" s="166" t="s">
        <v>146</v>
      </c>
      <c r="F30" s="242" t="s">
        <v>146</v>
      </c>
      <c r="G30" s="239">
        <f>D30-'[6]oktobri'!D29</f>
        <v>8191694</v>
      </c>
      <c r="H30" s="114" t="s">
        <v>380</v>
      </c>
      <c r="I30" s="249" t="s">
        <v>146</v>
      </c>
      <c r="J30" s="249" t="s">
        <v>146</v>
      </c>
      <c r="K30" s="248">
        <f t="shared" si="5"/>
        <v>83557</v>
      </c>
      <c r="L30" s="256" t="s">
        <v>146</v>
      </c>
      <c r="M30" s="242" t="s">
        <v>146</v>
      </c>
      <c r="N30" s="250">
        <f>K30-'[6]oktobri'!K29</f>
        <v>8192</v>
      </c>
      <c r="O30" s="114" t="s">
        <v>380</v>
      </c>
    </row>
    <row r="31" spans="1:15" ht="15" customHeight="1">
      <c r="A31" s="113" t="s">
        <v>381</v>
      </c>
      <c r="B31" s="255" t="s">
        <v>146</v>
      </c>
      <c r="C31" s="138" t="s">
        <v>146</v>
      </c>
      <c r="D31" s="238">
        <v>6479200</v>
      </c>
      <c r="E31" s="166" t="s">
        <v>146</v>
      </c>
      <c r="F31" s="242" t="s">
        <v>146</v>
      </c>
      <c r="G31" s="239">
        <f>D31-'[6]oktobri'!D30</f>
        <v>560388</v>
      </c>
      <c r="H31" s="114" t="s">
        <v>381</v>
      </c>
      <c r="I31" s="249" t="s">
        <v>146</v>
      </c>
      <c r="J31" s="249" t="s">
        <v>146</v>
      </c>
      <c r="K31" s="248">
        <f t="shared" si="5"/>
        <v>6479</v>
      </c>
      <c r="L31" s="256" t="s">
        <v>146</v>
      </c>
      <c r="M31" s="242" t="s">
        <v>146</v>
      </c>
      <c r="N31" s="250">
        <f>K31-'[6]oktobri'!K30</f>
        <v>560</v>
      </c>
      <c r="O31" s="114" t="s">
        <v>381</v>
      </c>
    </row>
    <row r="32" spans="1:15" ht="15" customHeight="1">
      <c r="A32" s="113" t="s">
        <v>382</v>
      </c>
      <c r="B32" s="262">
        <v>36677418</v>
      </c>
      <c r="C32" s="138">
        <v>33308310</v>
      </c>
      <c r="D32" s="238">
        <v>87612654</v>
      </c>
      <c r="E32" s="166" t="s">
        <v>146</v>
      </c>
      <c r="F32" s="242" t="s">
        <v>146</v>
      </c>
      <c r="G32" s="239">
        <f>D32-'[6]oktobri'!D31</f>
        <v>8198011</v>
      </c>
      <c r="H32" s="114" t="s">
        <v>382</v>
      </c>
      <c r="I32" s="249" t="s">
        <v>146</v>
      </c>
      <c r="J32" s="249">
        <f>ROUND(C32/1000,0)</f>
        <v>33308</v>
      </c>
      <c r="K32" s="248">
        <f t="shared" si="5"/>
        <v>87613</v>
      </c>
      <c r="L32" s="256" t="s">
        <v>146</v>
      </c>
      <c r="M32" s="242" t="s">
        <v>146</v>
      </c>
      <c r="N32" s="250">
        <f>K32-'[6]oktobri'!K31</f>
        <v>8198</v>
      </c>
      <c r="O32" s="114" t="s">
        <v>382</v>
      </c>
    </row>
    <row r="33" spans="1:15" ht="15" customHeight="1">
      <c r="A33" s="263" t="s">
        <v>383</v>
      </c>
      <c r="B33" s="264" t="s">
        <v>146</v>
      </c>
      <c r="C33" s="138" t="s">
        <v>146</v>
      </c>
      <c r="D33" s="238">
        <v>56567727</v>
      </c>
      <c r="E33" s="166" t="s">
        <v>146</v>
      </c>
      <c r="F33" s="242" t="s">
        <v>146</v>
      </c>
      <c r="G33" s="239">
        <f>D33-'[6]oktobri'!D32</f>
        <v>4679625</v>
      </c>
      <c r="H33" s="178" t="s">
        <v>384</v>
      </c>
      <c r="I33" s="265" t="s">
        <v>146</v>
      </c>
      <c r="J33" s="265" t="s">
        <v>146</v>
      </c>
      <c r="K33" s="266">
        <f t="shared" si="5"/>
        <v>56568</v>
      </c>
      <c r="L33" s="267" t="s">
        <v>146</v>
      </c>
      <c r="M33" s="242" t="s">
        <v>146</v>
      </c>
      <c r="N33" s="250">
        <f>K33-'[6]oktobri'!K32</f>
        <v>4680</v>
      </c>
      <c r="O33" s="178" t="s">
        <v>384</v>
      </c>
    </row>
    <row r="34" spans="1:15" ht="15" customHeight="1">
      <c r="A34" s="263" t="s">
        <v>385</v>
      </c>
      <c r="B34" s="264" t="s">
        <v>146</v>
      </c>
      <c r="C34" s="138" t="s">
        <v>146</v>
      </c>
      <c r="D34" s="238">
        <f>D32-D33</f>
        <v>31044927</v>
      </c>
      <c r="E34" s="166" t="s">
        <v>146</v>
      </c>
      <c r="F34" s="242" t="s">
        <v>146</v>
      </c>
      <c r="G34" s="239">
        <f>D34-'[6]oktobri'!D33</f>
        <v>3518386</v>
      </c>
      <c r="H34" s="268" t="s">
        <v>386</v>
      </c>
      <c r="I34" s="265" t="s">
        <v>146</v>
      </c>
      <c r="J34" s="265" t="s">
        <v>146</v>
      </c>
      <c r="K34" s="266">
        <f t="shared" si="5"/>
        <v>31045</v>
      </c>
      <c r="L34" s="267" t="s">
        <v>146</v>
      </c>
      <c r="M34" s="242" t="s">
        <v>146</v>
      </c>
      <c r="N34" s="250">
        <f>K34-'[6]oktobri'!K33</f>
        <v>3518</v>
      </c>
      <c r="O34" s="268" t="s">
        <v>386</v>
      </c>
    </row>
    <row r="35" spans="1:15" ht="15" customHeight="1">
      <c r="A35" s="113" t="s">
        <v>387</v>
      </c>
      <c r="B35" s="262">
        <v>74049529</v>
      </c>
      <c r="C35" s="138">
        <v>67975699</v>
      </c>
      <c r="D35" s="238">
        <f>SUM(D36:D39)</f>
        <v>67195632</v>
      </c>
      <c r="E35" s="166" t="s">
        <v>146</v>
      </c>
      <c r="F35" s="242" t="s">
        <v>146</v>
      </c>
      <c r="G35" s="239">
        <f>D35-'[6]oktobri'!D34</f>
        <v>7055967</v>
      </c>
      <c r="H35" s="114" t="s">
        <v>387</v>
      </c>
      <c r="I35" s="249" t="s">
        <v>146</v>
      </c>
      <c r="J35" s="249">
        <f>ROUND(C35/1000,0)</f>
        <v>67976</v>
      </c>
      <c r="K35" s="249">
        <f>ROUND(D35/1000,0)-1</f>
        <v>67195</v>
      </c>
      <c r="L35" s="256" t="s">
        <v>146</v>
      </c>
      <c r="M35" s="242" t="s">
        <v>146</v>
      </c>
      <c r="N35" s="250">
        <f>K35-'[6]oktobri'!K34+1</f>
        <v>7056</v>
      </c>
      <c r="O35" s="114" t="s">
        <v>387</v>
      </c>
    </row>
    <row r="36" spans="1:15" ht="15" customHeight="1">
      <c r="A36" s="263" t="s">
        <v>388</v>
      </c>
      <c r="B36" s="264" t="s">
        <v>146</v>
      </c>
      <c r="C36" s="138" t="s">
        <v>146</v>
      </c>
      <c r="D36" s="238">
        <v>1227809</v>
      </c>
      <c r="E36" s="166" t="s">
        <v>146</v>
      </c>
      <c r="F36" s="242" t="s">
        <v>146</v>
      </c>
      <c r="G36" s="239">
        <f>D36-'[6]oktobri'!D35</f>
        <v>214835</v>
      </c>
      <c r="H36" s="178" t="s">
        <v>389</v>
      </c>
      <c r="I36" s="265" t="s">
        <v>146</v>
      </c>
      <c r="J36" s="265" t="s">
        <v>146</v>
      </c>
      <c r="K36" s="266">
        <f t="shared" si="5"/>
        <v>1228</v>
      </c>
      <c r="L36" s="267" t="s">
        <v>146</v>
      </c>
      <c r="M36" s="242" t="s">
        <v>146</v>
      </c>
      <c r="N36" s="250">
        <f>K36-'[6]oktobri'!K35</f>
        <v>215</v>
      </c>
      <c r="O36" s="178" t="s">
        <v>389</v>
      </c>
    </row>
    <row r="37" spans="1:15" ht="15" customHeight="1">
      <c r="A37" s="263" t="s">
        <v>390</v>
      </c>
      <c r="B37" s="264" t="s">
        <v>146</v>
      </c>
      <c r="C37" s="138" t="s">
        <v>146</v>
      </c>
      <c r="D37" s="238">
        <v>49679350</v>
      </c>
      <c r="E37" s="166" t="s">
        <v>146</v>
      </c>
      <c r="F37" s="242" t="s">
        <v>146</v>
      </c>
      <c r="G37" s="239">
        <f>D37-'[6]oktobri'!D36</f>
        <v>4936769</v>
      </c>
      <c r="H37" s="268" t="s">
        <v>391</v>
      </c>
      <c r="I37" s="265" t="s">
        <v>146</v>
      </c>
      <c r="J37" s="265" t="s">
        <v>146</v>
      </c>
      <c r="K37" s="266">
        <f t="shared" si="5"/>
        <v>49679</v>
      </c>
      <c r="L37" s="267" t="s">
        <v>146</v>
      </c>
      <c r="M37" s="242" t="s">
        <v>146</v>
      </c>
      <c r="N37" s="250">
        <f>K37-'[6]oktobri'!K36</f>
        <v>4936</v>
      </c>
      <c r="O37" s="268" t="s">
        <v>391</v>
      </c>
    </row>
    <row r="38" spans="1:15" ht="15" customHeight="1">
      <c r="A38" s="263" t="s">
        <v>392</v>
      </c>
      <c r="B38" s="264" t="s">
        <v>146</v>
      </c>
      <c r="C38" s="138" t="s">
        <v>146</v>
      </c>
      <c r="D38" s="238">
        <v>6293068</v>
      </c>
      <c r="E38" s="166" t="s">
        <v>146</v>
      </c>
      <c r="F38" s="242" t="s">
        <v>146</v>
      </c>
      <c r="G38" s="239">
        <f>D38-'[6]oktobri'!D37</f>
        <v>736264</v>
      </c>
      <c r="H38" s="268" t="s">
        <v>393</v>
      </c>
      <c r="I38" s="265" t="s">
        <v>146</v>
      </c>
      <c r="J38" s="265" t="s">
        <v>146</v>
      </c>
      <c r="K38" s="266">
        <f t="shared" si="5"/>
        <v>6293</v>
      </c>
      <c r="L38" s="267" t="s">
        <v>146</v>
      </c>
      <c r="M38" s="242" t="s">
        <v>146</v>
      </c>
      <c r="N38" s="250">
        <f>K38-'[6]oktobri'!K37</f>
        <v>736</v>
      </c>
      <c r="O38" s="268" t="s">
        <v>393</v>
      </c>
    </row>
    <row r="39" spans="1:15" ht="15" customHeight="1">
      <c r="A39" s="263" t="s">
        <v>394</v>
      </c>
      <c r="B39" s="264" t="s">
        <v>146</v>
      </c>
      <c r="C39" s="138" t="s">
        <v>146</v>
      </c>
      <c r="D39" s="238">
        <v>9995405</v>
      </c>
      <c r="E39" s="166" t="s">
        <v>146</v>
      </c>
      <c r="F39" s="242" t="s">
        <v>146</v>
      </c>
      <c r="G39" s="239">
        <f>D39-'[6]oktobri'!D38</f>
        <v>1168099</v>
      </c>
      <c r="H39" s="268" t="s">
        <v>395</v>
      </c>
      <c r="I39" s="265" t="s">
        <v>146</v>
      </c>
      <c r="J39" s="265" t="s">
        <v>146</v>
      </c>
      <c r="K39" s="266">
        <f>ROUND(D39/1000,0)</f>
        <v>9995</v>
      </c>
      <c r="L39" s="267" t="s">
        <v>146</v>
      </c>
      <c r="M39" s="242" t="s">
        <v>146</v>
      </c>
      <c r="N39" s="250">
        <f>K39-'[6]oktobri'!K38+1</f>
        <v>1169</v>
      </c>
      <c r="O39" s="268" t="s">
        <v>395</v>
      </c>
    </row>
    <row r="40" spans="1:15" ht="15" customHeight="1">
      <c r="A40" s="113" t="s">
        <v>396</v>
      </c>
      <c r="B40" s="254">
        <v>5127940</v>
      </c>
      <c r="C40" s="138">
        <v>5056890</v>
      </c>
      <c r="D40" s="238">
        <v>4088824</v>
      </c>
      <c r="E40" s="241">
        <f>IF(ISERROR(D40/B40)," ",(D40/B40))*100</f>
        <v>79.73619036104166</v>
      </c>
      <c r="F40" s="241">
        <f>IF(ISERROR(D40/C40)," ",(D40/C40))*100</f>
        <v>80.85649480214123</v>
      </c>
      <c r="G40" s="239">
        <f>D40-'[6]oktobri'!D39</f>
        <v>331355</v>
      </c>
      <c r="H40" s="114" t="s">
        <v>396</v>
      </c>
      <c r="I40" s="249">
        <f aca="true" t="shared" si="6" ref="I40:J43">ROUND(B40/1000,0)</f>
        <v>5128</v>
      </c>
      <c r="J40" s="249">
        <f t="shared" si="6"/>
        <v>5057</v>
      </c>
      <c r="K40" s="248">
        <f t="shared" si="5"/>
        <v>4089</v>
      </c>
      <c r="L40" s="153">
        <f>IF(ISERROR(ROUND(K40,0)/ROUND(I40,0))," ",(ROUND(K40,)/ROUND(I40,)))*100</f>
        <v>79.7386895475819</v>
      </c>
      <c r="M40" s="241">
        <f>IF(ISERROR(K40/J40)," ",(K40/J40))*100</f>
        <v>80.85821633379474</v>
      </c>
      <c r="N40" s="250">
        <f>K40-'[6]oktobri'!K39-1</f>
        <v>331</v>
      </c>
      <c r="O40" s="114" t="s">
        <v>396</v>
      </c>
    </row>
    <row r="41" spans="1:15" ht="15" customHeight="1">
      <c r="A41" s="269" t="s">
        <v>397</v>
      </c>
      <c r="B41" s="240">
        <v>71121768</v>
      </c>
      <c r="C41" s="138">
        <f>C42+C43</f>
        <v>63931788</v>
      </c>
      <c r="D41" s="238">
        <f>SUM(D42:D43)</f>
        <v>50706467</v>
      </c>
      <c r="E41" s="241">
        <f>IF(ISERROR(D41/B41)," ",(D41/B41))*100</f>
        <v>71.29528472914228</v>
      </c>
      <c r="F41" s="241">
        <f>IF(ISERROR(D41/C41)," ",(D41/C41))*100</f>
        <v>79.3133878877281</v>
      </c>
      <c r="G41" s="239">
        <f>D41-'[6]oktobri'!D40</f>
        <v>6308559</v>
      </c>
      <c r="H41" s="140" t="s">
        <v>397</v>
      </c>
      <c r="I41" s="253">
        <f t="shared" si="6"/>
        <v>71122</v>
      </c>
      <c r="J41" s="253">
        <f t="shared" si="6"/>
        <v>63932</v>
      </c>
      <c r="K41" s="253">
        <f t="shared" si="5"/>
        <v>50706</v>
      </c>
      <c r="L41" s="144">
        <f>IF(ISERROR(ROUND(K41,0)/ROUND(I41,0))," ",(ROUND(K41,)/ROUND(I41,)))*100</f>
        <v>71.29439554568206</v>
      </c>
      <c r="M41" s="241">
        <f>IF(ISERROR(K41/J41)," ",(K41/J41))*100</f>
        <v>79.31239441907026</v>
      </c>
      <c r="N41" s="162">
        <f>K41-'[6]oktobri'!K40+1</f>
        <v>6309</v>
      </c>
      <c r="O41" s="140" t="s">
        <v>397</v>
      </c>
    </row>
    <row r="42" spans="1:15" ht="15" customHeight="1">
      <c r="A42" s="119" t="s">
        <v>398</v>
      </c>
      <c r="B42" s="254">
        <v>25544008</v>
      </c>
      <c r="C42" s="138">
        <v>21906789</v>
      </c>
      <c r="D42" s="238">
        <v>18047980</v>
      </c>
      <c r="E42" s="241">
        <f>IF(ISERROR(D42/B42)," ",(D42/B42))*100</f>
        <v>70.65445641889872</v>
      </c>
      <c r="F42" s="241">
        <f>IF(ISERROR(D42/C42)," ",(D42/C42))*100</f>
        <v>82.38532812818895</v>
      </c>
      <c r="G42" s="239">
        <f>D42-'[6]oktobri'!D41</f>
        <v>3603018</v>
      </c>
      <c r="H42" s="270" t="s">
        <v>399</v>
      </c>
      <c r="I42" s="249">
        <f t="shared" si="6"/>
        <v>25544</v>
      </c>
      <c r="J42" s="249">
        <f t="shared" si="6"/>
        <v>21907</v>
      </c>
      <c r="K42" s="248">
        <f t="shared" si="5"/>
        <v>18048</v>
      </c>
      <c r="L42" s="153">
        <f>IF(ISERROR(ROUND(K42,0)/ROUND(I42,0))," ",(ROUND(K42,)/ROUND(I42,)))*100</f>
        <v>70.65455684309427</v>
      </c>
      <c r="M42" s="241">
        <f>IF(ISERROR(K42/J42)," ",(K42/J42))*100</f>
        <v>82.38462591865614</v>
      </c>
      <c r="N42" s="250">
        <f>K42-'[6]oktobri'!K41</f>
        <v>3603</v>
      </c>
      <c r="O42" s="270" t="s">
        <v>399</v>
      </c>
    </row>
    <row r="43" spans="1:15" ht="15" customHeight="1">
      <c r="A43" s="113" t="s">
        <v>400</v>
      </c>
      <c r="B43" s="254">
        <v>45577760</v>
      </c>
      <c r="C43" s="138">
        <v>42024999</v>
      </c>
      <c r="D43" s="238">
        <v>32658487</v>
      </c>
      <c r="E43" s="241">
        <f>IF(ISERROR(D43/B43)," ",(D43/B43))*100</f>
        <v>71.65443628646953</v>
      </c>
      <c r="F43" s="241">
        <f>IF(ISERROR(D43/C43)," ",(D43/C43))*100</f>
        <v>77.71204706036995</v>
      </c>
      <c r="G43" s="239">
        <f>D43-'[6]oktobri'!D42</f>
        <v>2705541</v>
      </c>
      <c r="H43" s="114" t="s">
        <v>401</v>
      </c>
      <c r="I43" s="249">
        <f t="shared" si="6"/>
        <v>45578</v>
      </c>
      <c r="J43" s="249">
        <f t="shared" si="6"/>
        <v>42025</v>
      </c>
      <c r="K43" s="248">
        <f t="shared" si="5"/>
        <v>32658</v>
      </c>
      <c r="L43" s="153">
        <f>IF(ISERROR(ROUND(K43,0)/ROUND(I43,0))," ",(ROUND(K43,)/ROUND(I43,)))*100</f>
        <v>71.65299047786212</v>
      </c>
      <c r="M43" s="241">
        <f>IF(ISERROR(K43/J43)," ",(K43/J43))*100</f>
        <v>77.71088637715646</v>
      </c>
      <c r="N43" s="250">
        <f>K43-'[6]oktobri'!K42+1</f>
        <v>2706</v>
      </c>
      <c r="O43" s="114" t="s">
        <v>401</v>
      </c>
    </row>
    <row r="44" spans="1:15" ht="15" customHeight="1">
      <c r="A44" s="113" t="s">
        <v>402</v>
      </c>
      <c r="B44" s="255" t="s">
        <v>146</v>
      </c>
      <c r="C44" s="138" t="s">
        <v>146</v>
      </c>
      <c r="D44" s="238">
        <v>1442000</v>
      </c>
      <c r="E44" s="242" t="s">
        <v>146</v>
      </c>
      <c r="F44" s="242" t="s">
        <v>146</v>
      </c>
      <c r="G44" s="239">
        <f>D44-'[6]oktobri'!D43</f>
        <v>36800</v>
      </c>
      <c r="H44" s="114" t="s">
        <v>402</v>
      </c>
      <c r="I44" s="271" t="s">
        <v>146</v>
      </c>
      <c r="J44" s="271" t="s">
        <v>146</v>
      </c>
      <c r="K44" s="248">
        <f t="shared" si="5"/>
        <v>1442</v>
      </c>
      <c r="L44" s="272" t="s">
        <v>146</v>
      </c>
      <c r="M44" s="242" t="s">
        <v>146</v>
      </c>
      <c r="N44" s="250">
        <f>K44-'[6]oktobri'!K43</f>
        <v>36</v>
      </c>
      <c r="O44" s="114" t="s">
        <v>402</v>
      </c>
    </row>
    <row r="45" spans="1:15" ht="15" customHeight="1">
      <c r="A45" s="113" t="s">
        <v>403</v>
      </c>
      <c r="B45" s="255" t="s">
        <v>146</v>
      </c>
      <c r="C45" s="138" t="s">
        <v>146</v>
      </c>
      <c r="D45" s="238">
        <v>8106855</v>
      </c>
      <c r="E45" s="242" t="s">
        <v>146</v>
      </c>
      <c r="F45" s="242" t="s">
        <v>146</v>
      </c>
      <c r="G45" s="239">
        <f>D45-'[6]oktobri'!D44</f>
        <v>876382</v>
      </c>
      <c r="H45" s="114" t="s">
        <v>403</v>
      </c>
      <c r="I45" s="271" t="s">
        <v>146</v>
      </c>
      <c r="J45" s="271" t="s">
        <v>146</v>
      </c>
      <c r="K45" s="248">
        <f t="shared" si="5"/>
        <v>8107</v>
      </c>
      <c r="L45" s="272" t="s">
        <v>146</v>
      </c>
      <c r="M45" s="242" t="s">
        <v>146</v>
      </c>
      <c r="N45" s="250">
        <f>K45-'[6]oktobri'!K44</f>
        <v>876</v>
      </c>
      <c r="O45" s="114" t="s">
        <v>403</v>
      </c>
    </row>
    <row r="46" spans="1:15" ht="27.75" customHeight="1">
      <c r="A46" s="38" t="s">
        <v>404</v>
      </c>
      <c r="B46" s="262">
        <v>54888986</v>
      </c>
      <c r="C46" s="138" t="s">
        <v>146</v>
      </c>
      <c r="D46" s="238">
        <f>SUM(D47-D49)</f>
        <v>56149880</v>
      </c>
      <c r="E46" s="242" t="s">
        <v>146</v>
      </c>
      <c r="F46" s="242" t="s">
        <v>146</v>
      </c>
      <c r="G46" s="239">
        <f>D46-'[6]oktobri'!D45</f>
        <v>2770418</v>
      </c>
      <c r="H46" s="121" t="s">
        <v>404</v>
      </c>
      <c r="I46" s="253">
        <f aca="true" t="shared" si="7" ref="I46:I55">ROUND(B46/1000,0)</f>
        <v>54889</v>
      </c>
      <c r="J46" s="249" t="s">
        <v>146</v>
      </c>
      <c r="K46" s="244">
        <f t="shared" si="5"/>
        <v>56150</v>
      </c>
      <c r="L46" s="273" t="s">
        <v>146</v>
      </c>
      <c r="M46" s="242" t="s">
        <v>146</v>
      </c>
      <c r="N46" s="162">
        <f>K46-'[6]oktobri'!K45-1</f>
        <v>2770</v>
      </c>
      <c r="O46" s="121" t="s">
        <v>404</v>
      </c>
    </row>
    <row r="47" spans="1:15" ht="15" customHeight="1">
      <c r="A47" s="30" t="s">
        <v>405</v>
      </c>
      <c r="B47" s="254">
        <v>70926303</v>
      </c>
      <c r="C47" s="138" t="s">
        <v>146</v>
      </c>
      <c r="D47" s="238">
        <v>81918867</v>
      </c>
      <c r="E47" s="242"/>
      <c r="F47" s="242" t="s">
        <v>146</v>
      </c>
      <c r="G47" s="239">
        <f>D47-'[6]oktobri'!D46</f>
        <v>5580390</v>
      </c>
      <c r="H47" s="28" t="s">
        <v>405</v>
      </c>
      <c r="I47" s="249">
        <f t="shared" si="7"/>
        <v>70926</v>
      </c>
      <c r="J47" s="138" t="s">
        <v>146</v>
      </c>
      <c r="K47" s="248">
        <f t="shared" si="5"/>
        <v>81919</v>
      </c>
      <c r="L47" s="273" t="s">
        <v>146</v>
      </c>
      <c r="M47" s="242" t="s">
        <v>146</v>
      </c>
      <c r="N47" s="250">
        <f>K47-'[6]oktobri'!K46-1</f>
        <v>5580</v>
      </c>
      <c r="O47" s="28" t="s">
        <v>405</v>
      </c>
    </row>
    <row r="48" spans="1:15" ht="15" customHeight="1">
      <c r="A48" s="30" t="s">
        <v>406</v>
      </c>
      <c r="B48" s="254">
        <v>50694324</v>
      </c>
      <c r="C48" s="138" t="s">
        <v>146</v>
      </c>
      <c r="D48" s="238">
        <v>54223241</v>
      </c>
      <c r="E48" s="242"/>
      <c r="F48" s="242" t="s">
        <v>146</v>
      </c>
      <c r="G48" s="239">
        <f>D48-'[6]oktobri'!D47</f>
        <v>3754722</v>
      </c>
      <c r="H48" s="28" t="s">
        <v>406</v>
      </c>
      <c r="I48" s="249">
        <f t="shared" si="7"/>
        <v>50694</v>
      </c>
      <c r="J48" s="138" t="s">
        <v>146</v>
      </c>
      <c r="K48" s="248">
        <f t="shared" si="5"/>
        <v>54223</v>
      </c>
      <c r="L48" s="273" t="s">
        <v>146</v>
      </c>
      <c r="M48" s="242" t="s">
        <v>146</v>
      </c>
      <c r="N48" s="250">
        <f>K48-'[6]oktobri'!K47</f>
        <v>3754</v>
      </c>
      <c r="O48" s="28" t="s">
        <v>406</v>
      </c>
    </row>
    <row r="49" spans="1:15" ht="15" customHeight="1">
      <c r="A49" s="274" t="s">
        <v>407</v>
      </c>
      <c r="B49" s="254">
        <v>16037317</v>
      </c>
      <c r="C49" s="138" t="s">
        <v>146</v>
      </c>
      <c r="D49" s="238">
        <v>25768987</v>
      </c>
      <c r="E49" s="242"/>
      <c r="F49" s="242" t="s">
        <v>146</v>
      </c>
      <c r="G49" s="239">
        <f>D49-'[6]oktobri'!D48</f>
        <v>2809972</v>
      </c>
      <c r="H49" s="216" t="s">
        <v>407</v>
      </c>
      <c r="I49" s="249">
        <f t="shared" si="7"/>
        <v>16037</v>
      </c>
      <c r="J49" s="248" t="s">
        <v>146</v>
      </c>
      <c r="K49" s="248">
        <f t="shared" si="5"/>
        <v>25769</v>
      </c>
      <c r="L49" s="273" t="s">
        <v>146</v>
      </c>
      <c r="M49" s="242" t="s">
        <v>146</v>
      </c>
      <c r="N49" s="250">
        <f>K49-'[6]oktobri'!K48</f>
        <v>2810</v>
      </c>
      <c r="O49" s="216" t="s">
        <v>407</v>
      </c>
    </row>
    <row r="50" spans="1:15" ht="15" customHeight="1">
      <c r="A50" s="30" t="s">
        <v>408</v>
      </c>
      <c r="B50" s="254">
        <v>3627682</v>
      </c>
      <c r="C50" s="138" t="s">
        <v>146</v>
      </c>
      <c r="D50" s="238">
        <v>6884815</v>
      </c>
      <c r="E50" s="242"/>
      <c r="F50" s="242" t="s">
        <v>146</v>
      </c>
      <c r="G50" s="239">
        <f>D50-'[6]oktobri'!D49</f>
        <v>1637561</v>
      </c>
      <c r="H50" s="28" t="s">
        <v>409</v>
      </c>
      <c r="I50" s="249">
        <f t="shared" si="7"/>
        <v>3628</v>
      </c>
      <c r="J50" s="138"/>
      <c r="K50" s="248">
        <f>ROUND(D50/1000,0)+586</f>
        <v>7471</v>
      </c>
      <c r="L50" s="275"/>
      <c r="M50" s="242" t="s">
        <v>146</v>
      </c>
      <c r="N50" s="250">
        <f>K50-'[6]oktobri'!K49</f>
        <v>2224</v>
      </c>
      <c r="O50" s="28" t="s">
        <v>408</v>
      </c>
    </row>
    <row r="51" spans="1:15" ht="15" customHeight="1">
      <c r="A51" s="30" t="s">
        <v>410</v>
      </c>
      <c r="B51" s="254">
        <v>-124962182</v>
      </c>
      <c r="C51" s="138" t="s">
        <v>146</v>
      </c>
      <c r="D51" s="238">
        <f>(D11-D17-D46)</f>
        <v>-103807248.64999998</v>
      </c>
      <c r="E51" s="242" t="s">
        <v>146</v>
      </c>
      <c r="F51" s="242" t="s">
        <v>146</v>
      </c>
      <c r="G51" s="239">
        <f>D51-'[6]oktobri'!D50</f>
        <v>-14137792.649999976</v>
      </c>
      <c r="H51" s="28" t="s">
        <v>410</v>
      </c>
      <c r="I51" s="238">
        <f t="shared" si="7"/>
        <v>-124962</v>
      </c>
      <c r="J51" s="276" t="s">
        <v>146</v>
      </c>
      <c r="K51" s="271">
        <f>(K11-K17-K46)</f>
        <v>-103808</v>
      </c>
      <c r="L51" s="273" t="s">
        <v>146</v>
      </c>
      <c r="M51" s="242" t="s">
        <v>146</v>
      </c>
      <c r="N51" s="250">
        <f>K51-'[6]oktobri'!K50</f>
        <v>-14138</v>
      </c>
      <c r="O51" s="28" t="s">
        <v>410</v>
      </c>
    </row>
    <row r="52" spans="1:15" ht="15" customHeight="1">
      <c r="A52" s="158" t="s">
        <v>411</v>
      </c>
      <c r="B52" s="254">
        <f>B53+B54+B55</f>
        <v>124962182</v>
      </c>
      <c r="C52" s="138" t="s">
        <v>146</v>
      </c>
      <c r="D52" s="238">
        <f>-D51</f>
        <v>103807248.64999998</v>
      </c>
      <c r="E52" s="242"/>
      <c r="F52" s="242" t="s">
        <v>146</v>
      </c>
      <c r="G52" s="239">
        <f>D52-'[6]oktobri'!D51</f>
        <v>14137792.649999976</v>
      </c>
      <c r="H52" s="159" t="s">
        <v>411</v>
      </c>
      <c r="I52" s="238">
        <f t="shared" si="7"/>
        <v>124962</v>
      </c>
      <c r="J52" s="276" t="s">
        <v>146</v>
      </c>
      <c r="K52" s="271">
        <f>-K51</f>
        <v>103808</v>
      </c>
      <c r="L52" s="273" t="s">
        <v>146</v>
      </c>
      <c r="M52" s="242" t="s">
        <v>146</v>
      </c>
      <c r="N52" s="250">
        <f>K52-'[6]oktobri'!K51</f>
        <v>14138</v>
      </c>
      <c r="O52" s="159" t="s">
        <v>411</v>
      </c>
    </row>
    <row r="53" spans="1:15" ht="15" customHeight="1">
      <c r="A53" s="277" t="s">
        <v>412</v>
      </c>
      <c r="B53" s="254">
        <v>31009334</v>
      </c>
      <c r="C53" s="138" t="s">
        <v>146</v>
      </c>
      <c r="D53" s="238">
        <v>2045095</v>
      </c>
      <c r="E53" s="242" t="s">
        <v>146</v>
      </c>
      <c r="F53" s="242" t="s">
        <v>146</v>
      </c>
      <c r="G53" s="239">
        <f>D53-'[6]oktobri'!D52</f>
        <v>36543</v>
      </c>
      <c r="H53" s="216" t="s">
        <v>412</v>
      </c>
      <c r="I53" s="238">
        <f t="shared" si="7"/>
        <v>31009</v>
      </c>
      <c r="J53" s="276" t="s">
        <v>146</v>
      </c>
      <c r="K53" s="271">
        <f>D53/1000</f>
        <v>2045.095</v>
      </c>
      <c r="L53" s="273" t="s">
        <v>146</v>
      </c>
      <c r="M53" s="242" t="s">
        <v>146</v>
      </c>
      <c r="N53" s="250">
        <f>K53-'[6]oktobri'!K52+1</f>
        <v>37.09500000000003</v>
      </c>
      <c r="O53" s="216" t="s">
        <v>412</v>
      </c>
    </row>
    <row r="54" spans="1:15" ht="15" customHeight="1">
      <c r="A54" s="277" t="s">
        <v>413</v>
      </c>
      <c r="B54" s="254">
        <v>500000</v>
      </c>
      <c r="C54" s="138" t="s">
        <v>146</v>
      </c>
      <c r="D54" s="238">
        <v>496093</v>
      </c>
      <c r="E54" s="242" t="s">
        <v>146</v>
      </c>
      <c r="F54" s="242" t="s">
        <v>146</v>
      </c>
      <c r="G54" s="239">
        <f>D54-'[6]oktobri'!D53</f>
        <v>160624</v>
      </c>
      <c r="H54" s="139" t="s">
        <v>413</v>
      </c>
      <c r="I54" s="238">
        <f t="shared" si="7"/>
        <v>500</v>
      </c>
      <c r="J54" s="276" t="s">
        <v>146</v>
      </c>
      <c r="K54" s="271">
        <f>D54/1000</f>
        <v>496.093</v>
      </c>
      <c r="L54" s="273" t="s">
        <v>146</v>
      </c>
      <c r="M54" s="242" t="s">
        <v>146</v>
      </c>
      <c r="N54" s="250">
        <f>K54-'[6]oktobri'!K53</f>
        <v>161.09300000000002</v>
      </c>
      <c r="O54" s="139" t="s">
        <v>413</v>
      </c>
    </row>
    <row r="55" spans="1:15" ht="15" customHeight="1">
      <c r="A55" s="30" t="s">
        <v>414</v>
      </c>
      <c r="B55" s="254">
        <v>93452848</v>
      </c>
      <c r="C55" s="138" t="s">
        <v>146</v>
      </c>
      <c r="D55" s="238">
        <f>D52-D53-D54</f>
        <v>101266060.64999998</v>
      </c>
      <c r="E55" s="242" t="s">
        <v>146</v>
      </c>
      <c r="F55" s="242" t="s">
        <v>146</v>
      </c>
      <c r="G55" s="239">
        <f>D55-'[6]oktobri'!D54</f>
        <v>13940625.649999976</v>
      </c>
      <c r="H55" s="28" t="s">
        <v>414</v>
      </c>
      <c r="I55" s="238">
        <f t="shared" si="7"/>
        <v>93453</v>
      </c>
      <c r="J55" s="276" t="s">
        <v>146</v>
      </c>
      <c r="K55" s="271">
        <f>K52-K53-K54</f>
        <v>101266.812</v>
      </c>
      <c r="L55" s="273" t="s">
        <v>146</v>
      </c>
      <c r="M55" s="242" t="s">
        <v>146</v>
      </c>
      <c r="N55" s="250">
        <f>K55-'[6]oktobri'!K54-1</f>
        <v>13939.812000000005</v>
      </c>
      <c r="O55" s="28" t="s">
        <v>414</v>
      </c>
    </row>
    <row r="56" spans="1:10" ht="12.75">
      <c r="A56" s="50"/>
      <c r="B56" s="50"/>
      <c r="C56" s="50"/>
      <c r="D56" s="278"/>
      <c r="H56" s="4" t="s">
        <v>415</v>
      </c>
      <c r="I56" s="50"/>
      <c r="J56" s="10"/>
    </row>
    <row r="57" spans="1:4" ht="12.75">
      <c r="A57" s="50"/>
      <c r="B57" s="50"/>
      <c r="C57" s="50"/>
      <c r="D57" s="278"/>
    </row>
    <row r="58" spans="1:4" ht="12.75">
      <c r="A58" s="50"/>
      <c r="B58" s="50"/>
      <c r="C58" s="50"/>
      <c r="D58" s="278"/>
    </row>
    <row r="59" spans="1:4" ht="12.75">
      <c r="A59" s="50"/>
      <c r="B59" s="50"/>
      <c r="C59" s="50"/>
      <c r="D59" s="278"/>
    </row>
    <row r="60" spans="1:4" ht="12.75">
      <c r="A60" s="50"/>
      <c r="B60" s="50"/>
      <c r="C60" s="50"/>
      <c r="D60" s="278"/>
    </row>
    <row r="62" spans="1:11" ht="12.75">
      <c r="A62" s="94" t="s">
        <v>416</v>
      </c>
      <c r="H62" s="94" t="s">
        <v>417</v>
      </c>
      <c r="I62" s="3"/>
      <c r="J62" s="3"/>
      <c r="K62" s="230"/>
    </row>
    <row r="70" ht="12.75">
      <c r="A70" s="3" t="s">
        <v>137</v>
      </c>
    </row>
    <row r="71" ht="12.75">
      <c r="A71" s="3" t="s">
        <v>418</v>
      </c>
    </row>
    <row r="75" ht="12.75">
      <c r="H75" s="4" t="s">
        <v>137</v>
      </c>
    </row>
    <row r="76" ht="12.75">
      <c r="H76" s="4" t="s">
        <v>180</v>
      </c>
    </row>
  </sheetData>
  <printOptions/>
  <pageMargins left="0.75" right="0.19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4"/>
  <sheetViews>
    <sheetView workbookViewId="0" topLeftCell="G1">
      <selection activeCell="A9" sqref="A9"/>
    </sheetView>
  </sheetViews>
  <sheetFormatPr defaultColWidth="9.140625" defaultRowHeight="12.75"/>
  <cols>
    <col min="1" max="1" width="36.57421875" style="0" hidden="1" customWidth="1"/>
    <col min="2" max="2" width="13.421875" style="231" hidden="1" customWidth="1"/>
    <col min="3" max="3" width="13.28125" style="231" hidden="1" customWidth="1"/>
    <col min="4" max="4" width="12.7109375" style="231" hidden="1" customWidth="1"/>
    <col min="5" max="5" width="9.140625" style="0" hidden="1" customWidth="1"/>
    <col min="6" max="6" width="13.140625" style="0" hidden="1" customWidth="1"/>
    <col min="7" max="7" width="39.140625" style="0" customWidth="1"/>
    <col min="8" max="8" width="12.140625" style="0" customWidth="1"/>
    <col min="9" max="9" width="13.00390625" style="0" customWidth="1"/>
    <col min="10" max="11" width="9.28125" style="0" customWidth="1"/>
    <col min="12" max="12" width="9.7109375" style="0" customWidth="1"/>
  </cols>
  <sheetData>
    <row r="1" spans="1:13" ht="12.75">
      <c r="A1" s="279"/>
      <c r="B1" s="95"/>
      <c r="C1" s="95"/>
      <c r="D1" s="95"/>
      <c r="E1" s="279"/>
      <c r="F1" s="279" t="s">
        <v>419</v>
      </c>
      <c r="G1" s="280"/>
      <c r="H1" s="280"/>
      <c r="I1" s="280"/>
      <c r="J1" s="280"/>
      <c r="K1" s="280"/>
      <c r="L1" s="279" t="s">
        <v>419</v>
      </c>
      <c r="M1" s="280"/>
    </row>
    <row r="2" spans="1:13" ht="12.75">
      <c r="A2" s="1" t="s">
        <v>420</v>
      </c>
      <c r="B2" s="93"/>
      <c r="C2" s="93"/>
      <c r="D2" s="93"/>
      <c r="E2" s="1"/>
      <c r="F2" s="279"/>
      <c r="G2" s="732" t="s">
        <v>182</v>
      </c>
      <c r="H2" s="732"/>
      <c r="I2" s="732"/>
      <c r="J2" s="732"/>
      <c r="K2" s="732"/>
      <c r="L2" s="732"/>
      <c r="M2" s="280"/>
    </row>
    <row r="3" spans="1:13" ht="12.75">
      <c r="A3" s="1"/>
      <c r="B3" s="93"/>
      <c r="C3" s="93"/>
      <c r="D3" s="93"/>
      <c r="E3" s="1"/>
      <c r="F3" s="279"/>
      <c r="G3" s="280"/>
      <c r="H3" s="280"/>
      <c r="I3" s="280"/>
      <c r="J3" s="280"/>
      <c r="K3" s="280"/>
      <c r="L3" s="280"/>
      <c r="M3" s="280"/>
    </row>
    <row r="4" spans="1:13" ht="18">
      <c r="A4" s="475" t="s">
        <v>421</v>
      </c>
      <c r="B4" s="475"/>
      <c r="C4" s="475"/>
      <c r="D4" s="475"/>
      <c r="E4" s="475"/>
      <c r="F4" s="475"/>
      <c r="G4" s="476" t="s">
        <v>421</v>
      </c>
      <c r="H4" s="476"/>
      <c r="I4" s="476"/>
      <c r="J4" s="476"/>
      <c r="K4" s="476"/>
      <c r="L4" s="476"/>
      <c r="M4" s="280"/>
    </row>
    <row r="5" spans="1:13" ht="18">
      <c r="A5" s="475" t="s">
        <v>422</v>
      </c>
      <c r="B5" s="475"/>
      <c r="C5" s="475"/>
      <c r="D5" s="475"/>
      <c r="E5" s="475"/>
      <c r="F5" s="475"/>
      <c r="G5" s="476" t="str">
        <f>A5</f>
        <v>(2000.gada  janvāris -novembris)</v>
      </c>
      <c r="H5" s="476"/>
      <c r="I5" s="476"/>
      <c r="J5" s="476"/>
      <c r="K5" s="476"/>
      <c r="L5" s="476"/>
      <c r="M5" s="280"/>
    </row>
    <row r="6" spans="1:13" ht="18">
      <c r="A6" s="101"/>
      <c r="B6" s="105"/>
      <c r="C6" s="105"/>
      <c r="D6" s="105"/>
      <c r="E6" s="101"/>
      <c r="F6" s="101"/>
      <c r="G6" s="281"/>
      <c r="H6" s="281"/>
      <c r="I6" s="281"/>
      <c r="J6" s="281"/>
      <c r="K6" s="281"/>
      <c r="L6" s="281"/>
      <c r="M6" s="280"/>
    </row>
    <row r="7" spans="1:13" ht="15.75">
      <c r="A7" s="101"/>
      <c r="B7" s="105"/>
      <c r="C7" s="105"/>
      <c r="D7" s="105"/>
      <c r="E7" s="101"/>
      <c r="F7" s="101"/>
      <c r="G7" s="101"/>
      <c r="H7" s="101"/>
      <c r="I7" s="101"/>
      <c r="J7" s="101"/>
      <c r="K7" s="101"/>
      <c r="L7" s="101"/>
      <c r="M7" s="280"/>
    </row>
    <row r="8" spans="1:13" ht="14.25">
      <c r="A8" s="282"/>
      <c r="B8" s="95"/>
      <c r="C8" s="95"/>
      <c r="D8" s="95"/>
      <c r="E8" s="279"/>
      <c r="F8" s="279" t="s">
        <v>423</v>
      </c>
      <c r="G8" s="280"/>
      <c r="H8" s="280"/>
      <c r="I8" s="280"/>
      <c r="J8" s="280"/>
      <c r="K8" s="280"/>
      <c r="L8" s="279" t="s">
        <v>424</v>
      </c>
      <c r="M8" s="6"/>
    </row>
    <row r="9" spans="1:13" ht="51" customHeight="1">
      <c r="A9" s="131" t="s">
        <v>101</v>
      </c>
      <c r="B9" s="283" t="s">
        <v>102</v>
      </c>
      <c r="C9" s="283" t="s">
        <v>354</v>
      </c>
      <c r="D9" s="283" t="s">
        <v>104</v>
      </c>
      <c r="E9" s="131" t="s">
        <v>425</v>
      </c>
      <c r="F9" s="131" t="s">
        <v>357</v>
      </c>
      <c r="G9" s="133" t="s">
        <v>101</v>
      </c>
      <c r="H9" s="133" t="s">
        <v>102</v>
      </c>
      <c r="I9" s="133" t="s">
        <v>426</v>
      </c>
      <c r="J9" s="133" t="s">
        <v>104</v>
      </c>
      <c r="K9" s="133" t="s">
        <v>425</v>
      </c>
      <c r="L9" s="133" t="str">
        <f>F9</f>
        <v>Novembra  izpilde</v>
      </c>
      <c r="M9" s="280"/>
    </row>
    <row r="10" spans="1:13" ht="12.75">
      <c r="A10" s="137">
        <v>1</v>
      </c>
      <c r="B10" s="238">
        <v>2</v>
      </c>
      <c r="C10" s="284">
        <v>3</v>
      </c>
      <c r="D10" s="284">
        <v>4</v>
      </c>
      <c r="E10" s="139">
        <v>5</v>
      </c>
      <c r="F10" s="285">
        <v>6</v>
      </c>
      <c r="G10" s="137">
        <v>1</v>
      </c>
      <c r="H10" s="138">
        <v>2</v>
      </c>
      <c r="I10" s="139">
        <v>3</v>
      </c>
      <c r="J10" s="139">
        <v>4</v>
      </c>
      <c r="K10" s="139">
        <v>5</v>
      </c>
      <c r="L10" s="137">
        <v>6</v>
      </c>
      <c r="M10" s="280"/>
    </row>
    <row r="11" spans="1:13" ht="12.75">
      <c r="A11" s="85" t="s">
        <v>427</v>
      </c>
      <c r="B11" s="141">
        <f>SUM(B23,B30,B36,B41,B45,B52,B64,B72,B86,B93,B100,B111,B167,B175,B181,B188)</f>
        <v>692932778</v>
      </c>
      <c r="C11" s="141">
        <f>SUM(C23+C30+C36+C41+C45+C52+C64+C72+C86+C93+C100+C111+C167+C175+C181+C188)</f>
        <v>627925758</v>
      </c>
      <c r="D11" s="141">
        <f>SUM(D23+D30+D36+D45+D52+D64+D72+D86+D93+D100+D111+D167+D175+D181+D188)</f>
        <v>619759919</v>
      </c>
      <c r="E11" s="286">
        <f>IF(ISERROR(D11/B11)," ",(D11/B11))</f>
        <v>0.8944012156399967</v>
      </c>
      <c r="F11" s="66">
        <f>SUM(F23+F30+F36+F45+F52+F64+F72+F86+F93+F100+F111+F167+F175+F181+F188)</f>
        <v>56049468</v>
      </c>
      <c r="G11" s="85" t="s">
        <v>427</v>
      </c>
      <c r="H11" s="287">
        <f>SUM(+H23+H30+H36+H41+H45+H52+H64+H72+H86+H93+H100+H111+H167+H175+H181+H188)</f>
        <v>692933</v>
      </c>
      <c r="I11" s="141">
        <f>SUM(I23+I30+I36+I41+I45+I52+I64+I72+I86+I93+I100+I111+I167+I175+I181+I188)</f>
        <v>627926</v>
      </c>
      <c r="J11" s="287">
        <f>SUM(J23+J30+J36+J45+J52+J64+J72+J86+J93+J100+J111+J167+J175+J181+J188)</f>
        <v>619760</v>
      </c>
      <c r="K11" s="16">
        <f>IF(ISERROR(ROUND(J11,0)/ROUND(H11,0))," ",(ROUND(J11,)/ROUND(H11,)))*100</f>
        <v>89.44010459885732</v>
      </c>
      <c r="L11" s="287">
        <f>SUM(L23+L30+L36+L45+L52+L64+L72+L86+L93+L100+L111+L167+L175+L181+L188)</f>
        <v>56049</v>
      </c>
      <c r="M11" s="288"/>
    </row>
    <row r="12" spans="1:13" ht="12.75">
      <c r="A12" s="85" t="s">
        <v>428</v>
      </c>
      <c r="B12" s="141">
        <f>B13+B15</f>
        <v>737587665</v>
      </c>
      <c r="C12" s="141">
        <f>C13+C15</f>
        <v>698421647</v>
      </c>
      <c r="D12" s="141">
        <f>D13+D15</f>
        <v>656151544</v>
      </c>
      <c r="E12" s="289">
        <f aca="true" t="shared" si="0" ref="E12:E74">IF(ISERROR(D12/B12)," ",(D12/B12))</f>
        <v>0.889591265059998</v>
      </c>
      <c r="F12" s="290">
        <f>F13+F15</f>
        <v>61359887</v>
      </c>
      <c r="G12" s="85" t="s">
        <v>428</v>
      </c>
      <c r="H12" s="287">
        <f>H13+H15</f>
        <v>737587</v>
      </c>
      <c r="I12" s="287">
        <f>I13+I15</f>
        <v>698421</v>
      </c>
      <c r="J12" s="287">
        <f>J13+J15</f>
        <v>656152</v>
      </c>
      <c r="K12" s="16">
        <f aca="true" t="shared" si="1" ref="K12:K74">IF(ISERROR(ROUND(J12,0)/ROUND(H12,0))," ",(ROUND(J12,)/ROUND(H12,)))*100</f>
        <v>88.95926853374586</v>
      </c>
      <c r="L12" s="287">
        <f>L13+L15</f>
        <v>61359</v>
      </c>
      <c r="M12" s="288"/>
    </row>
    <row r="13" spans="1:13" ht="12.75">
      <c r="A13" s="291" t="s">
        <v>429</v>
      </c>
      <c r="B13" s="141">
        <f>SUM(B26,B34,B39,B48,B55,B68,B79,B90,B95,B105,B116,B172,B177,B186,B191)</f>
        <v>705943293</v>
      </c>
      <c r="C13" s="141">
        <f>SUM(C26+C34+C39+C48+C55+C68+C79+C90+C95+C105+C116+C172+C177+C186+C191)</f>
        <v>666814354</v>
      </c>
      <c r="D13" s="141">
        <f>SUM(D26+D34+D39+D48+D55+D68+D79+D90+D105+D116+D172+D177+D186+D191)</f>
        <v>632246228</v>
      </c>
      <c r="E13" s="292">
        <f t="shared" si="0"/>
        <v>0.8956048372004294</v>
      </c>
      <c r="F13" s="152">
        <f>SUM(F26+F34+F39+F48+F55+F68+F79+F90+F105+F116+F172+F177+F186+F191)</f>
        <v>59286303</v>
      </c>
      <c r="G13" s="291" t="s">
        <v>430</v>
      </c>
      <c r="H13" s="293">
        <f>ROUND(B13/1000,0)</f>
        <v>705943</v>
      </c>
      <c r="I13" s="141">
        <f>SUM(I26+I34+I39+I48+I55+I68+I79+I90+I95+I105+I116+I172+I177+I186+I191)</f>
        <v>666814</v>
      </c>
      <c r="J13" s="152">
        <f>SUM(J26+J34+J39+J48+J55+J68+J79+J90+J105+J116+J172+J177+J186+J191)+1</f>
        <v>632247</v>
      </c>
      <c r="K13" s="16">
        <f t="shared" si="1"/>
        <v>89.56063024918443</v>
      </c>
      <c r="L13" s="152">
        <f>SUM(L26+L34+L39+L48+L55+L68+L79+L90+L105+L116+L172+L177+L186+L191)</f>
        <v>59285</v>
      </c>
      <c r="M13" s="280"/>
    </row>
    <row r="14" spans="1:13" ht="25.5">
      <c r="A14" s="114" t="s">
        <v>431</v>
      </c>
      <c r="B14" s="141">
        <v>2967682</v>
      </c>
      <c r="C14" s="141"/>
      <c r="D14" s="141">
        <f>SUM(D49,D56,D80,D106,D192)</f>
        <v>2871695</v>
      </c>
      <c r="E14" s="292">
        <f t="shared" si="0"/>
        <v>0.9676559011376555</v>
      </c>
      <c r="F14" s="141">
        <f>SUM(F49,F56,F80,F106,F192)</f>
        <v>375561</v>
      </c>
      <c r="G14" s="114" t="str">
        <f>A14</f>
        <v>        t.sk. aizņēmuma atmaksa pamatbudžetā</v>
      </c>
      <c r="H14" s="293">
        <f>ROUND(B14/1000,0)</f>
        <v>2968</v>
      </c>
      <c r="I14" s="152"/>
      <c r="J14" s="293">
        <f>ROUND(D14/1000,0)</f>
        <v>2872</v>
      </c>
      <c r="K14" s="293">
        <f>ROUND(E14/1000,0)</f>
        <v>0</v>
      </c>
      <c r="L14" s="293">
        <f>ROUND(F14/1000,0)</f>
        <v>376</v>
      </c>
      <c r="M14" s="280"/>
    </row>
    <row r="15" spans="1:13" ht="12.75">
      <c r="A15" s="291" t="s">
        <v>432</v>
      </c>
      <c r="B15" s="141">
        <f>SUM(B27+B50+B57+B69+B81+B91+B96+B107+B117+B173+B178+B193)</f>
        <v>31644372</v>
      </c>
      <c r="C15" s="141">
        <f>SUM(C27+C50+C57+C69+C81+C91+C96+C107+C117+C173+C178+C193)</f>
        <v>31607293</v>
      </c>
      <c r="D15" s="141">
        <f>SUM(D27+D50+D57+D69+D81+D91+D96+D107+D117+D173+D178+D193)</f>
        <v>23905316</v>
      </c>
      <c r="E15" s="292">
        <f t="shared" si="0"/>
        <v>0.7554365749460915</v>
      </c>
      <c r="F15" s="152">
        <f>SUM(F27+F50+F57+F69+F81+F91+F96+F107+F117+F173+F178+F193)</f>
        <v>2073584</v>
      </c>
      <c r="G15" s="291" t="s">
        <v>432</v>
      </c>
      <c r="H15" s="293">
        <f>ROUND(B15/1000,0)</f>
        <v>31644</v>
      </c>
      <c r="I15" s="152">
        <f>SUM(I27+I50+I57+I69+I81+I91+I96+I107+I117+I173+I178+I193)-1</f>
        <v>31607</v>
      </c>
      <c r="J15" s="152">
        <f>SUM(J27+J50+J57+J69+J81+J91+J96+J107+J117+J173+J178+J193)-1</f>
        <v>23905</v>
      </c>
      <c r="K15" s="16">
        <f t="shared" si="1"/>
        <v>75.5435469599292</v>
      </c>
      <c r="L15" s="152">
        <f>SUM(L27+L50+L57+L69+L81+L91+L96+L107+L117+L173+L178+L193)</f>
        <v>2074</v>
      </c>
      <c r="M15" s="280"/>
    </row>
    <row r="16" spans="1:13" ht="12.75">
      <c r="A16" s="85" t="s">
        <v>433</v>
      </c>
      <c r="B16" s="141">
        <f aca="true" t="shared" si="2" ref="B16:D17">SUM(B58)</f>
        <v>6756000</v>
      </c>
      <c r="C16" s="141"/>
      <c r="D16" s="141">
        <f t="shared" si="2"/>
        <v>4736481</v>
      </c>
      <c r="E16" s="289">
        <f t="shared" si="0"/>
        <v>0.7010777087033748</v>
      </c>
      <c r="F16" s="290">
        <f>SUM(F58)</f>
        <v>824012</v>
      </c>
      <c r="G16" s="85" t="s">
        <v>433</v>
      </c>
      <c r="H16" s="287">
        <f aca="true" t="shared" si="3" ref="H16:J17">SUM(H58)</f>
        <v>6756</v>
      </c>
      <c r="I16" s="287">
        <f t="shared" si="3"/>
        <v>0</v>
      </c>
      <c r="J16" s="287">
        <f>SUM(J58)</f>
        <v>4736</v>
      </c>
      <c r="K16" s="16">
        <f t="shared" si="1"/>
        <v>70.10065127294257</v>
      </c>
      <c r="L16" s="287">
        <f>SUM(L58)</f>
        <v>824</v>
      </c>
      <c r="M16" s="294"/>
    </row>
    <row r="17" spans="1:13" ht="12.75">
      <c r="A17" s="85" t="s">
        <v>434</v>
      </c>
      <c r="B17" s="141">
        <f t="shared" si="2"/>
        <v>16380</v>
      </c>
      <c r="C17" s="141"/>
      <c r="D17" s="141">
        <f t="shared" si="2"/>
        <v>51730</v>
      </c>
      <c r="E17" s="289">
        <f t="shared" si="0"/>
        <v>3.158119658119658</v>
      </c>
      <c r="F17" s="290">
        <f>SUM(F59)</f>
        <v>6067</v>
      </c>
      <c r="G17" s="85" t="s">
        <v>434</v>
      </c>
      <c r="H17" s="287">
        <f t="shared" si="3"/>
        <v>16</v>
      </c>
      <c r="I17" s="287">
        <f t="shared" si="3"/>
        <v>0</v>
      </c>
      <c r="J17" s="287">
        <f t="shared" si="3"/>
        <v>52</v>
      </c>
      <c r="K17" s="16">
        <f t="shared" si="1"/>
        <v>325</v>
      </c>
      <c r="L17" s="287">
        <f>SUM(L59)</f>
        <v>6</v>
      </c>
      <c r="M17" s="294"/>
    </row>
    <row r="18" spans="1:13" ht="12.75">
      <c r="A18" s="85" t="s">
        <v>435</v>
      </c>
      <c r="B18" s="141">
        <f>B11-B12-B16+B17</f>
        <v>-51394507</v>
      </c>
      <c r="C18" s="141">
        <f>C11-C12-C16+C17</f>
        <v>-70495889</v>
      </c>
      <c r="D18" s="141">
        <f>D11-D12-D16+D17</f>
        <v>-41076376</v>
      </c>
      <c r="E18" s="289">
        <f t="shared" si="0"/>
        <v>0.7992366966376387</v>
      </c>
      <c r="F18" s="290">
        <f>F11-F12-F16+F17</f>
        <v>-6128364</v>
      </c>
      <c r="G18" s="85" t="s">
        <v>435</v>
      </c>
      <c r="H18" s="66">
        <f>H11-H12-H16+H17</f>
        <v>-51394</v>
      </c>
      <c r="I18" s="66">
        <f>I11-I12-I16+I17</f>
        <v>-70495</v>
      </c>
      <c r="J18" s="66">
        <f>J11-J12-J16+J17</f>
        <v>-41076</v>
      </c>
      <c r="K18" s="16">
        <f t="shared" si="1"/>
        <v>79.9237265050395</v>
      </c>
      <c r="L18" s="66">
        <f>L11-L12-L16+L17</f>
        <v>-6128</v>
      </c>
      <c r="M18" s="294"/>
    </row>
    <row r="19" spans="1:13" ht="25.5">
      <c r="A19" s="114" t="s">
        <v>436</v>
      </c>
      <c r="B19" s="141">
        <f>SUM(B61+B83+B119+B109+B195)</f>
        <v>50694324</v>
      </c>
      <c r="C19" s="141">
        <f>SUM(C61+C83+C109+C119+C195)</f>
        <v>76180381</v>
      </c>
      <c r="D19" s="141">
        <f>SUM(D61,D83,D109,D119,D195)</f>
        <v>49746121</v>
      </c>
      <c r="E19" s="289">
        <f t="shared" si="0"/>
        <v>0.9812956772044145</v>
      </c>
      <c r="F19" s="66">
        <f>SUM(F61+F83+F97+F109+F119+F195-F49)</f>
        <v>3754722</v>
      </c>
      <c r="G19" s="114" t="s">
        <v>436</v>
      </c>
      <c r="H19" s="66">
        <f>SUM(H61+H83+H109+H119+H195)</f>
        <v>50694</v>
      </c>
      <c r="I19" s="287">
        <f>SUM(I61+I83+I109+I119+I195)</f>
        <v>76180</v>
      </c>
      <c r="J19" s="293">
        <f>ROUND(D19/1000,0)</f>
        <v>49746</v>
      </c>
      <c r="K19" s="16">
        <f t="shared" si="1"/>
        <v>98.12995620783525</v>
      </c>
      <c r="L19" s="287">
        <f>SUM(L61+L83+L97+L109+L119+L195-L49)</f>
        <v>3755</v>
      </c>
      <c r="M19" s="294"/>
    </row>
    <row r="20" spans="1:13" ht="25.5">
      <c r="A20" s="114" t="s">
        <v>437</v>
      </c>
      <c r="B20" s="141"/>
      <c r="C20" s="141"/>
      <c r="D20" s="141">
        <f>D84+D97</f>
        <v>464000</v>
      </c>
      <c r="E20" s="141"/>
      <c r="F20" s="141">
        <f>F84+F97</f>
        <v>1262000</v>
      </c>
      <c r="G20" s="114" t="s">
        <v>437</v>
      </c>
      <c r="H20" s="66"/>
      <c r="I20" s="287"/>
      <c r="J20" s="293">
        <f>ROUND(D20/1000,0)</f>
        <v>464</v>
      </c>
      <c r="K20" s="293">
        <f>ROUND(E20/1000,0)</f>
        <v>0</v>
      </c>
      <c r="L20" s="293">
        <f>ROUND(F20/1000,0)</f>
        <v>1262</v>
      </c>
      <c r="M20" s="294"/>
    </row>
    <row r="21" spans="1:13" ht="12.75">
      <c r="A21" s="85" t="s">
        <v>118</v>
      </c>
      <c r="B21" s="141"/>
      <c r="C21" s="141"/>
      <c r="D21" s="141"/>
      <c r="E21" s="289" t="str">
        <f t="shared" si="0"/>
        <v> </v>
      </c>
      <c r="F21" s="290"/>
      <c r="G21" s="85" t="s">
        <v>118</v>
      </c>
      <c r="H21" s="287"/>
      <c r="I21" s="287"/>
      <c r="J21" s="287"/>
      <c r="K21" s="210"/>
      <c r="L21" s="287"/>
      <c r="M21" s="280"/>
    </row>
    <row r="22" spans="1:13" ht="12.75">
      <c r="A22" s="142" t="s">
        <v>438</v>
      </c>
      <c r="B22" s="161"/>
      <c r="C22" s="161"/>
      <c r="D22" s="161"/>
      <c r="E22" s="292" t="str">
        <f t="shared" si="0"/>
        <v> </v>
      </c>
      <c r="F22" s="295"/>
      <c r="G22" s="155" t="s">
        <v>438</v>
      </c>
      <c r="H22" s="296"/>
      <c r="I22" s="296"/>
      <c r="J22" s="296"/>
      <c r="K22" s="210"/>
      <c r="L22" s="296"/>
      <c r="M22" s="280"/>
    </row>
    <row r="23" spans="1:13" ht="12.75">
      <c r="A23" s="291" t="s">
        <v>439</v>
      </c>
      <c r="B23" s="250">
        <f>B24</f>
        <v>2100500</v>
      </c>
      <c r="C23" s="250">
        <f>SUM(C24)</f>
        <v>2005500</v>
      </c>
      <c r="D23" s="161">
        <f>D24</f>
        <v>2050595</v>
      </c>
      <c r="E23" s="292">
        <f t="shared" si="0"/>
        <v>0.9762413711021185</v>
      </c>
      <c r="F23" s="152">
        <f>F24</f>
        <v>158425</v>
      </c>
      <c r="G23" s="291" t="s">
        <v>439</v>
      </c>
      <c r="H23" s="293">
        <f>H24</f>
        <v>2101</v>
      </c>
      <c r="I23" s="293">
        <f>ROUND(C23/1000,0)</f>
        <v>2006</v>
      </c>
      <c r="J23" s="293">
        <f>J24</f>
        <v>2051</v>
      </c>
      <c r="K23" s="210">
        <f t="shared" si="1"/>
        <v>97.62018086625417</v>
      </c>
      <c r="L23" s="293">
        <f>SUM(L24)</f>
        <v>159</v>
      </c>
      <c r="M23" s="280"/>
    </row>
    <row r="24" spans="1:13" ht="12.75">
      <c r="A24" s="291" t="s">
        <v>440</v>
      </c>
      <c r="B24" s="161">
        <v>2100500</v>
      </c>
      <c r="C24" s="231">
        <v>2005500</v>
      </c>
      <c r="D24" s="161">
        <f>'[7]Novembris'!$L$6</f>
        <v>2050595</v>
      </c>
      <c r="E24" s="292">
        <f t="shared" si="0"/>
        <v>0.9762413711021185</v>
      </c>
      <c r="F24" s="295">
        <f>D24-'[8]Oktobris'!D22</f>
        <v>158425</v>
      </c>
      <c r="G24" s="291" t="s">
        <v>440</v>
      </c>
      <c r="H24" s="293">
        <f>ROUND(B24/1000,0)</f>
        <v>2101</v>
      </c>
      <c r="I24" s="293">
        <f>ROUND(C26/1000,0)-1</f>
        <v>1926</v>
      </c>
      <c r="J24" s="293">
        <f>ROUND(D24/1000,0)</f>
        <v>2051</v>
      </c>
      <c r="K24" s="210">
        <f t="shared" si="1"/>
        <v>97.62018086625417</v>
      </c>
      <c r="L24" s="293">
        <f>J24-'[8]Oktobris'!J22</f>
        <v>159</v>
      </c>
      <c r="M24" s="280"/>
    </row>
    <row r="25" spans="1:13" ht="12.75">
      <c r="A25" s="291" t="s">
        <v>441</v>
      </c>
      <c r="B25" s="161">
        <f>B26+B27</f>
        <v>2059242</v>
      </c>
      <c r="C25" s="250">
        <f>SUM(C26:C27)</f>
        <v>1971242</v>
      </c>
      <c r="D25" s="161">
        <f>D26+D27</f>
        <v>1949029</v>
      </c>
      <c r="E25" s="292">
        <f t="shared" si="0"/>
        <v>0.946478849984606</v>
      </c>
      <c r="F25" s="152">
        <f>F26+F27</f>
        <v>131624</v>
      </c>
      <c r="G25" s="291" t="s">
        <v>441</v>
      </c>
      <c r="H25" s="296">
        <f>H26+H27</f>
        <v>2060</v>
      </c>
      <c r="I25" s="293">
        <f>ROUND(C25/1000,0)</f>
        <v>1971</v>
      </c>
      <c r="J25" s="296">
        <f>J26+J27</f>
        <v>1949</v>
      </c>
      <c r="K25" s="210">
        <f t="shared" si="1"/>
        <v>94.6116504854369</v>
      </c>
      <c r="L25" s="296">
        <f>L26+L27</f>
        <v>132</v>
      </c>
      <c r="M25" s="280"/>
    </row>
    <row r="26" spans="1:13" ht="12.75">
      <c r="A26" s="291" t="s">
        <v>442</v>
      </c>
      <c r="B26" s="161">
        <v>2014500</v>
      </c>
      <c r="C26" s="250">
        <v>1926500</v>
      </c>
      <c r="D26" s="161">
        <f>'[7]Novembris'!$L$8</f>
        <v>1920112</v>
      </c>
      <c r="E26" s="292">
        <f t="shared" si="0"/>
        <v>0.9531456937205262</v>
      </c>
      <c r="F26" s="295">
        <f>D26-'[8]Oktobris'!D24</f>
        <v>128433</v>
      </c>
      <c r="G26" s="291" t="s">
        <v>442</v>
      </c>
      <c r="H26" s="293">
        <f aca="true" t="shared" si="4" ref="H26:J27">ROUND(B26/1000,0)</f>
        <v>2015</v>
      </c>
      <c r="I26" s="293">
        <f>ROUND(C26/1000,0)-1</f>
        <v>1926</v>
      </c>
      <c r="J26" s="293">
        <f>ROUND(D26/1000,0)</f>
        <v>1920</v>
      </c>
      <c r="K26" s="210">
        <f t="shared" si="1"/>
        <v>95.28535980148884</v>
      </c>
      <c r="L26" s="293">
        <f>J26-'[8]Oktobris'!J24</f>
        <v>129</v>
      </c>
      <c r="M26" s="280"/>
    </row>
    <row r="27" spans="1:13" ht="12.75">
      <c r="A27" s="291" t="s">
        <v>432</v>
      </c>
      <c r="B27" s="161">
        <v>44742</v>
      </c>
      <c r="C27" s="250">
        <v>44742</v>
      </c>
      <c r="D27" s="161">
        <f>'[7]Novembris'!$L$30</f>
        <v>28917</v>
      </c>
      <c r="E27" s="292">
        <f t="shared" si="0"/>
        <v>0.6463054847794019</v>
      </c>
      <c r="F27" s="295">
        <f>D27-'[8]Oktobris'!D25</f>
        <v>3191</v>
      </c>
      <c r="G27" s="291" t="s">
        <v>432</v>
      </c>
      <c r="H27" s="293">
        <f t="shared" si="4"/>
        <v>45</v>
      </c>
      <c r="I27" s="293">
        <f t="shared" si="4"/>
        <v>45</v>
      </c>
      <c r="J27" s="293">
        <f t="shared" si="4"/>
        <v>29</v>
      </c>
      <c r="K27" s="210">
        <f t="shared" si="1"/>
        <v>64.44444444444444</v>
      </c>
      <c r="L27" s="293">
        <f>J27-'[8]Oktobris'!J25</f>
        <v>3</v>
      </c>
      <c r="M27" s="280"/>
    </row>
    <row r="28" spans="1:13" ht="12.75">
      <c r="A28" s="85" t="s">
        <v>119</v>
      </c>
      <c r="B28" s="141"/>
      <c r="C28" s="162"/>
      <c r="D28" s="141"/>
      <c r="E28" s="292" t="str">
        <f t="shared" si="0"/>
        <v> </v>
      </c>
      <c r="F28" s="290"/>
      <c r="G28" s="85" t="s">
        <v>119</v>
      </c>
      <c r="H28" s="287"/>
      <c r="I28" s="287"/>
      <c r="J28" s="287"/>
      <c r="K28" s="210"/>
      <c r="L28" s="287"/>
      <c r="M28" s="280"/>
    </row>
    <row r="29" spans="1:13" ht="36.75" customHeight="1">
      <c r="A29" s="140" t="s">
        <v>443</v>
      </c>
      <c r="B29" s="161"/>
      <c r="C29" s="250"/>
      <c r="D29" s="161"/>
      <c r="E29" s="292" t="str">
        <f t="shared" si="0"/>
        <v> </v>
      </c>
      <c r="F29" s="295"/>
      <c r="G29" s="140" t="s">
        <v>443</v>
      </c>
      <c r="H29" s="296"/>
      <c r="I29" s="296"/>
      <c r="J29" s="296"/>
      <c r="K29" s="210"/>
      <c r="L29" s="296"/>
      <c r="M29" s="280"/>
    </row>
    <row r="30" spans="1:13" ht="12.75">
      <c r="A30" s="291" t="s">
        <v>439</v>
      </c>
      <c r="B30" s="161">
        <f>B31+B32</f>
        <v>1770000</v>
      </c>
      <c r="C30" s="161">
        <v>1657900</v>
      </c>
      <c r="D30" s="161">
        <f>SUM(D31:D32)</f>
        <v>2924675</v>
      </c>
      <c r="E30" s="292">
        <f t="shared" si="0"/>
        <v>1.652358757062147</v>
      </c>
      <c r="F30" s="295">
        <f>F31+F32</f>
        <v>184480</v>
      </c>
      <c r="G30" s="291" t="s">
        <v>439</v>
      </c>
      <c r="H30" s="296">
        <f>H31+H32</f>
        <v>1770</v>
      </c>
      <c r="I30" s="293">
        <f>ROUND(C30/1000,0)</f>
        <v>1658</v>
      </c>
      <c r="J30" s="296">
        <f>J31+J32</f>
        <v>2925</v>
      </c>
      <c r="K30" s="210">
        <f t="shared" si="1"/>
        <v>165.25423728813558</v>
      </c>
      <c r="L30" s="296">
        <f>SUM(L31:L32)</f>
        <v>185</v>
      </c>
      <c r="M30" s="280"/>
    </row>
    <row r="31" spans="1:13" ht="25.5">
      <c r="A31" s="114" t="s">
        <v>444</v>
      </c>
      <c r="B31" s="161">
        <v>1415000</v>
      </c>
      <c r="D31" s="161">
        <v>2350375</v>
      </c>
      <c r="E31" s="292">
        <f t="shared" si="0"/>
        <v>1.6610424028268551</v>
      </c>
      <c r="F31" s="295">
        <f>D31-'[8]Oktobris'!D29</f>
        <v>143737</v>
      </c>
      <c r="G31" s="114" t="s">
        <v>444</v>
      </c>
      <c r="H31" s="293">
        <f>ROUND(B31/1000,0)</f>
        <v>1415</v>
      </c>
      <c r="I31" s="293">
        <f>ROUND(C34/1000,0)</f>
        <v>963</v>
      </c>
      <c r="J31" s="293">
        <f>ROUND(D31/1000,0)+1</f>
        <v>2351</v>
      </c>
      <c r="K31" s="210">
        <f t="shared" si="1"/>
        <v>166.14840989399292</v>
      </c>
      <c r="L31" s="293">
        <f>J31-'[8]Oktobris'!J29</f>
        <v>144</v>
      </c>
      <c r="M31" s="280"/>
    </row>
    <row r="32" spans="1:13" ht="12.75">
      <c r="A32" s="270" t="s">
        <v>445</v>
      </c>
      <c r="B32" s="161">
        <f>310000+45000</f>
        <v>355000</v>
      </c>
      <c r="C32" s="250"/>
      <c r="D32" s="161">
        <v>574300</v>
      </c>
      <c r="E32" s="292"/>
      <c r="F32" s="295">
        <f>D32-'[8]Oktobris'!D30</f>
        <v>40743</v>
      </c>
      <c r="G32" s="270" t="s">
        <v>445</v>
      </c>
      <c r="H32" s="293">
        <f>ROUND(B32/1000,0)</f>
        <v>355</v>
      </c>
      <c r="I32" s="293">
        <f aca="true" t="shared" si="5" ref="I32:I37">ROUND(C32/1000,0)</f>
        <v>0</v>
      </c>
      <c r="J32" s="293">
        <f>ROUND(D32/1000,0)</f>
        <v>574</v>
      </c>
      <c r="K32" s="210">
        <f t="shared" si="1"/>
        <v>161.69014084507043</v>
      </c>
      <c r="L32" s="293">
        <f>J32-'[8]Oktobris'!J30</f>
        <v>41</v>
      </c>
      <c r="M32" s="280"/>
    </row>
    <row r="33" spans="1:13" ht="12.75">
      <c r="A33" s="291" t="s">
        <v>441</v>
      </c>
      <c r="B33" s="161">
        <f>B34</f>
        <v>1045000</v>
      </c>
      <c r="C33" s="250">
        <f>SUM(C34)</f>
        <v>963400</v>
      </c>
      <c r="D33" s="161">
        <f>D34</f>
        <v>583841</v>
      </c>
      <c r="E33" s="292">
        <f t="shared" si="0"/>
        <v>0.5586995215311005</v>
      </c>
      <c r="F33" s="295">
        <f>F34</f>
        <v>46117</v>
      </c>
      <c r="G33" s="291" t="s">
        <v>441</v>
      </c>
      <c r="H33" s="296">
        <f>H34</f>
        <v>1045</v>
      </c>
      <c r="I33" s="293">
        <f t="shared" si="5"/>
        <v>963</v>
      </c>
      <c r="J33" s="296">
        <f>J34</f>
        <v>584</v>
      </c>
      <c r="K33" s="210">
        <f t="shared" si="1"/>
        <v>55.885167464114836</v>
      </c>
      <c r="L33" s="296">
        <f>L34</f>
        <v>46</v>
      </c>
      <c r="M33" s="280"/>
    </row>
    <row r="34" spans="1:13" ht="12.75">
      <c r="A34" s="291" t="s">
        <v>442</v>
      </c>
      <c r="B34" s="161">
        <v>1045000</v>
      </c>
      <c r="C34" s="250">
        <v>963400</v>
      </c>
      <c r="D34" s="161">
        <f>'[7]Novembris'!$X$8</f>
        <v>583841</v>
      </c>
      <c r="E34" s="292">
        <f t="shared" si="0"/>
        <v>0.5586995215311005</v>
      </c>
      <c r="F34" s="295">
        <f>D34-'[8]Oktobris'!D32</f>
        <v>46117</v>
      </c>
      <c r="G34" s="291" t="s">
        <v>442</v>
      </c>
      <c r="H34" s="293">
        <f>ROUND(B34/1000,0)</f>
        <v>1045</v>
      </c>
      <c r="I34" s="293">
        <f t="shared" si="5"/>
        <v>963</v>
      </c>
      <c r="J34" s="293">
        <f>ROUND(D34/1000,0)</f>
        <v>584</v>
      </c>
      <c r="K34" s="210">
        <f t="shared" si="1"/>
        <v>55.885167464114836</v>
      </c>
      <c r="L34" s="293">
        <f>J34-'[8]Oktobris'!J32</f>
        <v>46</v>
      </c>
      <c r="M34" s="280"/>
    </row>
    <row r="35" spans="1:13" ht="38.25">
      <c r="A35" s="140" t="s">
        <v>446</v>
      </c>
      <c r="B35" s="238"/>
      <c r="C35" s="250"/>
      <c r="D35" s="238"/>
      <c r="E35" s="292" t="str">
        <f t="shared" si="0"/>
        <v> </v>
      </c>
      <c r="F35" s="297"/>
      <c r="G35" s="140" t="s">
        <v>446</v>
      </c>
      <c r="H35" s="249"/>
      <c r="I35" s="293">
        <f t="shared" si="5"/>
        <v>0</v>
      </c>
      <c r="J35" s="249"/>
      <c r="K35" s="210"/>
      <c r="L35" s="249"/>
      <c r="M35" s="280"/>
    </row>
    <row r="36" spans="1:13" ht="12.75">
      <c r="A36" s="291" t="s">
        <v>439</v>
      </c>
      <c r="B36" s="161">
        <f>B37</f>
        <v>750000</v>
      </c>
      <c r="C36" s="250">
        <f>SUM(C37)</f>
        <v>750000</v>
      </c>
      <c r="D36" s="161">
        <f>D37</f>
        <v>1151229</v>
      </c>
      <c r="E36" s="292">
        <f t="shared" si="0"/>
        <v>1.534972</v>
      </c>
      <c r="F36" s="152">
        <f>F37</f>
        <v>3400</v>
      </c>
      <c r="G36" s="291" t="s">
        <v>439</v>
      </c>
      <c r="H36" s="152">
        <f>H37</f>
        <v>750</v>
      </c>
      <c r="I36" s="293">
        <f t="shared" si="5"/>
        <v>750</v>
      </c>
      <c r="J36" s="152">
        <f>J37</f>
        <v>1151</v>
      </c>
      <c r="K36" s="210">
        <f t="shared" si="1"/>
        <v>153.46666666666667</v>
      </c>
      <c r="L36" s="152">
        <f>L37</f>
        <v>3</v>
      </c>
      <c r="M36" s="280"/>
    </row>
    <row r="37" spans="1:13" ht="12.75">
      <c r="A37" s="298" t="s">
        <v>447</v>
      </c>
      <c r="B37" s="299">
        <v>750000</v>
      </c>
      <c r="C37" s="300">
        <v>750000</v>
      </c>
      <c r="D37" s="299">
        <f>'[7]Novembris'!$Y$6</f>
        <v>1151229</v>
      </c>
      <c r="E37" s="292">
        <f t="shared" si="0"/>
        <v>1.534972</v>
      </c>
      <c r="F37" s="295">
        <f>D37-'[8]Oktobris'!D35</f>
        <v>3400</v>
      </c>
      <c r="G37" s="298" t="s">
        <v>448</v>
      </c>
      <c r="H37" s="293">
        <f>ROUND(B37/1000,0)</f>
        <v>750</v>
      </c>
      <c r="I37" s="293">
        <f t="shared" si="5"/>
        <v>750</v>
      </c>
      <c r="J37" s="293">
        <f>ROUND(D37/1000,0)</f>
        <v>1151</v>
      </c>
      <c r="K37" s="210">
        <f t="shared" si="1"/>
        <v>153.46666666666667</v>
      </c>
      <c r="L37" s="293">
        <f>J37-'[8]Oktobris'!J35</f>
        <v>3</v>
      </c>
      <c r="M37" s="280"/>
    </row>
    <row r="38" spans="1:13" ht="12.75">
      <c r="A38" s="291" t="s">
        <v>441</v>
      </c>
      <c r="B38" s="161">
        <f>B39</f>
        <v>53300</v>
      </c>
      <c r="C38" s="250">
        <f>SUM(C39)</f>
        <v>50540</v>
      </c>
      <c r="D38" s="161">
        <f>D39</f>
        <v>37542</v>
      </c>
      <c r="E38" s="292">
        <f t="shared" si="0"/>
        <v>0.7043527204502814</v>
      </c>
      <c r="F38" s="295">
        <f>F39</f>
        <v>5490</v>
      </c>
      <c r="G38" s="291" t="s">
        <v>441</v>
      </c>
      <c r="H38" s="296">
        <f>H39</f>
        <v>53</v>
      </c>
      <c r="I38" s="296">
        <f>I39</f>
        <v>51</v>
      </c>
      <c r="J38" s="296">
        <f>J39</f>
        <v>38</v>
      </c>
      <c r="K38" s="210">
        <f t="shared" si="1"/>
        <v>71.69811320754717</v>
      </c>
      <c r="L38" s="296">
        <f>L39</f>
        <v>6</v>
      </c>
      <c r="M38" s="280"/>
    </row>
    <row r="39" spans="1:13" ht="12.75">
      <c r="A39" s="291" t="s">
        <v>442</v>
      </c>
      <c r="B39" s="301">
        <v>53300</v>
      </c>
      <c r="C39" s="250">
        <v>50540</v>
      </c>
      <c r="D39" s="161">
        <f>'[7]Novembris'!$Y$8</f>
        <v>37542</v>
      </c>
      <c r="E39" s="292">
        <f t="shared" si="0"/>
        <v>0.7043527204502814</v>
      </c>
      <c r="F39" s="295">
        <f>D39-'[8]Oktobris'!D37</f>
        <v>5490</v>
      </c>
      <c r="G39" s="291" t="s">
        <v>449</v>
      </c>
      <c r="H39" s="293">
        <f>ROUND(B39/1000,0)</f>
        <v>53</v>
      </c>
      <c r="I39" s="293">
        <f>ROUND(C39/1000,0)</f>
        <v>51</v>
      </c>
      <c r="J39" s="293">
        <f>ROUND(D39/1000,0)</f>
        <v>38</v>
      </c>
      <c r="K39" s="210">
        <f t="shared" si="1"/>
        <v>71.69811320754717</v>
      </c>
      <c r="L39" s="293">
        <f>J39-'[8]Oktobris'!J37</f>
        <v>6</v>
      </c>
      <c r="M39" s="280"/>
    </row>
    <row r="40" spans="1:13" ht="15" customHeight="1">
      <c r="A40" s="140" t="s">
        <v>450</v>
      </c>
      <c r="B40" s="301"/>
      <c r="C40" s="250"/>
      <c r="D40" s="161"/>
      <c r="E40" s="292" t="str">
        <f t="shared" si="0"/>
        <v> </v>
      </c>
      <c r="F40" s="295"/>
      <c r="G40" s="140" t="s">
        <v>450</v>
      </c>
      <c r="H40" s="293">
        <f aca="true" t="shared" si="6" ref="H40:I42">ROUND(B40/1000,0)</f>
        <v>0</v>
      </c>
      <c r="I40" s="293">
        <f t="shared" si="6"/>
        <v>0</v>
      </c>
      <c r="J40" s="293"/>
      <c r="K40" s="210"/>
      <c r="L40" s="293"/>
      <c r="M40" s="280"/>
    </row>
    <row r="41" spans="1:13" ht="12.75">
      <c r="A41" s="291" t="s">
        <v>439</v>
      </c>
      <c r="B41" s="301">
        <f>B42</f>
        <v>56793</v>
      </c>
      <c r="C41" s="250">
        <f>C42</f>
        <v>24000</v>
      </c>
      <c r="D41" s="161">
        <f>D42</f>
        <v>0</v>
      </c>
      <c r="E41" s="292">
        <f t="shared" si="0"/>
        <v>0</v>
      </c>
      <c r="F41" s="295">
        <f>D41-'[8]Oktobris'!D39</f>
        <v>0</v>
      </c>
      <c r="G41" s="291" t="s">
        <v>439</v>
      </c>
      <c r="H41" s="293">
        <f t="shared" si="6"/>
        <v>57</v>
      </c>
      <c r="I41" s="293">
        <f t="shared" si="6"/>
        <v>24</v>
      </c>
      <c r="J41" s="293"/>
      <c r="K41" s="210"/>
      <c r="L41" s="293"/>
      <c r="M41" s="280"/>
    </row>
    <row r="42" spans="1:13" ht="30" customHeight="1">
      <c r="A42" s="114" t="s">
        <v>444</v>
      </c>
      <c r="B42" s="301">
        <v>56793</v>
      </c>
      <c r="C42" s="250">
        <v>24000</v>
      </c>
      <c r="D42" s="161">
        <v>0</v>
      </c>
      <c r="E42" s="292">
        <f t="shared" si="0"/>
        <v>0</v>
      </c>
      <c r="F42" s="295">
        <v>0</v>
      </c>
      <c r="G42" s="114" t="s">
        <v>444</v>
      </c>
      <c r="H42" s="293">
        <f t="shared" si="6"/>
        <v>57</v>
      </c>
      <c r="I42" s="293">
        <f t="shared" si="6"/>
        <v>24</v>
      </c>
      <c r="J42" s="293"/>
      <c r="K42" s="210"/>
      <c r="L42" s="293"/>
      <c r="M42" s="280"/>
    </row>
    <row r="43" spans="1:13" ht="12.75">
      <c r="A43" s="85" t="s">
        <v>121</v>
      </c>
      <c r="B43" s="141"/>
      <c r="C43" s="162"/>
      <c r="D43" s="161"/>
      <c r="E43" s="292" t="str">
        <f t="shared" si="0"/>
        <v> </v>
      </c>
      <c r="F43" s="290"/>
      <c r="G43" s="85" t="s">
        <v>121</v>
      </c>
      <c r="H43" s="287"/>
      <c r="I43" s="287"/>
      <c r="J43" s="287"/>
      <c r="K43" s="210"/>
      <c r="L43" s="287"/>
      <c r="M43" s="280"/>
    </row>
    <row r="44" spans="1:13" ht="12.75">
      <c r="A44" s="142" t="s">
        <v>451</v>
      </c>
      <c r="B44" s="161"/>
      <c r="C44" s="250"/>
      <c r="D44" s="161"/>
      <c r="E44" s="292" t="str">
        <f t="shared" si="0"/>
        <v> </v>
      </c>
      <c r="F44" s="295"/>
      <c r="G44" s="142" t="s">
        <v>451</v>
      </c>
      <c r="H44" s="296"/>
      <c r="I44" s="296"/>
      <c r="J44" s="296"/>
      <c r="K44" s="210"/>
      <c r="L44" s="296"/>
      <c r="M44" s="280"/>
    </row>
    <row r="45" spans="1:13" ht="12.75">
      <c r="A45" s="291" t="s">
        <v>439</v>
      </c>
      <c r="B45" s="302">
        <f>B46</f>
        <v>1550000</v>
      </c>
      <c r="C45" s="250">
        <f>SUM(C46)</f>
        <v>1499577</v>
      </c>
      <c r="D45" s="161">
        <f>D46</f>
        <v>1452842</v>
      </c>
      <c r="E45" s="292">
        <f t="shared" si="0"/>
        <v>0.9373174193548387</v>
      </c>
      <c r="F45" s="295">
        <f>F46</f>
        <v>0</v>
      </c>
      <c r="G45" s="291" t="s">
        <v>439</v>
      </c>
      <c r="H45" s="296">
        <f>H46</f>
        <v>1550</v>
      </c>
      <c r="I45" s="293">
        <f>ROUND(C45/1000,0)</f>
        <v>1500</v>
      </c>
      <c r="J45" s="296">
        <f>J46</f>
        <v>1453</v>
      </c>
      <c r="K45" s="210">
        <f t="shared" si="1"/>
        <v>93.74193548387096</v>
      </c>
      <c r="L45" s="296">
        <f>L46</f>
        <v>0</v>
      </c>
      <c r="M45" s="280"/>
    </row>
    <row r="46" spans="1:13" ht="12.75">
      <c r="A46" s="114" t="s">
        <v>452</v>
      </c>
      <c r="B46" s="161">
        <v>1550000</v>
      </c>
      <c r="C46" s="250">
        <v>1499577</v>
      </c>
      <c r="D46" s="161">
        <f>'[7]Novembris'!$O$6</f>
        <v>1452842</v>
      </c>
      <c r="E46" s="292">
        <f t="shared" si="0"/>
        <v>0.9373174193548387</v>
      </c>
      <c r="F46" s="295">
        <f>D46-'[8]Oktobris'!D41</f>
        <v>0</v>
      </c>
      <c r="G46" s="114" t="s">
        <v>452</v>
      </c>
      <c r="H46" s="293">
        <f>ROUND(B46/1000,0)</f>
        <v>1550</v>
      </c>
      <c r="I46" s="293">
        <f>ROUND(C46/1000,0)</f>
        <v>1500</v>
      </c>
      <c r="J46" s="293">
        <f>ROUND(D46/1000,0)</f>
        <v>1453</v>
      </c>
      <c r="K46" s="210">
        <f t="shared" si="1"/>
        <v>93.74193548387096</v>
      </c>
      <c r="L46" s="293">
        <f>J46-'[8]Oktobris'!J41</f>
        <v>0</v>
      </c>
      <c r="M46" s="280"/>
    </row>
    <row r="47" spans="1:13" ht="12.75">
      <c r="A47" s="291" t="s">
        <v>441</v>
      </c>
      <c r="B47" s="161">
        <f>B48+B50</f>
        <v>2249512</v>
      </c>
      <c r="C47" s="250">
        <f>SUM(C48:C50)</f>
        <v>2099089</v>
      </c>
      <c r="D47" s="161">
        <f>D48+D50</f>
        <v>1964210</v>
      </c>
      <c r="E47" s="292">
        <f t="shared" si="0"/>
        <v>0.8731716034411019</v>
      </c>
      <c r="F47" s="295">
        <f>F48+F50</f>
        <v>528240</v>
      </c>
      <c r="G47" s="291" t="s">
        <v>441</v>
      </c>
      <c r="H47" s="296">
        <f>H48+H50</f>
        <v>2250</v>
      </c>
      <c r="I47" s="296">
        <f>I48+I50</f>
        <v>2100</v>
      </c>
      <c r="J47" s="296">
        <f>J48+J50</f>
        <v>1964</v>
      </c>
      <c r="K47" s="210">
        <f t="shared" si="1"/>
        <v>87.28888888888889</v>
      </c>
      <c r="L47" s="296">
        <f>L48+L50</f>
        <v>528</v>
      </c>
      <c r="M47" s="280"/>
    </row>
    <row r="48" spans="1:13" ht="12.75">
      <c r="A48" s="291" t="s">
        <v>442</v>
      </c>
      <c r="B48" s="161">
        <v>1617000</v>
      </c>
      <c r="C48" s="250">
        <v>1566577</v>
      </c>
      <c r="D48" s="161">
        <f>'[7]Novembris'!$O$8</f>
        <v>1544210</v>
      </c>
      <c r="E48" s="292">
        <f t="shared" si="0"/>
        <v>0.9549845392702535</v>
      </c>
      <c r="F48" s="295">
        <f>D48-'[8]Oktobris'!D43</f>
        <v>366240</v>
      </c>
      <c r="G48" s="291" t="s">
        <v>453</v>
      </c>
      <c r="H48" s="293">
        <f>ROUND(B48/1000,0)</f>
        <v>1617</v>
      </c>
      <c r="I48" s="293">
        <f>ROUND(C48/1000,0)</f>
        <v>1567</v>
      </c>
      <c r="J48" s="293">
        <f>ROUND(D48/1000,0)</f>
        <v>1544</v>
      </c>
      <c r="K48" s="210">
        <f t="shared" si="1"/>
        <v>95.48546691403834</v>
      </c>
      <c r="L48" s="293">
        <f>J48-'[8]Oktobris'!J43</f>
        <v>366</v>
      </c>
      <c r="M48" s="280"/>
    </row>
    <row r="49" spans="1:13" ht="25.5">
      <c r="A49" s="114" t="s">
        <v>454</v>
      </c>
      <c r="B49" s="161">
        <v>300000</v>
      </c>
      <c r="C49" s="250"/>
      <c r="D49" s="161">
        <f>'[7]Novembris'!$O$15</f>
        <v>300000</v>
      </c>
      <c r="E49" s="292">
        <f t="shared" si="0"/>
        <v>1</v>
      </c>
      <c r="F49" s="295">
        <f>D49-'[8]Oktobris'!D44</f>
        <v>0</v>
      </c>
      <c r="G49" s="114" t="str">
        <f>A49</f>
        <v>               t.sk. aizņēmumu atmaksa pamatbudžetā</v>
      </c>
      <c r="H49" s="293">
        <f>ROUND(B49/1000,0)</f>
        <v>300</v>
      </c>
      <c r="I49" s="293"/>
      <c r="J49" s="293">
        <f>ROUND(D49/1000,0)</f>
        <v>300</v>
      </c>
      <c r="K49" s="210">
        <f t="shared" si="1"/>
        <v>100</v>
      </c>
      <c r="L49" s="293">
        <f>J49-'[8]Oktobris'!J44</f>
        <v>0</v>
      </c>
      <c r="M49" s="280"/>
    </row>
    <row r="50" spans="1:13" ht="12.75">
      <c r="A50" s="291" t="s">
        <v>432</v>
      </c>
      <c r="B50" s="161">
        <v>632512</v>
      </c>
      <c r="C50" s="250">
        <v>532512</v>
      </c>
      <c r="D50" s="161">
        <f>'[7]Novembris'!$O$30</f>
        <v>420000</v>
      </c>
      <c r="E50" s="292">
        <f t="shared" si="0"/>
        <v>0.6640190225639988</v>
      </c>
      <c r="F50" s="295">
        <f>D50-'[8]Oktobris'!D45</f>
        <v>162000</v>
      </c>
      <c r="G50" s="291" t="s">
        <v>455</v>
      </c>
      <c r="H50" s="293">
        <f>ROUND(B50/1000,0)</f>
        <v>633</v>
      </c>
      <c r="I50" s="293">
        <f>ROUND(C50/1000,0)</f>
        <v>533</v>
      </c>
      <c r="J50" s="293">
        <f>ROUND(D50/1000,0)</f>
        <v>420</v>
      </c>
      <c r="K50" s="210">
        <f t="shared" si="1"/>
        <v>66.35071090047393</v>
      </c>
      <c r="L50" s="293">
        <f>J50-'[8]Oktobris'!J45</f>
        <v>162</v>
      </c>
      <c r="M50" s="280"/>
    </row>
    <row r="51" spans="1:13" ht="12.75">
      <c r="A51" s="140" t="s">
        <v>456</v>
      </c>
      <c r="B51" s="161"/>
      <c r="C51" s="250"/>
      <c r="D51" s="161"/>
      <c r="E51" s="292" t="str">
        <f t="shared" si="0"/>
        <v> </v>
      </c>
      <c r="F51" s="295"/>
      <c r="G51" s="140" t="s">
        <v>456</v>
      </c>
      <c r="H51" s="296"/>
      <c r="I51" s="296"/>
      <c r="J51" s="296"/>
      <c r="K51" s="210"/>
      <c r="L51" s="296"/>
      <c r="M51" s="280"/>
    </row>
    <row r="52" spans="1:13" ht="12.75">
      <c r="A52" s="291" t="s">
        <v>439</v>
      </c>
      <c r="B52" s="302">
        <f>B53</f>
        <v>889484</v>
      </c>
      <c r="C52" s="250">
        <f>C53</f>
        <v>1177652</v>
      </c>
      <c r="D52" s="161">
        <f>D53</f>
        <v>1177652</v>
      </c>
      <c r="E52" s="292">
        <f t="shared" si="0"/>
        <v>1.3239721006785956</v>
      </c>
      <c r="F52" s="295">
        <f>F53</f>
        <v>4068</v>
      </c>
      <c r="G52" s="291" t="s">
        <v>439</v>
      </c>
      <c r="H52" s="296">
        <f>H53</f>
        <v>889</v>
      </c>
      <c r="I52" s="293">
        <f>ROUND(C52/1000,0)</f>
        <v>1178</v>
      </c>
      <c r="J52" s="296">
        <f>J53</f>
        <v>1178</v>
      </c>
      <c r="K52" s="210">
        <f t="shared" si="1"/>
        <v>132.50843644544432</v>
      </c>
      <c r="L52" s="296">
        <f>L53</f>
        <v>4</v>
      </c>
      <c r="M52" s="280"/>
    </row>
    <row r="53" spans="1:13" ht="12.75">
      <c r="A53" s="114" t="s">
        <v>452</v>
      </c>
      <c r="B53" s="161">
        <v>889484</v>
      </c>
      <c r="C53" s="250">
        <v>1177652</v>
      </c>
      <c r="D53" s="161">
        <f>'[7]Novembris'!$P$6</f>
        <v>1177652</v>
      </c>
      <c r="E53" s="292">
        <f t="shared" si="0"/>
        <v>1.3239721006785956</v>
      </c>
      <c r="F53" s="295">
        <f>D53-'[8]Oktobris'!D48</f>
        <v>4068</v>
      </c>
      <c r="G53" s="114" t="s">
        <v>452</v>
      </c>
      <c r="H53" s="293">
        <f>ROUND(B53/1000,0)</f>
        <v>889</v>
      </c>
      <c r="I53" s="293">
        <f>ROUND(C53/1000,0)</f>
        <v>1178</v>
      </c>
      <c r="J53" s="293">
        <f>ROUND(D53/1000,0)</f>
        <v>1178</v>
      </c>
      <c r="K53" s="210">
        <f t="shared" si="1"/>
        <v>132.50843644544432</v>
      </c>
      <c r="L53" s="293">
        <f>J53-'[8]Oktobris'!J48</f>
        <v>4</v>
      </c>
      <c r="M53" s="280"/>
    </row>
    <row r="54" spans="1:13" ht="12.75">
      <c r="A54" s="291" t="s">
        <v>441</v>
      </c>
      <c r="B54" s="161">
        <f>B55+B57</f>
        <v>905864</v>
      </c>
      <c r="C54" s="250">
        <f>SUM(C55:C57)</f>
        <v>1190747</v>
      </c>
      <c r="D54" s="161">
        <f>D55+D57</f>
        <v>611518</v>
      </c>
      <c r="E54" s="292">
        <f t="shared" si="0"/>
        <v>0.675066014324446</v>
      </c>
      <c r="F54" s="295">
        <f>F55+F57</f>
        <v>5326</v>
      </c>
      <c r="G54" s="291" t="s">
        <v>441</v>
      </c>
      <c r="H54" s="296">
        <f>H55+H57</f>
        <v>906</v>
      </c>
      <c r="I54" s="296">
        <f>I55+I57</f>
        <v>1190</v>
      </c>
      <c r="J54" s="296">
        <f>J55+J57</f>
        <v>611</v>
      </c>
      <c r="K54" s="210">
        <f t="shared" si="1"/>
        <v>67.439293598234</v>
      </c>
      <c r="L54" s="296">
        <f>L55+L57</f>
        <v>5</v>
      </c>
      <c r="M54" s="280"/>
    </row>
    <row r="55" spans="1:13" ht="12.75">
      <c r="A55" s="291" t="s">
        <v>442</v>
      </c>
      <c r="B55" s="161">
        <v>901664</v>
      </c>
      <c r="C55" s="250">
        <v>1186547</v>
      </c>
      <c r="D55" s="161">
        <f>'[7]Novembris'!$P$8</f>
        <v>607318</v>
      </c>
      <c r="E55" s="292">
        <f t="shared" si="0"/>
        <v>0.6735524541292544</v>
      </c>
      <c r="F55" s="295">
        <f>D55-'[8]Oktobris'!D50</f>
        <v>4298</v>
      </c>
      <c r="G55" s="291" t="s">
        <v>453</v>
      </c>
      <c r="H55" s="293">
        <f aca="true" t="shared" si="7" ref="H55:J61">ROUND(B55/1000,0)</f>
        <v>902</v>
      </c>
      <c r="I55" s="293">
        <f>ROUND(C55/1000,0)-1</f>
        <v>1186</v>
      </c>
      <c r="J55" s="293">
        <f t="shared" si="7"/>
        <v>607</v>
      </c>
      <c r="K55" s="210">
        <f t="shared" si="1"/>
        <v>67.29490022172949</v>
      </c>
      <c r="L55" s="293">
        <f>J55-'[8]Oktobris'!J50</f>
        <v>4</v>
      </c>
      <c r="M55" s="280"/>
    </row>
    <row r="56" spans="1:13" ht="25.5">
      <c r="A56" s="114" t="s">
        <v>454</v>
      </c>
      <c r="B56" s="161">
        <v>53970</v>
      </c>
      <c r="C56" s="250"/>
      <c r="D56" s="161">
        <v>2220</v>
      </c>
      <c r="E56" s="292">
        <f t="shared" si="0"/>
        <v>0.04113396331295164</v>
      </c>
      <c r="F56" s="295">
        <v>0</v>
      </c>
      <c r="G56" s="114" t="s">
        <v>454</v>
      </c>
      <c r="H56" s="293">
        <f t="shared" si="7"/>
        <v>54</v>
      </c>
      <c r="I56" s="293"/>
      <c r="J56" s="293">
        <f t="shared" si="7"/>
        <v>2</v>
      </c>
      <c r="K56" s="210">
        <f t="shared" si="1"/>
        <v>3.7037037037037033</v>
      </c>
      <c r="L56" s="293">
        <v>0</v>
      </c>
      <c r="M56" s="280"/>
    </row>
    <row r="57" spans="1:13" ht="12.75">
      <c r="A57" s="291" t="s">
        <v>432</v>
      </c>
      <c r="B57" s="161">
        <v>4200</v>
      </c>
      <c r="C57" s="250">
        <v>4200</v>
      </c>
      <c r="D57" s="161">
        <f>'[7]Novembris'!$P$30</f>
        <v>4200</v>
      </c>
      <c r="E57" s="292">
        <f t="shared" si="0"/>
        <v>1</v>
      </c>
      <c r="F57" s="295">
        <f>D57-'[8]Oktobris'!D51</f>
        <v>1028</v>
      </c>
      <c r="G57" s="291" t="s">
        <v>455</v>
      </c>
      <c r="H57" s="293">
        <f t="shared" si="7"/>
        <v>4</v>
      </c>
      <c r="I57" s="293">
        <f t="shared" si="7"/>
        <v>4</v>
      </c>
      <c r="J57" s="293">
        <f t="shared" si="7"/>
        <v>4</v>
      </c>
      <c r="K57" s="210">
        <f t="shared" si="1"/>
        <v>100</v>
      </c>
      <c r="L57" s="293">
        <f>J57-'[8]Oktobris'!J51</f>
        <v>1</v>
      </c>
      <c r="M57" s="280"/>
    </row>
    <row r="58" spans="1:13" ht="12.75">
      <c r="A58" s="291" t="s">
        <v>433</v>
      </c>
      <c r="B58" s="161">
        <v>6756000</v>
      </c>
      <c r="C58" s="250"/>
      <c r="D58" s="161">
        <f>'[7]Novembris'!$P$34</f>
        <v>4736481</v>
      </c>
      <c r="E58" s="292">
        <f t="shared" si="0"/>
        <v>0.7010777087033748</v>
      </c>
      <c r="F58" s="295">
        <f>D58-'[8]Oktobris'!D52</f>
        <v>824012</v>
      </c>
      <c r="G58" s="291" t="s">
        <v>433</v>
      </c>
      <c r="H58" s="293">
        <f t="shared" si="7"/>
        <v>6756</v>
      </c>
      <c r="I58" s="293">
        <f t="shared" si="7"/>
        <v>0</v>
      </c>
      <c r="J58" s="293">
        <f>ROUND(D58/1000,0)</f>
        <v>4736</v>
      </c>
      <c r="K58" s="210">
        <f t="shared" si="1"/>
        <v>70.10065127294257</v>
      </c>
      <c r="L58" s="293">
        <f>J58-'[8]Oktobris'!J52</f>
        <v>824</v>
      </c>
      <c r="M58" s="280"/>
    </row>
    <row r="59" spans="1:13" ht="12.75">
      <c r="A59" s="291" t="s">
        <v>434</v>
      </c>
      <c r="B59" s="161">
        <v>16380</v>
      </c>
      <c r="C59" s="250"/>
      <c r="D59" s="161">
        <f>-'[7]Novembris'!$P$35</f>
        <v>51730</v>
      </c>
      <c r="E59" s="292">
        <f t="shared" si="0"/>
        <v>3.158119658119658</v>
      </c>
      <c r="F59" s="295">
        <f>D59-'[8]Oktobris'!D53</f>
        <v>6067</v>
      </c>
      <c r="G59" s="291" t="s">
        <v>434</v>
      </c>
      <c r="H59" s="293">
        <f t="shared" si="7"/>
        <v>16</v>
      </c>
      <c r="I59" s="293">
        <f t="shared" si="7"/>
        <v>0</v>
      </c>
      <c r="J59" s="293">
        <f t="shared" si="7"/>
        <v>52</v>
      </c>
      <c r="K59" s="210">
        <f t="shared" si="1"/>
        <v>325</v>
      </c>
      <c r="L59" s="293">
        <f>J59-'[8]Oktobris'!J53</f>
        <v>6</v>
      </c>
      <c r="M59" s="280"/>
    </row>
    <row r="60" spans="1:13" ht="12.75">
      <c r="A60" s="291" t="s">
        <v>435</v>
      </c>
      <c r="B60" s="161">
        <f>B52-B54-B58+B59</f>
        <v>-6756000</v>
      </c>
      <c r="C60" s="250">
        <f>C52-C54-C58+C59</f>
        <v>-13095</v>
      </c>
      <c r="D60" s="161">
        <f>D52-D54-D58+D59</f>
        <v>-4118617</v>
      </c>
      <c r="E60" s="292">
        <f t="shared" si="0"/>
        <v>0.6096235938425104</v>
      </c>
      <c r="F60" s="295">
        <f>D60-'[8]Oktobris'!D54</f>
        <v>-819203</v>
      </c>
      <c r="G60" s="291" t="s">
        <v>435</v>
      </c>
      <c r="H60" s="293">
        <f t="shared" si="7"/>
        <v>-6756</v>
      </c>
      <c r="I60" s="293">
        <f t="shared" si="7"/>
        <v>-13</v>
      </c>
      <c r="J60" s="293">
        <f t="shared" si="7"/>
        <v>-4119</v>
      </c>
      <c r="K60" s="210">
        <f t="shared" si="1"/>
        <v>60.96802841918295</v>
      </c>
      <c r="L60" s="293">
        <f>J60-'[8]Oktobris'!J54</f>
        <v>-820</v>
      </c>
      <c r="M60" s="280"/>
    </row>
    <row r="61" spans="1:13" ht="12.75">
      <c r="A61" s="291" t="s">
        <v>457</v>
      </c>
      <c r="B61" s="161">
        <v>6756000</v>
      </c>
      <c r="C61" s="250">
        <f>403100+1028100+428100+478100+478100+528100+300000+300000+828100+828100+828100</f>
        <v>6427900</v>
      </c>
      <c r="D61" s="161">
        <f>'[7]Novembris'!$P$43</f>
        <v>4736956</v>
      </c>
      <c r="E61" s="292">
        <f t="shared" si="0"/>
        <v>0.7011480165778567</v>
      </c>
      <c r="F61" s="295">
        <f>D61-'[8]Oktobris'!D55</f>
        <v>825923</v>
      </c>
      <c r="G61" s="291" t="s">
        <v>457</v>
      </c>
      <c r="H61" s="293">
        <f t="shared" si="7"/>
        <v>6756</v>
      </c>
      <c r="I61" s="293">
        <f t="shared" si="7"/>
        <v>6428</v>
      </c>
      <c r="J61" s="293">
        <f>ROUND(D61/1000,0)</f>
        <v>4737</v>
      </c>
      <c r="K61" s="210">
        <f t="shared" si="1"/>
        <v>70.11545293072824</v>
      </c>
      <c r="L61" s="293">
        <f>J61-'[8]Oktobris'!J55</f>
        <v>826</v>
      </c>
      <c r="M61" s="280"/>
    </row>
    <row r="62" spans="1:13" ht="12.75">
      <c r="A62" s="121" t="s">
        <v>122</v>
      </c>
      <c r="B62" s="141"/>
      <c r="C62" s="162"/>
      <c r="D62" s="141"/>
      <c r="E62" s="292" t="str">
        <f t="shared" si="0"/>
        <v> </v>
      </c>
      <c r="F62" s="290"/>
      <c r="G62" s="121" t="s">
        <v>122</v>
      </c>
      <c r="H62" s="287"/>
      <c r="I62" s="287"/>
      <c r="J62" s="287"/>
      <c r="K62" s="210"/>
      <c r="L62" s="287"/>
      <c r="M62" s="280"/>
    </row>
    <row r="63" spans="1:13" ht="12.75">
      <c r="A63" s="142" t="s">
        <v>458</v>
      </c>
      <c r="B63" s="161"/>
      <c r="C63" s="250"/>
      <c r="D63" s="161"/>
      <c r="E63" s="292" t="str">
        <f t="shared" si="0"/>
        <v> </v>
      </c>
      <c r="F63" s="295"/>
      <c r="G63" s="142" t="s">
        <v>458</v>
      </c>
      <c r="H63" s="296"/>
      <c r="I63" s="296"/>
      <c r="J63" s="296"/>
      <c r="K63" s="210"/>
      <c r="L63" s="296"/>
      <c r="M63" s="280"/>
    </row>
    <row r="64" spans="1:13" ht="12.75">
      <c r="A64" s="291" t="s">
        <v>439</v>
      </c>
      <c r="B64" s="250">
        <f>B65+B66</f>
        <v>550000</v>
      </c>
      <c r="C64" s="250">
        <v>516000</v>
      </c>
      <c r="D64" s="161">
        <f>SUM(D65:D66)</f>
        <v>569029</v>
      </c>
      <c r="E64" s="292">
        <f t="shared" si="0"/>
        <v>1.0345981818181818</v>
      </c>
      <c r="F64" s="295">
        <f>F65+F66</f>
        <v>14799</v>
      </c>
      <c r="G64" s="291" t="s">
        <v>439</v>
      </c>
      <c r="H64" s="296">
        <f>H65+H66</f>
        <v>550</v>
      </c>
      <c r="I64" s="293">
        <f>ROUND(C64/1000,0)</f>
        <v>516</v>
      </c>
      <c r="J64" s="296">
        <f>J65+J66</f>
        <v>569</v>
      </c>
      <c r="K64" s="210">
        <f t="shared" si="1"/>
        <v>103.45454545454544</v>
      </c>
      <c r="L64" s="296">
        <f>L65+L66</f>
        <v>15</v>
      </c>
      <c r="M64" s="280"/>
    </row>
    <row r="65" spans="1:13" ht="25.5">
      <c r="A65" s="114" t="s">
        <v>459</v>
      </c>
      <c r="B65" s="161">
        <v>350000</v>
      </c>
      <c r="D65" s="161">
        <v>365247</v>
      </c>
      <c r="E65" s="292">
        <f t="shared" si="0"/>
        <v>1.0435628571428572</v>
      </c>
      <c r="F65" s="295">
        <f>D65-'[8]Oktobris'!D59</f>
        <v>10460</v>
      </c>
      <c r="G65" s="114" t="s">
        <v>459</v>
      </c>
      <c r="H65" s="293">
        <f>ROUND(B65/1000,0)</f>
        <v>350</v>
      </c>
      <c r="I65" s="293">
        <f>ROUND(C64/1000,0)</f>
        <v>516</v>
      </c>
      <c r="J65" s="293">
        <f>ROUND(D65/1000,0)</f>
        <v>365</v>
      </c>
      <c r="K65" s="210">
        <f t="shared" si="1"/>
        <v>104.28571428571429</v>
      </c>
      <c r="L65" s="293">
        <f>J65-'[8]Oktobris'!J59</f>
        <v>10</v>
      </c>
      <c r="M65" s="280"/>
    </row>
    <row r="66" spans="1:13" ht="12.75">
      <c r="A66" s="291" t="s">
        <v>460</v>
      </c>
      <c r="B66" s="161">
        <f>65000+135000</f>
        <v>200000</v>
      </c>
      <c r="C66" s="250"/>
      <c r="D66" s="161">
        <f>34914+168868</f>
        <v>203782</v>
      </c>
      <c r="E66" s="292">
        <f t="shared" si="0"/>
        <v>1.01891</v>
      </c>
      <c r="F66" s="295">
        <f>D66-'[8]Oktobris'!D60</f>
        <v>4339</v>
      </c>
      <c r="G66" s="114" t="s">
        <v>445</v>
      </c>
      <c r="H66" s="293">
        <f>ROUND(B66/1000,0)</f>
        <v>200</v>
      </c>
      <c r="I66" s="293">
        <f>ROUND(C66/1000,0)</f>
        <v>0</v>
      </c>
      <c r="J66" s="293">
        <f>ROUND(D66/1000,0)</f>
        <v>204</v>
      </c>
      <c r="K66" s="210">
        <f t="shared" si="1"/>
        <v>102</v>
      </c>
      <c r="L66" s="293">
        <f>J66-'[8]Oktobris'!J60</f>
        <v>5</v>
      </c>
      <c r="M66" s="280"/>
    </row>
    <row r="67" spans="1:13" ht="12.75">
      <c r="A67" s="291" t="s">
        <v>441</v>
      </c>
      <c r="B67" s="161">
        <f>B68+B69</f>
        <v>550000</v>
      </c>
      <c r="C67" s="250">
        <f>SUM(C68:C69)</f>
        <v>516000</v>
      </c>
      <c r="D67" s="161">
        <f>D68+D69</f>
        <v>478844</v>
      </c>
      <c r="E67" s="292">
        <f t="shared" si="0"/>
        <v>0.8706254545454546</v>
      </c>
      <c r="F67" s="295">
        <f>F68+F69</f>
        <v>23046</v>
      </c>
      <c r="G67" s="291" t="s">
        <v>441</v>
      </c>
      <c r="H67" s="296">
        <f>H68+H69</f>
        <v>550</v>
      </c>
      <c r="I67" s="296">
        <f>I68+I69</f>
        <v>516</v>
      </c>
      <c r="J67" s="296">
        <f>J68+J69</f>
        <v>478</v>
      </c>
      <c r="K67" s="210">
        <f t="shared" si="1"/>
        <v>86.9090909090909</v>
      </c>
      <c r="L67" s="296">
        <f>L68+L69</f>
        <v>22</v>
      </c>
      <c r="M67" s="280"/>
    </row>
    <row r="68" spans="1:13" ht="12.75">
      <c r="A68" s="291" t="s">
        <v>442</v>
      </c>
      <c r="B68" s="161">
        <v>456000</v>
      </c>
      <c r="C68" s="250">
        <v>427000</v>
      </c>
      <c r="D68" s="161">
        <f>'[7]Novembris'!$M$8</f>
        <v>395376</v>
      </c>
      <c r="E68" s="292">
        <f t="shared" si="0"/>
        <v>0.8670526315789474</v>
      </c>
      <c r="F68" s="295">
        <f>D68-'[8]Oktobris'!D62</f>
        <v>19100</v>
      </c>
      <c r="G68" s="291" t="s">
        <v>442</v>
      </c>
      <c r="H68" s="293">
        <f aca="true" t="shared" si="8" ref="H68:J69">ROUND(B68/1000,0)</f>
        <v>456</v>
      </c>
      <c r="I68" s="293">
        <f>ROUND(C68/1000,0)</f>
        <v>427</v>
      </c>
      <c r="J68" s="293">
        <f t="shared" si="8"/>
        <v>395</v>
      </c>
      <c r="K68" s="210">
        <f t="shared" si="1"/>
        <v>86.62280701754386</v>
      </c>
      <c r="L68" s="293">
        <f>J68-'[8]Oktobris'!J62</f>
        <v>19</v>
      </c>
      <c r="M68" s="280"/>
    </row>
    <row r="69" spans="1:13" ht="12.75">
      <c r="A69" s="291" t="s">
        <v>432</v>
      </c>
      <c r="B69" s="161">
        <v>94000</v>
      </c>
      <c r="C69" s="250">
        <v>89000</v>
      </c>
      <c r="D69" s="161">
        <f>'[7]Novembris'!$M$30</f>
        <v>83468</v>
      </c>
      <c r="E69" s="292">
        <f t="shared" si="0"/>
        <v>0.8879574468085106</v>
      </c>
      <c r="F69" s="295">
        <f>D69-'[8]Oktobris'!D63</f>
        <v>3946</v>
      </c>
      <c r="G69" s="291" t="s">
        <v>432</v>
      </c>
      <c r="H69" s="293">
        <f t="shared" si="8"/>
        <v>94</v>
      </c>
      <c r="I69" s="293">
        <f t="shared" si="8"/>
        <v>89</v>
      </c>
      <c r="J69" s="293">
        <f>ROUND(D69/1000,0)</f>
        <v>83</v>
      </c>
      <c r="K69" s="210">
        <f t="shared" si="1"/>
        <v>88.29787234042553</v>
      </c>
      <c r="L69" s="293">
        <f>J69-'[8]Oktobris'!J63</f>
        <v>3</v>
      </c>
      <c r="M69" s="280"/>
    </row>
    <row r="70" spans="1:13" ht="12.75">
      <c r="A70" s="85" t="s">
        <v>123</v>
      </c>
      <c r="B70" s="141"/>
      <c r="C70" s="162"/>
      <c r="D70" s="141"/>
      <c r="E70" s="292" t="str">
        <f t="shared" si="0"/>
        <v> </v>
      </c>
      <c r="F70" s="290"/>
      <c r="G70" s="85" t="s">
        <v>123</v>
      </c>
      <c r="H70" s="293"/>
      <c r="I70" s="293"/>
      <c r="J70" s="293"/>
      <c r="K70" s="210"/>
      <c r="L70" s="293"/>
      <c r="M70" s="280"/>
    </row>
    <row r="71" spans="1:13" ht="12.75">
      <c r="A71" s="142" t="s">
        <v>461</v>
      </c>
      <c r="B71" s="161"/>
      <c r="C71" s="250"/>
      <c r="D71" s="161"/>
      <c r="E71" s="292" t="str">
        <f t="shared" si="0"/>
        <v> </v>
      </c>
      <c r="F71" s="295"/>
      <c r="G71" s="142" t="s">
        <v>461</v>
      </c>
      <c r="H71" s="296"/>
      <c r="I71" s="296"/>
      <c r="J71" s="296"/>
      <c r="K71" s="210"/>
      <c r="L71" s="296"/>
      <c r="M71" s="280"/>
    </row>
    <row r="72" spans="1:13" ht="12.75">
      <c r="A72" s="291" t="s">
        <v>439</v>
      </c>
      <c r="B72" s="161">
        <f>SUM(B73:B77)</f>
        <v>54806618</v>
      </c>
      <c r="C72" s="161">
        <v>54008908</v>
      </c>
      <c r="D72" s="161">
        <f>SUM(D73:D77)</f>
        <v>49024537</v>
      </c>
      <c r="E72" s="292">
        <f t="shared" si="0"/>
        <v>0.894500313812467</v>
      </c>
      <c r="F72" s="295">
        <f>SUM(F73:F77)</f>
        <v>4598304</v>
      </c>
      <c r="G72" s="291" t="s">
        <v>439</v>
      </c>
      <c r="H72" s="296">
        <f>SUM(H73:H77)</f>
        <v>54807</v>
      </c>
      <c r="I72" s="293">
        <f>ROUND(C72/1000,0)</f>
        <v>54009</v>
      </c>
      <c r="J72" s="296">
        <f>SUM(J73:J77)</f>
        <v>49024</v>
      </c>
      <c r="K72" s="210">
        <f t="shared" si="1"/>
        <v>89.44842812049556</v>
      </c>
      <c r="L72" s="296">
        <f>SUM(L73:L77)</f>
        <v>4598</v>
      </c>
      <c r="M72" s="280"/>
    </row>
    <row r="73" spans="1:13" ht="12.75">
      <c r="A73" s="291" t="s">
        <v>462</v>
      </c>
      <c r="B73" s="161">
        <v>8500000</v>
      </c>
      <c r="C73" s="250"/>
      <c r="D73" s="161">
        <v>7777697</v>
      </c>
      <c r="E73" s="292">
        <f t="shared" si="0"/>
        <v>0.9150231764705883</v>
      </c>
      <c r="F73" s="295">
        <f>D73-'[8]Oktobris'!D67</f>
        <v>513509</v>
      </c>
      <c r="G73" s="291" t="s">
        <v>462</v>
      </c>
      <c r="H73" s="293">
        <f aca="true" t="shared" si="9" ref="H73:J77">ROUND(B73/1000,0)</f>
        <v>8500</v>
      </c>
      <c r="I73" s="293">
        <f t="shared" si="9"/>
        <v>0</v>
      </c>
      <c r="J73" s="293">
        <f t="shared" si="9"/>
        <v>7778</v>
      </c>
      <c r="K73" s="210">
        <f t="shared" si="1"/>
        <v>91.50588235294119</v>
      </c>
      <c r="L73" s="293">
        <f>J73-'[8]Oktobris'!J67</f>
        <v>514</v>
      </c>
      <c r="M73" s="280"/>
    </row>
    <row r="74" spans="1:13" ht="12.75">
      <c r="A74" s="291" t="s">
        <v>463</v>
      </c>
      <c r="B74" s="161">
        <v>43850000</v>
      </c>
      <c r="C74" s="250"/>
      <c r="D74" s="161">
        <v>39932157</v>
      </c>
      <c r="E74" s="292">
        <f t="shared" si="0"/>
        <v>0.9106535233751425</v>
      </c>
      <c r="F74" s="295">
        <f>D74-'[8]Oktobris'!D68</f>
        <v>3804725</v>
      </c>
      <c r="G74" s="291" t="s">
        <v>463</v>
      </c>
      <c r="H74" s="293">
        <f t="shared" si="9"/>
        <v>43850</v>
      </c>
      <c r="I74" s="293">
        <f t="shared" si="9"/>
        <v>0</v>
      </c>
      <c r="J74" s="293">
        <f t="shared" si="9"/>
        <v>39932</v>
      </c>
      <c r="K74" s="210">
        <f t="shared" si="1"/>
        <v>91.06499429874573</v>
      </c>
      <c r="L74" s="293">
        <f>J74-'[8]Oktobris'!J68</f>
        <v>3805</v>
      </c>
      <c r="M74" s="280"/>
    </row>
    <row r="75" spans="1:13" ht="12.75">
      <c r="A75" s="291" t="s">
        <v>452</v>
      </c>
      <c r="B75" s="161">
        <v>316765</v>
      </c>
      <c r="C75" s="250"/>
      <c r="D75" s="161">
        <v>158383</v>
      </c>
      <c r="E75" s="292"/>
      <c r="F75" s="295">
        <v>158383</v>
      </c>
      <c r="G75" s="291" t="s">
        <v>452</v>
      </c>
      <c r="H75" s="293">
        <f t="shared" si="9"/>
        <v>317</v>
      </c>
      <c r="I75" s="293"/>
      <c r="J75" s="293">
        <f>ROUND(D75/1000,0)</f>
        <v>158</v>
      </c>
      <c r="K75" s="210"/>
      <c r="L75" s="293">
        <v>158</v>
      </c>
      <c r="M75" s="280"/>
    </row>
    <row r="76" spans="1:13" ht="12.75">
      <c r="A76" s="303" t="s">
        <v>363</v>
      </c>
      <c r="B76" s="161">
        <v>30000</v>
      </c>
      <c r="C76" s="250"/>
      <c r="D76" s="161">
        <v>22423</v>
      </c>
      <c r="E76" s="292">
        <f aca="true" t="shared" si="10" ref="E76:E139">IF(ISERROR(D76/B76)," ",(D76/B76))</f>
        <v>0.7474333333333333</v>
      </c>
      <c r="F76" s="295">
        <f>D76-'[8]Oktobris'!D69</f>
        <v>1791</v>
      </c>
      <c r="G76" s="291" t="s">
        <v>363</v>
      </c>
      <c r="H76" s="293">
        <f t="shared" si="9"/>
        <v>30</v>
      </c>
      <c r="I76" s="293">
        <f t="shared" si="9"/>
        <v>0</v>
      </c>
      <c r="J76" s="293">
        <f>ROUND(D76/1000,0)</f>
        <v>22</v>
      </c>
      <c r="K76" s="210">
        <f aca="true" t="shared" si="11" ref="K76:K83">IF(ISERROR(ROUND(J76,0)/ROUND(H76,0))," ",(ROUND(J76,)/ROUND(H76,)))*100</f>
        <v>73.33333333333333</v>
      </c>
      <c r="L76" s="293">
        <f>J76-'[8]Oktobris'!J69</f>
        <v>1</v>
      </c>
      <c r="M76" s="280"/>
    </row>
    <row r="77" spans="1:13" ht="12.75">
      <c r="A77" s="291" t="s">
        <v>464</v>
      </c>
      <c r="B77" s="161">
        <v>2109853</v>
      </c>
      <c r="C77" s="250"/>
      <c r="D77" s="161">
        <v>1133877</v>
      </c>
      <c r="E77" s="292">
        <f>IF(ISERROR(D77/B77)," ",(D77/B77))</f>
        <v>0.5374199055574014</v>
      </c>
      <c r="F77" s="295">
        <f>D77-'[8]Oktobris'!D70</f>
        <v>119896</v>
      </c>
      <c r="G77" s="291" t="s">
        <v>465</v>
      </c>
      <c r="H77" s="293">
        <f t="shared" si="9"/>
        <v>2110</v>
      </c>
      <c r="I77" s="293">
        <f t="shared" si="9"/>
        <v>0</v>
      </c>
      <c r="J77" s="293">
        <f t="shared" si="9"/>
        <v>1134</v>
      </c>
      <c r="K77" s="210">
        <f t="shared" si="11"/>
        <v>53.74407582938389</v>
      </c>
      <c r="L77" s="293">
        <f>J77-'[8]Oktobris'!J70</f>
        <v>120</v>
      </c>
      <c r="M77" s="280"/>
    </row>
    <row r="78" spans="1:13" ht="12.75">
      <c r="A78" s="291" t="s">
        <v>441</v>
      </c>
      <c r="B78" s="161">
        <f>B79+B81</f>
        <v>60206618</v>
      </c>
      <c r="C78" s="250">
        <f>SUM(C79:C81)</f>
        <v>57248044</v>
      </c>
      <c r="D78" s="161">
        <f>D79+D81</f>
        <v>52732124</v>
      </c>
      <c r="E78" s="292">
        <f t="shared" si="10"/>
        <v>0.8758526180626854</v>
      </c>
      <c r="F78" s="295">
        <f>F79+F81</f>
        <v>3778491</v>
      </c>
      <c r="G78" s="291" t="s">
        <v>441</v>
      </c>
      <c r="H78" s="296">
        <f>H79+H81</f>
        <v>60207</v>
      </c>
      <c r="I78" s="296">
        <f>I79+I81</f>
        <v>57248</v>
      </c>
      <c r="J78" s="296">
        <f>J79+J81</f>
        <v>52732</v>
      </c>
      <c r="K78" s="210">
        <f t="shared" si="11"/>
        <v>87.5845001411796</v>
      </c>
      <c r="L78" s="296">
        <f>L79+L81</f>
        <v>3777</v>
      </c>
      <c r="M78" s="280"/>
    </row>
    <row r="79" spans="1:13" ht="12.75">
      <c r="A79" s="291" t="s">
        <v>442</v>
      </c>
      <c r="B79" s="161">
        <v>45360593</v>
      </c>
      <c r="C79" s="250">
        <v>42577811</v>
      </c>
      <c r="D79" s="161">
        <f>'[7]Novembris'!$J$8</f>
        <v>40603461</v>
      </c>
      <c r="E79" s="292">
        <f t="shared" si="10"/>
        <v>0.895126326941978</v>
      </c>
      <c r="F79" s="295">
        <f>D79-'[8]Oktobris'!D72</f>
        <v>3268365</v>
      </c>
      <c r="G79" s="291" t="s">
        <v>442</v>
      </c>
      <c r="H79" s="293">
        <f aca="true" t="shared" si="12" ref="H79:J83">ROUND(B79/1000,0)</f>
        <v>45361</v>
      </c>
      <c r="I79" s="293">
        <f t="shared" si="12"/>
        <v>42578</v>
      </c>
      <c r="J79" s="293">
        <f>ROUND(D79/1000,0)</f>
        <v>40603</v>
      </c>
      <c r="K79" s="210">
        <f t="shared" si="11"/>
        <v>89.51081325367608</v>
      </c>
      <c r="L79" s="293">
        <f>J79-'[8]Oktobris'!J72</f>
        <v>3268</v>
      </c>
      <c r="M79" s="280"/>
    </row>
    <row r="80" spans="1:13" ht="25.5">
      <c r="A80" s="114" t="s">
        <v>454</v>
      </c>
      <c r="B80" s="161">
        <v>1818632</v>
      </c>
      <c r="C80" s="250"/>
      <c r="D80" s="161">
        <v>1813827</v>
      </c>
      <c r="E80" s="292">
        <f t="shared" si="10"/>
        <v>0.9973579041829244</v>
      </c>
      <c r="F80" s="295">
        <v>0</v>
      </c>
      <c r="G80" s="114" t="s">
        <v>454</v>
      </c>
      <c r="H80" s="293">
        <f t="shared" si="12"/>
        <v>1819</v>
      </c>
      <c r="I80" s="293"/>
      <c r="J80" s="293">
        <f>ROUND(D80/1000,0)</f>
        <v>1814</v>
      </c>
      <c r="K80" s="210">
        <f t="shared" si="11"/>
        <v>99.72512369433755</v>
      </c>
      <c r="L80" s="293">
        <v>0</v>
      </c>
      <c r="M80" s="280"/>
    </row>
    <row r="81" spans="1:13" ht="12.75">
      <c r="A81" s="291" t="s">
        <v>432</v>
      </c>
      <c r="B81" s="161">
        <v>14846025</v>
      </c>
      <c r="C81" s="250">
        <v>14670233</v>
      </c>
      <c r="D81" s="161">
        <f>'[7]Novembris'!$J$30</f>
        <v>12128663</v>
      </c>
      <c r="E81" s="292">
        <f t="shared" si="10"/>
        <v>0.8169636653582356</v>
      </c>
      <c r="F81" s="295">
        <f>D81-'[8]Oktobris'!D73</f>
        <v>510126</v>
      </c>
      <c r="G81" s="291" t="s">
        <v>466</v>
      </c>
      <c r="H81" s="293">
        <f t="shared" si="12"/>
        <v>14846</v>
      </c>
      <c r="I81" s="293">
        <f t="shared" si="12"/>
        <v>14670</v>
      </c>
      <c r="J81" s="293">
        <f t="shared" si="12"/>
        <v>12129</v>
      </c>
      <c r="K81" s="210">
        <f t="shared" si="11"/>
        <v>81.69877408056043</v>
      </c>
      <c r="L81" s="293">
        <f>J81-'[8]Oktobris'!J73-1</f>
        <v>509</v>
      </c>
      <c r="M81" s="280"/>
    </row>
    <row r="82" spans="1:13" ht="12.75">
      <c r="A82" s="291" t="s">
        <v>435</v>
      </c>
      <c r="B82" s="161">
        <f>B72-B78</f>
        <v>-5400000</v>
      </c>
      <c r="C82" s="250">
        <f>C72-C78</f>
        <v>-3239136</v>
      </c>
      <c r="D82" s="161">
        <f>D72-D78</f>
        <v>-3707587</v>
      </c>
      <c r="E82" s="292">
        <f t="shared" si="10"/>
        <v>0.6865901851851852</v>
      </c>
      <c r="F82" s="295">
        <f>D82-'[8]Oktobris'!D74</f>
        <v>819813</v>
      </c>
      <c r="G82" s="291" t="s">
        <v>435</v>
      </c>
      <c r="H82" s="296">
        <f>H72-H78</f>
        <v>-5400</v>
      </c>
      <c r="I82" s="296">
        <f>I72-I78</f>
        <v>-3239</v>
      </c>
      <c r="J82" s="296">
        <f>J72-J78</f>
        <v>-3708</v>
      </c>
      <c r="K82" s="210">
        <f t="shared" si="11"/>
        <v>68.66666666666667</v>
      </c>
      <c r="L82" s="293">
        <f>J82-'[8]Oktobris'!J74</f>
        <v>820</v>
      </c>
      <c r="M82" s="280"/>
    </row>
    <row r="83" spans="1:13" ht="25.5">
      <c r="A83" s="114" t="s">
        <v>436</v>
      </c>
      <c r="B83" s="161">
        <v>5400000</v>
      </c>
      <c r="C83" s="250">
        <f>2590800+1007000-237668+863400-188700+250200-6600+1316430+201350+595988-3153064</f>
        <v>3239136</v>
      </c>
      <c r="D83" s="161">
        <v>3749335</v>
      </c>
      <c r="E83" s="292">
        <f t="shared" si="10"/>
        <v>0.6943212962962962</v>
      </c>
      <c r="F83" s="295">
        <v>106232</v>
      </c>
      <c r="G83" s="114" t="s">
        <v>436</v>
      </c>
      <c r="H83" s="293">
        <f t="shared" si="12"/>
        <v>5400</v>
      </c>
      <c r="I83" s="293">
        <f t="shared" si="12"/>
        <v>3239</v>
      </c>
      <c r="J83" s="293">
        <f>ROUND(D83/1000,0)</f>
        <v>3749</v>
      </c>
      <c r="K83" s="210">
        <f t="shared" si="11"/>
        <v>69.42592592592592</v>
      </c>
      <c r="L83" s="293">
        <v>106</v>
      </c>
      <c r="M83" s="280"/>
    </row>
    <row r="84" spans="1:13" ht="25.5">
      <c r="A84" s="114" t="s">
        <v>437</v>
      </c>
      <c r="B84" s="161"/>
      <c r="C84" s="250"/>
      <c r="D84" s="161">
        <v>339000</v>
      </c>
      <c r="E84" s="292" t="str">
        <f t="shared" si="10"/>
        <v> </v>
      </c>
      <c r="F84" s="295">
        <v>1262000</v>
      </c>
      <c r="G84" s="114" t="s">
        <v>467</v>
      </c>
      <c r="H84" s="293"/>
      <c r="I84" s="293"/>
      <c r="J84" s="293">
        <f>ROUND(D84/1000,0)</f>
        <v>339</v>
      </c>
      <c r="K84" s="210"/>
      <c r="L84" s="293">
        <v>1262</v>
      </c>
      <c r="M84" s="280"/>
    </row>
    <row r="85" spans="1:13" ht="12.75">
      <c r="A85" s="142" t="s">
        <v>468</v>
      </c>
      <c r="B85" s="161"/>
      <c r="C85" s="250"/>
      <c r="D85" s="161"/>
      <c r="E85" s="292" t="str">
        <f t="shared" si="10"/>
        <v> </v>
      </c>
      <c r="F85" s="295"/>
      <c r="G85" s="142" t="s">
        <v>468</v>
      </c>
      <c r="H85" s="296"/>
      <c r="I85" s="296"/>
      <c r="J85" s="296"/>
      <c r="K85" s="210"/>
      <c r="L85" s="296"/>
      <c r="M85" s="280"/>
    </row>
    <row r="86" spans="1:13" ht="12.75">
      <c r="A86" s="291" t="s">
        <v>439</v>
      </c>
      <c r="B86" s="161">
        <f>B87+B88</f>
        <v>728400</v>
      </c>
      <c r="C86" s="250">
        <v>693400</v>
      </c>
      <c r="D86" s="161">
        <f>D87+D88</f>
        <v>688400</v>
      </c>
      <c r="E86" s="292">
        <f t="shared" si="10"/>
        <v>0.9450851180669961</v>
      </c>
      <c r="F86" s="295">
        <f>F87+F88</f>
        <v>58833</v>
      </c>
      <c r="G86" s="291" t="s">
        <v>439</v>
      </c>
      <c r="H86" s="296">
        <f>H87+H88</f>
        <v>728</v>
      </c>
      <c r="I86" s="293">
        <f>ROUND(C86/1000,0)</f>
        <v>693</v>
      </c>
      <c r="J86" s="296">
        <f>J87+J88</f>
        <v>688</v>
      </c>
      <c r="K86" s="210">
        <f aca="true" t="shared" si="13" ref="K86:K149">IF(ISERROR(ROUND(J86,0)/ROUND(H86,0))," ",(ROUND(J86,)/ROUND(H86,)))*100</f>
        <v>94.5054945054945</v>
      </c>
      <c r="L86" s="296">
        <f>L87+L88</f>
        <v>57</v>
      </c>
      <c r="M86" s="280"/>
    </row>
    <row r="87" spans="1:13" ht="12.75">
      <c r="A87" s="291" t="s">
        <v>469</v>
      </c>
      <c r="B87" s="161">
        <v>728400</v>
      </c>
      <c r="C87" s="250"/>
      <c r="D87" s="161">
        <v>675162</v>
      </c>
      <c r="E87" s="292">
        <f t="shared" si="10"/>
        <v>0.9269110378912685</v>
      </c>
      <c r="F87" s="295">
        <f>D87-'[8]Oktobris'!D78</f>
        <v>58112</v>
      </c>
      <c r="G87" s="291" t="s">
        <v>470</v>
      </c>
      <c r="H87" s="293">
        <f>ROUND(B87/1000,0)</f>
        <v>728</v>
      </c>
      <c r="I87" s="293">
        <f>ROUND(C87/1000,0)</f>
        <v>0</v>
      </c>
      <c r="J87" s="293">
        <f>ROUND(D87/1000,0)</f>
        <v>675</v>
      </c>
      <c r="K87" s="210">
        <f t="shared" si="13"/>
        <v>92.71978021978022</v>
      </c>
      <c r="L87" s="293">
        <f>J87-'[8]Oktobris'!J78</f>
        <v>58</v>
      </c>
      <c r="M87" s="280"/>
    </row>
    <row r="88" spans="1:13" ht="12.75">
      <c r="A88" s="291" t="s">
        <v>445</v>
      </c>
      <c r="B88" s="161"/>
      <c r="C88" s="250"/>
      <c r="D88" s="161">
        <v>13238</v>
      </c>
      <c r="E88" s="292" t="str">
        <f t="shared" si="10"/>
        <v> </v>
      </c>
      <c r="F88" s="295">
        <f>D88-'[8]Oktobris'!D79</f>
        <v>721</v>
      </c>
      <c r="G88" s="291" t="s">
        <v>445</v>
      </c>
      <c r="H88" s="293">
        <f>ROUND(B88/1000,0)</f>
        <v>0</v>
      </c>
      <c r="I88" s="293">
        <f>ROUND(C88/1000,0)</f>
        <v>0</v>
      </c>
      <c r="J88" s="293">
        <f>ROUND(D88/1000,0)</f>
        <v>13</v>
      </c>
      <c r="K88" s="210"/>
      <c r="L88" s="293">
        <f>J88-'[8]Oktobris'!J79-1</f>
        <v>-1</v>
      </c>
      <c r="M88" s="280"/>
    </row>
    <row r="89" spans="1:13" ht="12.75">
      <c r="A89" s="291" t="s">
        <v>441</v>
      </c>
      <c r="B89" s="161">
        <f>B90+B91</f>
        <v>850000</v>
      </c>
      <c r="C89" s="250">
        <f>SUM(C90:C91)</f>
        <v>494900</v>
      </c>
      <c r="D89" s="161">
        <f>D90+D91</f>
        <v>422801</v>
      </c>
      <c r="E89" s="292">
        <f t="shared" si="10"/>
        <v>0.4974129411764706</v>
      </c>
      <c r="F89" s="295">
        <f>F90+F91</f>
        <v>46551</v>
      </c>
      <c r="G89" s="291" t="s">
        <v>441</v>
      </c>
      <c r="H89" s="296">
        <f>H90+H91</f>
        <v>850</v>
      </c>
      <c r="I89" s="296">
        <f>I90+I91</f>
        <v>495</v>
      </c>
      <c r="J89" s="296">
        <f>J90+J91</f>
        <v>423</v>
      </c>
      <c r="K89" s="210">
        <f t="shared" si="13"/>
        <v>49.76470588235294</v>
      </c>
      <c r="L89" s="296">
        <f>L90+L91</f>
        <v>47</v>
      </c>
      <c r="M89" s="280"/>
    </row>
    <row r="90" spans="1:13" ht="12.75">
      <c r="A90" s="291" t="s">
        <v>442</v>
      </c>
      <c r="B90" s="161">
        <v>739620</v>
      </c>
      <c r="C90" s="250">
        <v>384520</v>
      </c>
      <c r="D90" s="161">
        <f>'[7]Novembris'!$G$8</f>
        <v>334630</v>
      </c>
      <c r="E90" s="292">
        <f t="shared" si="10"/>
        <v>0.4524350342067548</v>
      </c>
      <c r="F90" s="295">
        <f>D90-'[8]Oktobris'!D81</f>
        <v>36644</v>
      </c>
      <c r="G90" s="291" t="s">
        <v>442</v>
      </c>
      <c r="H90" s="293">
        <f aca="true" t="shared" si="14" ref="H90:J91">ROUND(B90/1000,0)</f>
        <v>740</v>
      </c>
      <c r="I90" s="293">
        <f t="shared" si="14"/>
        <v>385</v>
      </c>
      <c r="J90" s="293">
        <f t="shared" si="14"/>
        <v>335</v>
      </c>
      <c r="K90" s="210">
        <f t="shared" si="13"/>
        <v>45.27027027027027</v>
      </c>
      <c r="L90" s="293">
        <f>J90-'[8]Oktobris'!J81-1</f>
        <v>36</v>
      </c>
      <c r="M90" s="280"/>
    </row>
    <row r="91" spans="1:13" ht="12.75">
      <c r="A91" s="291" t="s">
        <v>432</v>
      </c>
      <c r="B91" s="161">
        <v>110380</v>
      </c>
      <c r="C91" s="250">
        <v>110380</v>
      </c>
      <c r="D91" s="161">
        <f>'[7]Novembris'!$G$30</f>
        <v>88171</v>
      </c>
      <c r="E91" s="292">
        <f t="shared" si="10"/>
        <v>0.7987950715709368</v>
      </c>
      <c r="F91" s="295">
        <f>D91-'[8]Oktobris'!D82</f>
        <v>9907</v>
      </c>
      <c r="G91" s="291" t="s">
        <v>432</v>
      </c>
      <c r="H91" s="293">
        <f t="shared" si="14"/>
        <v>110</v>
      </c>
      <c r="I91" s="293">
        <f t="shared" si="14"/>
        <v>110</v>
      </c>
      <c r="J91" s="293">
        <f t="shared" si="14"/>
        <v>88</v>
      </c>
      <c r="K91" s="210">
        <f t="shared" si="13"/>
        <v>80</v>
      </c>
      <c r="L91" s="293">
        <f>J91-'[8]Oktobris'!J82+1</f>
        <v>11</v>
      </c>
      <c r="M91" s="280"/>
    </row>
    <row r="92" spans="1:13" ht="25.5" customHeight="1">
      <c r="A92" s="140" t="s">
        <v>471</v>
      </c>
      <c r="B92" s="161"/>
      <c r="C92" s="250"/>
      <c r="D92" s="161"/>
      <c r="E92" s="292" t="str">
        <f t="shared" si="10"/>
        <v> </v>
      </c>
      <c r="F92" s="295"/>
      <c r="G92" s="140" t="s">
        <v>471</v>
      </c>
      <c r="H92" s="296"/>
      <c r="I92" s="296"/>
      <c r="J92" s="296"/>
      <c r="K92" s="210"/>
      <c r="L92" s="296"/>
      <c r="M92" s="280"/>
    </row>
    <row r="93" spans="1:13" ht="12.75">
      <c r="A93" s="291" t="s">
        <v>439</v>
      </c>
      <c r="B93" s="161">
        <v>2303648</v>
      </c>
      <c r="C93" s="250">
        <v>2135824</v>
      </c>
      <c r="D93" s="161">
        <f>'[7]Novembris'!$H$6</f>
        <v>1986324</v>
      </c>
      <c r="E93" s="292">
        <f t="shared" si="10"/>
        <v>0.8622515245384712</v>
      </c>
      <c r="F93" s="295">
        <f>D93-'[8]Oktobris'!D84</f>
        <v>137128</v>
      </c>
      <c r="G93" s="291" t="s">
        <v>439</v>
      </c>
      <c r="H93" s="293">
        <f>ROUND(B93/1000,0)</f>
        <v>2304</v>
      </c>
      <c r="I93" s="293">
        <f>ROUND(C93/1000,0)</f>
        <v>2136</v>
      </c>
      <c r="J93" s="293">
        <f>ROUND(D93/1000,0)</f>
        <v>1986</v>
      </c>
      <c r="K93" s="210">
        <f t="shared" si="13"/>
        <v>86.19791666666666</v>
      </c>
      <c r="L93" s="293">
        <f>J93-'[8]Oktobris'!J84+1</f>
        <v>138</v>
      </c>
      <c r="M93" s="280"/>
    </row>
    <row r="94" spans="1:13" ht="12.75">
      <c r="A94" s="291" t="s">
        <v>441</v>
      </c>
      <c r="B94" s="161">
        <f>SUM(B95:B96)</f>
        <v>2400000</v>
      </c>
      <c r="C94" s="250">
        <f>SUM(C95:C96)</f>
        <v>2094000</v>
      </c>
      <c r="D94" s="161">
        <f>D96</f>
        <v>1995358</v>
      </c>
      <c r="E94" s="292">
        <f t="shared" si="10"/>
        <v>0.8313991666666667</v>
      </c>
      <c r="F94" s="295">
        <f>F96</f>
        <v>17396</v>
      </c>
      <c r="G94" s="291" t="s">
        <v>441</v>
      </c>
      <c r="H94" s="296">
        <f>SUM(H95:H96)</f>
        <v>2400</v>
      </c>
      <c r="I94" s="296">
        <f>I96</f>
        <v>2004</v>
      </c>
      <c r="J94" s="296">
        <f>J96</f>
        <v>1995</v>
      </c>
      <c r="K94" s="210">
        <f t="shared" si="13"/>
        <v>83.125</v>
      </c>
      <c r="L94" s="296">
        <f>L96</f>
        <v>17</v>
      </c>
      <c r="M94" s="280"/>
    </row>
    <row r="95" spans="1:13" ht="12.75">
      <c r="A95" s="291" t="s">
        <v>442</v>
      </c>
      <c r="B95" s="161">
        <v>250000</v>
      </c>
      <c r="C95" s="250">
        <v>90000</v>
      </c>
      <c r="D95" s="161"/>
      <c r="E95" s="292"/>
      <c r="F95" s="295"/>
      <c r="G95" s="291" t="s">
        <v>442</v>
      </c>
      <c r="H95" s="293">
        <f aca="true" t="shared" si="15" ref="H95:J97">ROUND(B95/1000,0)</f>
        <v>250</v>
      </c>
      <c r="I95" s="293">
        <f t="shared" si="15"/>
        <v>90</v>
      </c>
      <c r="J95" s="296"/>
      <c r="K95" s="210"/>
      <c r="L95" s="296"/>
      <c r="M95" s="280"/>
    </row>
    <row r="96" spans="1:13" ht="12.75">
      <c r="A96" s="291" t="s">
        <v>432</v>
      </c>
      <c r="B96" s="161">
        <v>2150000</v>
      </c>
      <c r="C96" s="250">
        <v>2004000</v>
      </c>
      <c r="D96" s="161">
        <f>'[7]Novembris'!$H$30</f>
        <v>1995358</v>
      </c>
      <c r="E96" s="292">
        <f t="shared" si="10"/>
        <v>0.928073488372093</v>
      </c>
      <c r="F96" s="295">
        <f>D96-'[8]Oktobris'!D86</f>
        <v>17396</v>
      </c>
      <c r="G96" s="291" t="s">
        <v>432</v>
      </c>
      <c r="H96" s="293">
        <f t="shared" si="15"/>
        <v>2150</v>
      </c>
      <c r="I96" s="293">
        <f t="shared" si="15"/>
        <v>2004</v>
      </c>
      <c r="J96" s="293">
        <f t="shared" si="15"/>
        <v>1995</v>
      </c>
      <c r="K96" s="210">
        <f t="shared" si="13"/>
        <v>92.79069767441861</v>
      </c>
      <c r="L96" s="293">
        <f>J96-'[8]Oktobris'!J86</f>
        <v>17</v>
      </c>
      <c r="M96" s="280"/>
    </row>
    <row r="97" spans="1:13" ht="25.5">
      <c r="A97" s="114" t="s">
        <v>437</v>
      </c>
      <c r="B97" s="161"/>
      <c r="C97" s="250"/>
      <c r="D97" s="161">
        <v>125000</v>
      </c>
      <c r="E97" s="292" t="str">
        <f t="shared" si="10"/>
        <v> </v>
      </c>
      <c r="F97" s="295">
        <v>0</v>
      </c>
      <c r="G97" s="114" t="s">
        <v>437</v>
      </c>
      <c r="H97" s="293">
        <f t="shared" si="15"/>
        <v>0</v>
      </c>
      <c r="I97" s="293">
        <f t="shared" si="15"/>
        <v>0</v>
      </c>
      <c r="J97" s="293">
        <f t="shared" si="15"/>
        <v>125</v>
      </c>
      <c r="K97" s="210"/>
      <c r="L97" s="293">
        <v>0</v>
      </c>
      <c r="M97" s="280"/>
    </row>
    <row r="98" spans="1:13" ht="12.75">
      <c r="A98" s="85" t="s">
        <v>124</v>
      </c>
      <c r="B98" s="161"/>
      <c r="C98" s="250"/>
      <c r="D98" s="161"/>
      <c r="E98" s="292" t="str">
        <f t="shared" si="10"/>
        <v> </v>
      </c>
      <c r="F98" s="295"/>
      <c r="G98" s="85" t="s">
        <v>124</v>
      </c>
      <c r="H98" s="296"/>
      <c r="I98" s="296"/>
      <c r="J98" s="296"/>
      <c r="K98" s="210"/>
      <c r="L98" s="296"/>
      <c r="M98" s="3"/>
    </row>
    <row r="99" spans="1:13" ht="12.75">
      <c r="A99" s="142" t="s">
        <v>472</v>
      </c>
      <c r="B99" s="161"/>
      <c r="C99" s="250"/>
      <c r="D99" s="161"/>
      <c r="E99" s="292" t="str">
        <f t="shared" si="10"/>
        <v> </v>
      </c>
      <c r="F99" s="295"/>
      <c r="G99" s="155" t="s">
        <v>472</v>
      </c>
      <c r="H99" s="296"/>
      <c r="I99" s="296"/>
      <c r="J99" s="296"/>
      <c r="K99" s="210"/>
      <c r="L99" s="296"/>
      <c r="M99" s="3"/>
    </row>
    <row r="100" spans="1:13" ht="12.75">
      <c r="A100" s="291" t="s">
        <v>439</v>
      </c>
      <c r="B100" s="161">
        <f>SUM(B101:B103)</f>
        <v>130978314</v>
      </c>
      <c r="C100" s="250">
        <v>120017380</v>
      </c>
      <c r="D100" s="161">
        <f>SUM(D101:D103)</f>
        <v>118238765</v>
      </c>
      <c r="E100" s="292">
        <f t="shared" si="10"/>
        <v>0.9027354329816767</v>
      </c>
      <c r="F100" s="295">
        <f>SUM(F101:F103)</f>
        <v>9800174</v>
      </c>
      <c r="G100" s="291" t="s">
        <v>439</v>
      </c>
      <c r="H100" s="296">
        <f>SUM(H101:H103)</f>
        <v>130978</v>
      </c>
      <c r="I100" s="296">
        <f>ROUND(C100/1000,0)</f>
        <v>120017</v>
      </c>
      <c r="J100" s="296">
        <f>SUM(J101:J103)</f>
        <v>118239</v>
      </c>
      <c r="K100" s="210">
        <f t="shared" si="13"/>
        <v>90.27393913481654</v>
      </c>
      <c r="L100" s="296">
        <f>SUM(L101:L103)</f>
        <v>9800</v>
      </c>
      <c r="M100" s="3"/>
    </row>
    <row r="101" spans="1:13" ht="12.75">
      <c r="A101" s="291" t="s">
        <v>473</v>
      </c>
      <c r="B101" s="161">
        <v>74152400</v>
      </c>
      <c r="C101" s="250"/>
      <c r="D101" s="161">
        <v>66343639</v>
      </c>
      <c r="E101" s="292">
        <f t="shared" si="10"/>
        <v>0.8946930780392812</v>
      </c>
      <c r="F101" s="295">
        <f>D101-'[8]Oktobris'!D91</f>
        <v>5936635</v>
      </c>
      <c r="G101" s="291" t="s">
        <v>473</v>
      </c>
      <c r="H101" s="296">
        <f>ROUND(B101/1000,0)</f>
        <v>74152</v>
      </c>
      <c r="I101" s="296">
        <f>ROUND(C101/1000,0)</f>
        <v>0</v>
      </c>
      <c r="J101" s="296">
        <f>ROUND(D101/1000,0)</f>
        <v>66344</v>
      </c>
      <c r="K101" s="210">
        <f t="shared" si="13"/>
        <v>89.47027726831374</v>
      </c>
      <c r="L101" s="293">
        <f>J101-'[8]Oktobris'!J91</f>
        <v>5937</v>
      </c>
      <c r="M101" s="3"/>
    </row>
    <row r="102" spans="1:13" ht="12.75">
      <c r="A102" s="291" t="s">
        <v>474</v>
      </c>
      <c r="B102" s="161">
        <v>54092286</v>
      </c>
      <c r="C102" s="250"/>
      <c r="D102" s="161">
        <v>49445838</v>
      </c>
      <c r="E102" s="292">
        <f t="shared" si="10"/>
        <v>0.9141014672591208</v>
      </c>
      <c r="F102" s="295">
        <f>D102-'[8]Oktobris'!D92</f>
        <v>3863958</v>
      </c>
      <c r="G102" s="291" t="s">
        <v>474</v>
      </c>
      <c r="H102" s="296">
        <f>ROUND(B102/1000,0)</f>
        <v>54092</v>
      </c>
      <c r="I102" s="296">
        <f>ROUND(C102/1000,0)</f>
        <v>0</v>
      </c>
      <c r="J102" s="296">
        <f>ROUND(D102/1000,0)</f>
        <v>49446</v>
      </c>
      <c r="K102" s="210">
        <f t="shared" si="13"/>
        <v>91.41092952747172</v>
      </c>
      <c r="L102" s="293">
        <f>J102-'[8]Oktobris'!J92</f>
        <v>3864</v>
      </c>
      <c r="M102" s="3"/>
    </row>
    <row r="103" spans="1:13" ht="12.75">
      <c r="A103" s="303" t="s">
        <v>363</v>
      </c>
      <c r="B103" s="161">
        <v>2733628</v>
      </c>
      <c r="C103" s="250"/>
      <c r="D103" s="161">
        <v>2449288</v>
      </c>
      <c r="E103" s="292">
        <f t="shared" si="10"/>
        <v>0.8959843841224922</v>
      </c>
      <c r="F103" s="295">
        <f>D103-'[8]Oktobris'!D93</f>
        <v>-419</v>
      </c>
      <c r="G103" s="291" t="s">
        <v>363</v>
      </c>
      <c r="H103" s="296">
        <f>ROUND(B103/1000,0)</f>
        <v>2734</v>
      </c>
      <c r="I103" s="296">
        <f>ROUND(C103/1000,0)</f>
        <v>0</v>
      </c>
      <c r="J103" s="296">
        <f>ROUND(D103/1000,0)</f>
        <v>2449</v>
      </c>
      <c r="K103" s="210">
        <f t="shared" si="13"/>
        <v>89.57571324067301</v>
      </c>
      <c r="L103" s="293">
        <f>J103-'[8]Oktobris'!J93</f>
        <v>-1</v>
      </c>
      <c r="M103" s="3"/>
    </row>
    <row r="104" spans="1:13" ht="12.75">
      <c r="A104" s="291" t="s">
        <v>441</v>
      </c>
      <c r="B104" s="161">
        <f>SUM(B105+B107)</f>
        <v>135564665</v>
      </c>
      <c r="C104" s="250">
        <f>SUM(C105:C107)</f>
        <v>125284731</v>
      </c>
      <c r="D104" s="161">
        <f>SUM(D105+D107)</f>
        <v>121142006</v>
      </c>
      <c r="E104" s="292">
        <f t="shared" si="10"/>
        <v>0.8936104847085338</v>
      </c>
      <c r="F104" s="295">
        <f>SUM(F105:F107)</f>
        <v>13161000</v>
      </c>
      <c r="G104" s="291" t="s">
        <v>441</v>
      </c>
      <c r="H104" s="296">
        <f>SUM(H105:H107)</f>
        <v>136350</v>
      </c>
      <c r="I104" s="296">
        <f>SUM(I105:I107)</f>
        <v>125284</v>
      </c>
      <c r="J104" s="296">
        <f>SUM(J105,J107)</f>
        <v>121142</v>
      </c>
      <c r="K104" s="210">
        <f t="shared" si="13"/>
        <v>88.84635130179684</v>
      </c>
      <c r="L104" s="296">
        <f>SUM(L105:L107)</f>
        <v>13161</v>
      </c>
      <c r="M104" s="3"/>
    </row>
    <row r="105" spans="1:13" ht="12.75">
      <c r="A105" s="291" t="s">
        <v>442</v>
      </c>
      <c r="B105" s="161">
        <v>129548435</v>
      </c>
      <c r="C105" s="250">
        <v>119934531</v>
      </c>
      <c r="D105" s="161">
        <f>'[7]Novembris'!$D$8</f>
        <v>117184477</v>
      </c>
      <c r="E105" s="292">
        <f t="shared" si="10"/>
        <v>0.9045611164658223</v>
      </c>
      <c r="F105" s="295">
        <f>D105-'[8]Oktobris'!D95</f>
        <v>12572994</v>
      </c>
      <c r="G105" s="291" t="s">
        <v>442</v>
      </c>
      <c r="H105" s="296">
        <f aca="true" t="shared" si="16" ref="H105:J107">ROUND(B105/1000,0)</f>
        <v>129548</v>
      </c>
      <c r="I105" s="296">
        <f>ROUND(C105/1000,0)-1</f>
        <v>119934</v>
      </c>
      <c r="J105" s="296">
        <f t="shared" si="16"/>
        <v>117184</v>
      </c>
      <c r="K105" s="210">
        <f t="shared" si="13"/>
        <v>90.45604717942383</v>
      </c>
      <c r="L105" s="293">
        <f>J105-'[8]Oktobris'!J95</f>
        <v>12572</v>
      </c>
      <c r="M105" s="3"/>
    </row>
    <row r="106" spans="1:13" ht="25.5">
      <c r="A106" s="114" t="s">
        <v>454</v>
      </c>
      <c r="B106" s="161">
        <v>785592</v>
      </c>
      <c r="C106" s="250"/>
      <c r="D106" s="161">
        <v>747032</v>
      </c>
      <c r="E106" s="292">
        <f t="shared" si="10"/>
        <v>0.9509159971079135</v>
      </c>
      <c r="F106" s="295">
        <v>369720</v>
      </c>
      <c r="G106" s="114" t="s">
        <v>454</v>
      </c>
      <c r="H106" s="296">
        <f t="shared" si="16"/>
        <v>786</v>
      </c>
      <c r="I106" s="296"/>
      <c r="J106" s="296">
        <f t="shared" si="16"/>
        <v>747</v>
      </c>
      <c r="K106" s="210">
        <f t="shared" si="13"/>
        <v>95.0381679389313</v>
      </c>
      <c r="L106" s="293">
        <v>370</v>
      </c>
      <c r="M106" s="3"/>
    </row>
    <row r="107" spans="1:13" ht="12.75">
      <c r="A107" s="291" t="s">
        <v>432</v>
      </c>
      <c r="B107" s="161">
        <v>6016230</v>
      </c>
      <c r="C107" s="250">
        <v>5350200</v>
      </c>
      <c r="D107" s="161">
        <f>'[7]Novembris'!$D$30</f>
        <v>3957529</v>
      </c>
      <c r="E107" s="292">
        <f t="shared" si="10"/>
        <v>0.6578087938792234</v>
      </c>
      <c r="F107" s="295">
        <f>D107-'[8]Oktobris'!D96</f>
        <v>218286</v>
      </c>
      <c r="G107" s="291" t="s">
        <v>432</v>
      </c>
      <c r="H107" s="296">
        <f t="shared" si="16"/>
        <v>6016</v>
      </c>
      <c r="I107" s="296">
        <f t="shared" si="16"/>
        <v>5350</v>
      </c>
      <c r="J107" s="296">
        <f t="shared" si="16"/>
        <v>3958</v>
      </c>
      <c r="K107" s="210">
        <f t="shared" si="13"/>
        <v>65.79122340425532</v>
      </c>
      <c r="L107" s="293">
        <f>J107-'[8]Oktobris'!J96</f>
        <v>219</v>
      </c>
      <c r="M107" s="3"/>
    </row>
    <row r="108" spans="1:13" ht="12.75">
      <c r="A108" s="291" t="s">
        <v>435</v>
      </c>
      <c r="B108" s="161">
        <f>SUM(B100-B104)</f>
        <v>-4586351</v>
      </c>
      <c r="C108" s="250">
        <f>SUM(C100-C104)</f>
        <v>-5267351</v>
      </c>
      <c r="D108" s="161">
        <f>SUM(D100-D104)</f>
        <v>-2903241</v>
      </c>
      <c r="E108" s="292">
        <f t="shared" si="10"/>
        <v>0.6330176211982032</v>
      </c>
      <c r="F108" s="295">
        <f>D108-'[8]Oktobris'!D97</f>
        <v>-2991106</v>
      </c>
      <c r="G108" s="291" t="s">
        <v>435</v>
      </c>
      <c r="H108" s="296">
        <f>SUM(H100-H104)</f>
        <v>-5372</v>
      </c>
      <c r="I108" s="296">
        <f>SUM(I100-I104)</f>
        <v>-5267</v>
      </c>
      <c r="J108" s="296">
        <f>SUM(J100-J104)</f>
        <v>-2903</v>
      </c>
      <c r="K108" s="210"/>
      <c r="L108" s="293">
        <f>J108-'[8]Oktobris'!J97</f>
        <v>-2991</v>
      </c>
      <c r="M108" s="3"/>
    </row>
    <row r="109" spans="1:13" ht="12.75">
      <c r="A109" s="291" t="s">
        <v>457</v>
      </c>
      <c r="B109" s="161">
        <v>3389000</v>
      </c>
      <c r="C109" s="250">
        <f>3390000+140000+180000+180000+180000</f>
        <v>4070000</v>
      </c>
      <c r="D109" s="161">
        <v>2896098</v>
      </c>
      <c r="E109" s="292">
        <f t="shared" si="10"/>
        <v>0.8545582767778106</v>
      </c>
      <c r="F109" s="295">
        <f>D109-'[8]Oktobris'!D98</f>
        <v>109100</v>
      </c>
      <c r="G109" s="291" t="s">
        <v>457</v>
      </c>
      <c r="H109" s="296">
        <f>ROUND(B109/1000,0)</f>
        <v>3389</v>
      </c>
      <c r="I109" s="296">
        <f>ROUND(C109/1000,0)</f>
        <v>4070</v>
      </c>
      <c r="J109" s="296">
        <f>ROUND(D109/1000,0)</f>
        <v>2896</v>
      </c>
      <c r="K109" s="210">
        <f t="shared" si="13"/>
        <v>85.45293596931248</v>
      </c>
      <c r="L109" s="293">
        <f>J109-'[8]Oktobris'!J98</f>
        <v>109</v>
      </c>
      <c r="M109" s="3"/>
    </row>
    <row r="110" spans="1:13" ht="12.75">
      <c r="A110" s="142" t="s">
        <v>475</v>
      </c>
      <c r="B110" s="161"/>
      <c r="C110" s="250"/>
      <c r="D110" s="161"/>
      <c r="E110" s="292" t="str">
        <f t="shared" si="10"/>
        <v> </v>
      </c>
      <c r="F110" s="295"/>
      <c r="G110" s="142" t="s">
        <v>475</v>
      </c>
      <c r="H110" s="296"/>
      <c r="I110" s="296"/>
      <c r="J110" s="296"/>
      <c r="K110" s="210"/>
      <c r="L110" s="296"/>
      <c r="M110" s="280"/>
    </row>
    <row r="111" spans="1:13" ht="12.75">
      <c r="A111" s="291" t="s">
        <v>439</v>
      </c>
      <c r="B111" s="161">
        <f>SUM(B112:B114)</f>
        <v>485014039</v>
      </c>
      <c r="C111" s="161">
        <f>229843977+44401932+40480748+39432831+40001232+38548525</f>
        <v>432709245</v>
      </c>
      <c r="D111" s="161">
        <f>SUM(D112:D114)</f>
        <v>430048142</v>
      </c>
      <c r="E111" s="292">
        <f t="shared" si="10"/>
        <v>0.8866715340584193</v>
      </c>
      <c r="F111" s="295">
        <f>SUM(F112:F114)</f>
        <v>40032560</v>
      </c>
      <c r="G111" s="291" t="s">
        <v>439</v>
      </c>
      <c r="H111" s="296">
        <f>SUM(H112:H114)</f>
        <v>485014</v>
      </c>
      <c r="I111" s="293">
        <f aca="true" t="shared" si="17" ref="H111:J114">ROUND(C111/1000,0)</f>
        <v>432709</v>
      </c>
      <c r="J111" s="296">
        <f>SUM(J112:J114)</f>
        <v>430048</v>
      </c>
      <c r="K111" s="210">
        <f t="shared" si="13"/>
        <v>88.66713125806677</v>
      </c>
      <c r="L111" s="293">
        <f>SUM(L112:L114)</f>
        <v>40033</v>
      </c>
      <c r="M111" s="280"/>
    </row>
    <row r="112" spans="1:13" ht="12.75">
      <c r="A112" s="304" t="s">
        <v>476</v>
      </c>
      <c r="B112" s="305">
        <v>476999247</v>
      </c>
      <c r="C112" s="306"/>
      <c r="D112" s="305">
        <v>422767917</v>
      </c>
      <c r="E112" s="292">
        <f t="shared" si="10"/>
        <v>0.8863073047995818</v>
      </c>
      <c r="F112" s="295">
        <f>D112-'[8]Oktobris'!D101</f>
        <v>39401379</v>
      </c>
      <c r="G112" s="291" t="s">
        <v>476</v>
      </c>
      <c r="H112" s="293">
        <f t="shared" si="17"/>
        <v>476999</v>
      </c>
      <c r="I112" s="293">
        <f t="shared" si="17"/>
        <v>0</v>
      </c>
      <c r="J112" s="293">
        <f>ROUND(D112/1000,0)</f>
        <v>422768</v>
      </c>
      <c r="K112" s="210">
        <f t="shared" si="13"/>
        <v>88.630793775249</v>
      </c>
      <c r="L112" s="293">
        <f>J112-'[8]Oktobris'!J101+1</f>
        <v>39402</v>
      </c>
      <c r="M112" s="280"/>
    </row>
    <row r="113" spans="1:13" ht="12.75">
      <c r="A113" s="304" t="s">
        <v>477</v>
      </c>
      <c r="B113" s="305">
        <f>280000+1890000+4209878</f>
        <v>6379878</v>
      </c>
      <c r="C113" s="306"/>
      <c r="D113" s="305">
        <v>5571012</v>
      </c>
      <c r="E113" s="292">
        <f t="shared" si="10"/>
        <v>0.8732160709029232</v>
      </c>
      <c r="F113" s="295">
        <f>D113-'[8]Oktobris'!D102</f>
        <v>586016</v>
      </c>
      <c r="G113" s="291" t="s">
        <v>477</v>
      </c>
      <c r="H113" s="293">
        <f t="shared" si="17"/>
        <v>6380</v>
      </c>
      <c r="I113" s="293">
        <f t="shared" si="17"/>
        <v>0</v>
      </c>
      <c r="J113" s="293">
        <f t="shared" si="17"/>
        <v>5571</v>
      </c>
      <c r="K113" s="210">
        <f t="shared" si="13"/>
        <v>87.31974921630095</v>
      </c>
      <c r="L113" s="293">
        <f>J113-'[8]Oktobris'!J102</f>
        <v>586</v>
      </c>
      <c r="M113" s="280"/>
    </row>
    <row r="114" spans="1:13" ht="12.75">
      <c r="A114" s="304" t="s">
        <v>478</v>
      </c>
      <c r="B114" s="305">
        <f>8014792-B113</f>
        <v>1634914</v>
      </c>
      <c r="C114" s="306"/>
      <c r="D114" s="305">
        <f>7280225-D113</f>
        <v>1709213</v>
      </c>
      <c r="E114" s="292">
        <f t="shared" si="10"/>
        <v>1.0454452038455846</v>
      </c>
      <c r="F114" s="295">
        <f>D114-'[8]Oktobris'!D103</f>
        <v>45165</v>
      </c>
      <c r="G114" s="291" t="s">
        <v>478</v>
      </c>
      <c r="H114" s="293">
        <f t="shared" si="17"/>
        <v>1635</v>
      </c>
      <c r="I114" s="293">
        <f t="shared" si="17"/>
        <v>0</v>
      </c>
      <c r="J114" s="293">
        <f>ROUND(D114/1000,0)</f>
        <v>1709</v>
      </c>
      <c r="K114" s="210">
        <f t="shared" si="13"/>
        <v>104.52599388379204</v>
      </c>
      <c r="L114" s="293">
        <f>J114-'[8]Oktobris'!J103</f>
        <v>45</v>
      </c>
      <c r="M114" s="280"/>
    </row>
    <row r="115" spans="1:13" ht="12.75">
      <c r="A115" s="291" t="s">
        <v>479</v>
      </c>
      <c r="B115" s="161">
        <f>SUM(B116:B117)</f>
        <v>518721421</v>
      </c>
      <c r="C115" s="250">
        <f>SUM(C116:C117)</f>
        <v>495088927</v>
      </c>
      <c r="D115" s="161">
        <f>SUM(D116:D117)</f>
        <v>464451740</v>
      </c>
      <c r="E115" s="292">
        <f t="shared" si="10"/>
        <v>0.8953779836287116</v>
      </c>
      <c r="F115" s="295">
        <f>SUM(F116:F117)</f>
        <v>41820148</v>
      </c>
      <c r="G115" s="291" t="s">
        <v>480</v>
      </c>
      <c r="H115" s="152">
        <f>SUM(H116:H117)</f>
        <v>518721</v>
      </c>
      <c r="I115" s="152">
        <f>SUM(I116:I117)</f>
        <v>495089</v>
      </c>
      <c r="J115" s="152">
        <f>SUM(J116:J117)</f>
        <v>464452</v>
      </c>
      <c r="K115" s="210">
        <f t="shared" si="13"/>
        <v>89.53792115607426</v>
      </c>
      <c r="L115" s="296">
        <f>SUM(L116:L117)</f>
        <v>41820</v>
      </c>
      <c r="M115" s="280"/>
    </row>
    <row r="116" spans="1:13" ht="12.75">
      <c r="A116" s="291" t="s">
        <v>442</v>
      </c>
      <c r="B116" s="161">
        <v>516170164</v>
      </c>
      <c r="C116" s="250">
        <f>357832704+40468311+44913590+47873322</f>
        <v>491087927</v>
      </c>
      <c r="D116" s="161">
        <f>D220-D222+1</f>
        <v>462985146</v>
      </c>
      <c r="E116" s="292">
        <f t="shared" si="10"/>
        <v>0.8969622389875289</v>
      </c>
      <c r="F116" s="295">
        <f>D116-'[8]Oktobris'!D105</f>
        <v>41625245</v>
      </c>
      <c r="G116" s="291" t="s">
        <v>442</v>
      </c>
      <c r="H116" s="293">
        <f aca="true" t="shared" si="18" ref="H116:J118">ROUND(B116/1000,0)</f>
        <v>516170</v>
      </c>
      <c r="I116" s="293">
        <f t="shared" si="18"/>
        <v>491088</v>
      </c>
      <c r="J116" s="293">
        <f>ROUND(D116/1000,0)</f>
        <v>462985</v>
      </c>
      <c r="K116" s="210">
        <f t="shared" si="13"/>
        <v>89.6962241122111</v>
      </c>
      <c r="L116" s="293">
        <f>J116-'[8]Oktobris'!J105</f>
        <v>41625</v>
      </c>
      <c r="M116" s="280"/>
    </row>
    <row r="117" spans="1:13" ht="12.75">
      <c r="A117" s="291" t="s">
        <v>432</v>
      </c>
      <c r="B117" s="161">
        <v>2551257</v>
      </c>
      <c r="C117" s="250">
        <f>2948894+608000+189000+255106</f>
        <v>4001000</v>
      </c>
      <c r="D117" s="161">
        <f>D223+D222</f>
        <v>1466594</v>
      </c>
      <c r="E117" s="292">
        <f t="shared" si="10"/>
        <v>0.5748515339693335</v>
      </c>
      <c r="F117" s="295">
        <f>D117-'[8]Oktobris'!D106</f>
        <v>194903</v>
      </c>
      <c r="G117" s="291" t="s">
        <v>432</v>
      </c>
      <c r="H117" s="293">
        <f t="shared" si="18"/>
        <v>2551</v>
      </c>
      <c r="I117" s="293">
        <f t="shared" si="18"/>
        <v>4001</v>
      </c>
      <c r="J117" s="293">
        <f t="shared" si="18"/>
        <v>1467</v>
      </c>
      <c r="K117" s="210">
        <f t="shared" si="13"/>
        <v>57.506860054880434</v>
      </c>
      <c r="L117" s="293">
        <f>J117-'[8]Oktobris'!J106</f>
        <v>195</v>
      </c>
      <c r="M117" s="280"/>
    </row>
    <row r="118" spans="1:13" ht="12.75">
      <c r="A118" s="291" t="s">
        <v>435</v>
      </c>
      <c r="B118" s="161">
        <f>SUM(B111-B115)</f>
        <v>-33707382</v>
      </c>
      <c r="C118" s="250">
        <f>SUM(C111-C115)</f>
        <v>-62379682</v>
      </c>
      <c r="D118" s="161">
        <f>SUM(D111-D115)</f>
        <v>-34403598</v>
      </c>
      <c r="E118" s="292">
        <f t="shared" si="10"/>
        <v>1.020654704064528</v>
      </c>
      <c r="F118" s="295">
        <f>D118-'[8]Oktobris'!D107</f>
        <v>-1787588</v>
      </c>
      <c r="G118" s="291" t="s">
        <v>435</v>
      </c>
      <c r="H118" s="293">
        <f t="shared" si="18"/>
        <v>-33707</v>
      </c>
      <c r="I118" s="293">
        <f t="shared" si="18"/>
        <v>-62380</v>
      </c>
      <c r="J118" s="293">
        <f t="shared" si="18"/>
        <v>-34404</v>
      </c>
      <c r="K118" s="210">
        <f t="shared" si="13"/>
        <v>102.06781974070668</v>
      </c>
      <c r="L118" s="293">
        <f>J118-'[8]Oktobris'!J107</f>
        <v>-1788</v>
      </c>
      <c r="M118" s="280"/>
    </row>
    <row r="119" spans="1:13" ht="12.75">
      <c r="A119" s="291" t="s">
        <v>457</v>
      </c>
      <c r="B119" s="161">
        <v>35098568</v>
      </c>
      <c r="C119" s="250">
        <f>46036985+1668466+5107315+9580306</f>
        <v>62393072</v>
      </c>
      <c r="D119" s="161">
        <f>D221+D223</f>
        <v>38310273</v>
      </c>
      <c r="E119" s="292">
        <f t="shared" si="10"/>
        <v>1.0915053001592543</v>
      </c>
      <c r="F119" s="295">
        <f>D119-'[8]Oktobris'!D108</f>
        <v>2701676</v>
      </c>
      <c r="G119" s="291" t="s">
        <v>457</v>
      </c>
      <c r="H119" s="293">
        <f>ROUND(B119/1000,0)-1</f>
        <v>35098</v>
      </c>
      <c r="I119" s="293">
        <f>ROUND(C119/1000,0)</f>
        <v>62393</v>
      </c>
      <c r="J119" s="293">
        <f>ROUND(D119/1000,0)</f>
        <v>38310</v>
      </c>
      <c r="K119" s="210">
        <f t="shared" si="13"/>
        <v>109.15151860504872</v>
      </c>
      <c r="L119" s="293">
        <f>J119-'[8]Oktobris'!J108</f>
        <v>2702</v>
      </c>
      <c r="M119" s="280"/>
    </row>
    <row r="120" spans="1:13" ht="12.75">
      <c r="A120" s="142" t="s">
        <v>481</v>
      </c>
      <c r="B120" s="161"/>
      <c r="C120" s="250"/>
      <c r="D120" s="161"/>
      <c r="E120" s="292" t="str">
        <f t="shared" si="10"/>
        <v> </v>
      </c>
      <c r="F120" s="295"/>
      <c r="G120" s="142" t="s">
        <v>481</v>
      </c>
      <c r="H120" s="296"/>
      <c r="I120" s="296"/>
      <c r="J120" s="296"/>
      <c r="K120" s="210"/>
      <c r="L120" s="296"/>
      <c r="M120" s="280"/>
    </row>
    <row r="121" spans="1:13" ht="12.75">
      <c r="A121" s="291" t="s">
        <v>439</v>
      </c>
      <c r="B121" s="161">
        <f>SUM(B122:B124)</f>
        <v>380564329</v>
      </c>
      <c r="C121" s="250">
        <f>215878774+31723536+30955586+31414283+30339847</f>
        <v>340312026</v>
      </c>
      <c r="D121" s="161">
        <f>SUM(D122:D124)</f>
        <v>338163865</v>
      </c>
      <c r="E121" s="292">
        <f t="shared" si="10"/>
        <v>0.8885852909246258</v>
      </c>
      <c r="F121" s="295">
        <f>SUM(F122:F124)</f>
        <v>34358364</v>
      </c>
      <c r="G121" s="291" t="s">
        <v>439</v>
      </c>
      <c r="H121" s="296">
        <f>SUM(H122:H124)</f>
        <v>380564</v>
      </c>
      <c r="I121" s="307">
        <f aca="true" t="shared" si="19" ref="H121:J126">ROUND(C121/1000,0)</f>
        <v>340312</v>
      </c>
      <c r="J121" s="296">
        <f>SUM(J122:J124)</f>
        <v>338164</v>
      </c>
      <c r="K121" s="210">
        <f t="shared" si="13"/>
        <v>88.8586413848919</v>
      </c>
      <c r="L121" s="293">
        <f>SUM(L122:L124)</f>
        <v>34359</v>
      </c>
      <c r="M121" s="280"/>
    </row>
    <row r="122" spans="1:13" ht="12.75">
      <c r="A122" s="304" t="s">
        <v>476</v>
      </c>
      <c r="B122" s="305">
        <v>358336359</v>
      </c>
      <c r="C122" s="306"/>
      <c r="D122" s="308">
        <v>317566840</v>
      </c>
      <c r="E122" s="292">
        <f t="shared" si="10"/>
        <v>0.8862255588191652</v>
      </c>
      <c r="F122" s="295">
        <f>D122-'[8]Oktobris'!D111</f>
        <v>29594620</v>
      </c>
      <c r="G122" s="304" t="s">
        <v>476</v>
      </c>
      <c r="H122" s="307">
        <f t="shared" si="19"/>
        <v>358336</v>
      </c>
      <c r="I122" s="307">
        <f t="shared" si="19"/>
        <v>0</v>
      </c>
      <c r="J122" s="307">
        <f>ROUND(D122/1000,0)</f>
        <v>317567</v>
      </c>
      <c r="K122" s="210">
        <f t="shared" si="13"/>
        <v>88.62268931952134</v>
      </c>
      <c r="L122" s="293">
        <f>J122-'[8]Oktobris'!J111+1</f>
        <v>29596</v>
      </c>
      <c r="M122" s="280"/>
    </row>
    <row r="123" spans="1:13" ht="12.75">
      <c r="A123" s="304" t="s">
        <v>477</v>
      </c>
      <c r="B123" s="305">
        <v>3770669</v>
      </c>
      <c r="C123" s="306"/>
      <c r="D123" s="308">
        <v>3171974</v>
      </c>
      <c r="E123" s="292">
        <f t="shared" si="10"/>
        <v>0.8412231357353297</v>
      </c>
      <c r="F123" s="295">
        <f>D123-'[8]Oktobris'!D112</f>
        <v>386141</v>
      </c>
      <c r="G123" s="304" t="s">
        <v>477</v>
      </c>
      <c r="H123" s="307">
        <f t="shared" si="19"/>
        <v>3771</v>
      </c>
      <c r="I123" s="307">
        <f t="shared" si="19"/>
        <v>0</v>
      </c>
      <c r="J123" s="307">
        <f>ROUND(D123/1000,0)</f>
        <v>3172</v>
      </c>
      <c r="K123" s="210">
        <f t="shared" si="13"/>
        <v>84.11561919915141</v>
      </c>
      <c r="L123" s="293">
        <f>J123-'[8]Oktobris'!J112-1</f>
        <v>385</v>
      </c>
      <c r="M123" s="280"/>
    </row>
    <row r="124" spans="1:13" ht="12.75">
      <c r="A124" s="304" t="s">
        <v>478</v>
      </c>
      <c r="B124" s="305">
        <f>22227970-3770669</f>
        <v>18457301</v>
      </c>
      <c r="C124" s="306"/>
      <c r="D124" s="308">
        <f>-D123+20597025</f>
        <v>17425051</v>
      </c>
      <c r="E124" s="292">
        <f t="shared" si="10"/>
        <v>0.9440736215983041</v>
      </c>
      <c r="F124" s="295">
        <f>D124-'[8]Oktobris'!D113</f>
        <v>4377603</v>
      </c>
      <c r="G124" s="304" t="s">
        <v>478</v>
      </c>
      <c r="H124" s="307">
        <f t="shared" si="19"/>
        <v>18457</v>
      </c>
      <c r="I124" s="307">
        <f t="shared" si="19"/>
        <v>0</v>
      </c>
      <c r="J124" s="307">
        <f t="shared" si="19"/>
        <v>17425</v>
      </c>
      <c r="K124" s="210">
        <f t="shared" si="13"/>
        <v>94.40862545375738</v>
      </c>
      <c r="L124" s="293">
        <f>J124-'[8]Oktobris'!J113</f>
        <v>4378</v>
      </c>
      <c r="M124" s="280"/>
    </row>
    <row r="125" spans="1:13" ht="12.75">
      <c r="A125" s="291" t="s">
        <v>441</v>
      </c>
      <c r="B125" s="305">
        <f>SUM(B126)</f>
        <v>409497397</v>
      </c>
      <c r="C125" s="250">
        <f>SUM(C126)</f>
        <v>385716127</v>
      </c>
      <c r="D125" s="305">
        <f>SUM(D126)</f>
        <v>368529225</v>
      </c>
      <c r="E125" s="292">
        <f t="shared" si="10"/>
        <v>0.899954987992268</v>
      </c>
      <c r="F125" s="309">
        <f>SUM(F126)</f>
        <v>33327283</v>
      </c>
      <c r="G125" s="291" t="s">
        <v>441</v>
      </c>
      <c r="H125" s="296">
        <f>SUM(H126)</f>
        <v>409497</v>
      </c>
      <c r="I125" s="296">
        <f>SUM(I126)</f>
        <v>385716</v>
      </c>
      <c r="J125" s="296">
        <f>SUM(J126)</f>
        <v>368529</v>
      </c>
      <c r="K125" s="210">
        <f t="shared" si="13"/>
        <v>89.99553110279196</v>
      </c>
      <c r="L125" s="296">
        <f>SUM(L126)</f>
        <v>33327</v>
      </c>
      <c r="M125" s="280"/>
    </row>
    <row r="126" spans="1:13" ht="12.75">
      <c r="A126" s="291" t="s">
        <v>482</v>
      </c>
      <c r="B126" s="161">
        <v>409497397</v>
      </c>
      <c r="C126" s="250">
        <f>243381576+37270222+31816885+35365618+37881826</f>
        <v>385716127</v>
      </c>
      <c r="D126" s="308">
        <v>368529225</v>
      </c>
      <c r="E126" s="292">
        <f t="shared" si="10"/>
        <v>0.899954987992268</v>
      </c>
      <c r="F126" s="295">
        <f>D126-'[8]Oktobris'!D115</f>
        <v>33327283</v>
      </c>
      <c r="G126" s="304" t="s">
        <v>482</v>
      </c>
      <c r="H126" s="307">
        <f>ROUND(B126/1000,0)</f>
        <v>409497</v>
      </c>
      <c r="I126" s="307">
        <f>ROUND(C126/1000,0)</f>
        <v>385716</v>
      </c>
      <c r="J126" s="307">
        <f t="shared" si="19"/>
        <v>368529</v>
      </c>
      <c r="K126" s="210">
        <f t="shared" si="13"/>
        <v>89.99553110279196</v>
      </c>
      <c r="L126" s="293">
        <f>J126-'[8]Oktobris'!J115</f>
        <v>33327</v>
      </c>
      <c r="M126" s="280"/>
    </row>
    <row r="127" spans="1:13" ht="12.75">
      <c r="A127" s="291" t="s">
        <v>435</v>
      </c>
      <c r="B127" s="161">
        <f>SUM(B121-B125)</f>
        <v>-28933068</v>
      </c>
      <c r="C127" s="250">
        <f>SUM(C121-C125)</f>
        <v>-45404101</v>
      </c>
      <c r="D127" s="161">
        <f>SUM(D121-D125)</f>
        <v>-30365360</v>
      </c>
      <c r="E127" s="292"/>
      <c r="F127" s="295">
        <f>D127-'[8]Oktobris'!D116</f>
        <v>1031081</v>
      </c>
      <c r="G127" s="291" t="s">
        <v>435</v>
      </c>
      <c r="H127" s="296">
        <f>SUM(H121-H125)</f>
        <v>-28933</v>
      </c>
      <c r="I127" s="296">
        <f>SUM(I121-I125)</f>
        <v>-45404</v>
      </c>
      <c r="J127" s="296">
        <f>SUM(J121-J125)</f>
        <v>-30365</v>
      </c>
      <c r="K127" s="210"/>
      <c r="L127" s="293">
        <f>J127-'[8]Oktobris'!J116</f>
        <v>1032</v>
      </c>
      <c r="M127" s="280"/>
    </row>
    <row r="128" spans="1:13" ht="12.75">
      <c r="A128" s="291" t="s">
        <v>457</v>
      </c>
      <c r="B128" s="161">
        <v>28933068</v>
      </c>
      <c r="C128" s="250">
        <f>33049488+861299+3951335+7541979</f>
        <v>45404101</v>
      </c>
      <c r="D128" s="161">
        <v>30379030</v>
      </c>
      <c r="E128" s="292"/>
      <c r="F128" s="295">
        <f>D128-'[8]Oktobris'!D117</f>
        <v>-1031342</v>
      </c>
      <c r="G128" s="291" t="s">
        <v>457</v>
      </c>
      <c r="H128" s="293">
        <f>ROUND(B128/1000,0)</f>
        <v>28933</v>
      </c>
      <c r="I128" s="293">
        <f>ROUND(C128/1000,0)</f>
        <v>45404</v>
      </c>
      <c r="J128" s="293">
        <f>ROUND(D128/1000,0)</f>
        <v>30379</v>
      </c>
      <c r="K128" s="210"/>
      <c r="L128" s="293">
        <f>J128-'[8]Oktobris'!J117</f>
        <v>-1031</v>
      </c>
      <c r="M128" s="280"/>
    </row>
    <row r="129" spans="1:13" ht="12.75">
      <c r="A129" s="142" t="s">
        <v>483</v>
      </c>
      <c r="B129" s="161"/>
      <c r="C129" s="250"/>
      <c r="D129" s="161"/>
      <c r="E129" s="292" t="str">
        <f t="shared" si="10"/>
        <v> </v>
      </c>
      <c r="F129" s="295"/>
      <c r="G129" s="142" t="s">
        <v>483</v>
      </c>
      <c r="H129" s="296"/>
      <c r="I129" s="296"/>
      <c r="J129" s="296"/>
      <c r="K129" s="210"/>
      <c r="L129" s="296"/>
      <c r="M129" s="280"/>
    </row>
    <row r="130" spans="1:13" ht="12.75">
      <c r="A130" s="291" t="s">
        <v>439</v>
      </c>
      <c r="B130" s="161">
        <f>SUM(B131:B133)</f>
        <v>35218522</v>
      </c>
      <c r="C130" s="250">
        <f>3738719+3512825+3494337+2946311+2860213+2782857+2722523+2803661+2933871+2832748+2786315</f>
        <v>33414380</v>
      </c>
      <c r="D130" s="161">
        <f>SUM(D131:D133)</f>
        <v>32675577</v>
      </c>
      <c r="E130" s="292">
        <f t="shared" si="10"/>
        <v>0.927795237971656</v>
      </c>
      <c r="F130" s="295">
        <f>SUM(F131:F133)</f>
        <v>2746448</v>
      </c>
      <c r="G130" s="291" t="s">
        <v>439</v>
      </c>
      <c r="H130" s="296">
        <f>SUM(H131:H133)</f>
        <v>35218</v>
      </c>
      <c r="I130" s="307">
        <f aca="true" t="shared" si="20" ref="H130:J133">ROUND(C130/1000,0)</f>
        <v>33414</v>
      </c>
      <c r="J130" s="296">
        <f>SUM(J131:J133)</f>
        <v>32676</v>
      </c>
      <c r="K130" s="210">
        <f t="shared" si="13"/>
        <v>92.78210006246806</v>
      </c>
      <c r="L130" s="293">
        <f>SUM(L131:L133)</f>
        <v>2747</v>
      </c>
      <c r="M130" s="280"/>
    </row>
    <row r="131" spans="1:13" ht="12.75">
      <c r="A131" s="304" t="s">
        <v>476</v>
      </c>
      <c r="B131" s="305">
        <v>32418949</v>
      </c>
      <c r="C131" s="306"/>
      <c r="D131" s="305">
        <v>28741154</v>
      </c>
      <c r="E131" s="292">
        <f t="shared" si="10"/>
        <v>0.8865541569530833</v>
      </c>
      <c r="F131" s="295">
        <f>D131-'[8]Oktobris'!D120</f>
        <v>2679227</v>
      </c>
      <c r="G131" s="304" t="s">
        <v>476</v>
      </c>
      <c r="H131" s="307">
        <f t="shared" si="20"/>
        <v>32419</v>
      </c>
      <c r="I131" s="307">
        <f t="shared" si="20"/>
        <v>0</v>
      </c>
      <c r="J131" s="307">
        <f t="shared" si="20"/>
        <v>28741</v>
      </c>
      <c r="K131" s="210">
        <f t="shared" si="13"/>
        <v>88.65480119682903</v>
      </c>
      <c r="L131" s="293">
        <f>J131-'[8]Oktobris'!J120</f>
        <v>2679</v>
      </c>
      <c r="M131" s="280"/>
    </row>
    <row r="132" spans="1:13" ht="12.75">
      <c r="A132" s="304" t="s">
        <v>477</v>
      </c>
      <c r="B132" s="305">
        <v>439209</v>
      </c>
      <c r="C132" s="306"/>
      <c r="D132" s="305">
        <v>412557</v>
      </c>
      <c r="E132" s="292">
        <f t="shared" si="10"/>
        <v>0.9393181833705594</v>
      </c>
      <c r="F132" s="295">
        <f>D132-'[8]Oktobris'!D121</f>
        <v>39225</v>
      </c>
      <c r="G132" s="304" t="s">
        <v>477</v>
      </c>
      <c r="H132" s="307">
        <f>ROUND(B132/1000,0)</f>
        <v>439</v>
      </c>
      <c r="I132" s="307">
        <f t="shared" si="20"/>
        <v>0</v>
      </c>
      <c r="J132" s="307">
        <f>ROUND(D132/1000,0)</f>
        <v>413</v>
      </c>
      <c r="K132" s="210">
        <f t="shared" si="13"/>
        <v>94.07744874715262</v>
      </c>
      <c r="L132" s="293">
        <f>J132-'[8]Oktobris'!J121</f>
        <v>40</v>
      </c>
      <c r="M132" s="280"/>
    </row>
    <row r="133" spans="1:13" ht="12.75">
      <c r="A133" s="304" t="s">
        <v>478</v>
      </c>
      <c r="B133" s="305">
        <f>2799573-439209</f>
        <v>2360364</v>
      </c>
      <c r="C133" s="306"/>
      <c r="D133" s="305">
        <f>-D132+3934423</f>
        <v>3521866</v>
      </c>
      <c r="E133" s="292">
        <f t="shared" si="10"/>
        <v>1.4920859664017923</v>
      </c>
      <c r="F133" s="295">
        <f>D133-'[8]Oktobris'!D122</f>
        <v>27996</v>
      </c>
      <c r="G133" s="304" t="s">
        <v>478</v>
      </c>
      <c r="H133" s="307">
        <f>ROUND(B133/1000,0)</f>
        <v>2360</v>
      </c>
      <c r="I133" s="307">
        <f t="shared" si="20"/>
        <v>0</v>
      </c>
      <c r="J133" s="307">
        <f t="shared" si="20"/>
        <v>3522</v>
      </c>
      <c r="K133" s="210">
        <f t="shared" si="13"/>
        <v>149.23728813559322</v>
      </c>
      <c r="L133" s="293">
        <f>J133-'[8]Oktobris'!J122</f>
        <v>28</v>
      </c>
      <c r="M133" s="280"/>
    </row>
    <row r="134" spans="1:13" ht="12.75">
      <c r="A134" s="291" t="s">
        <v>441</v>
      </c>
      <c r="B134" s="305">
        <f>SUM(B135:B135)</f>
        <v>33566555</v>
      </c>
      <c r="C134" s="250">
        <f>SUM(C135)</f>
        <v>33400990</v>
      </c>
      <c r="D134" s="305">
        <f>SUM(D135:D135)</f>
        <v>29611218</v>
      </c>
      <c r="E134" s="292">
        <f t="shared" si="10"/>
        <v>0.8821643448366984</v>
      </c>
      <c r="F134" s="309">
        <f>SUM(F135:F135)</f>
        <v>2170595</v>
      </c>
      <c r="G134" s="291" t="s">
        <v>441</v>
      </c>
      <c r="H134" s="296">
        <f>SUM(H135:H135)</f>
        <v>33567</v>
      </c>
      <c r="I134" s="296">
        <f>SUM(I135:I135)</f>
        <v>33401</v>
      </c>
      <c r="J134" s="296">
        <f>SUM(J135:J135)</f>
        <v>29611</v>
      </c>
      <c r="K134" s="210">
        <f t="shared" si="13"/>
        <v>88.21461554502935</v>
      </c>
      <c r="L134" s="296">
        <f>SUM(L135:L135)</f>
        <v>2170</v>
      </c>
      <c r="M134" s="280"/>
    </row>
    <row r="135" spans="1:13" ht="12.75">
      <c r="A135" s="304" t="s">
        <v>482</v>
      </c>
      <c r="B135" s="305">
        <v>33566555</v>
      </c>
      <c r="C135" s="250">
        <f>3662852+3559932+3456423+2959536+2877673+2819349+2735676+2807961+2908885+2826791+2785912</f>
        <v>33400990</v>
      </c>
      <c r="D135" s="305">
        <v>29611218</v>
      </c>
      <c r="E135" s="310">
        <f t="shared" si="10"/>
        <v>0.8821643448366984</v>
      </c>
      <c r="F135" s="295">
        <f>D135-'[8]Oktobris'!D124</f>
        <v>2170595</v>
      </c>
      <c r="G135" s="304" t="s">
        <v>482</v>
      </c>
      <c r="H135" s="307">
        <f>ROUND(B135/1000,0)</f>
        <v>33567</v>
      </c>
      <c r="I135" s="307">
        <f>ROUND(C135/1000,0)</f>
        <v>33401</v>
      </c>
      <c r="J135" s="307">
        <f>ROUND(D135/1000,0)</f>
        <v>29611</v>
      </c>
      <c r="K135" s="210">
        <f t="shared" si="13"/>
        <v>88.21461554502935</v>
      </c>
      <c r="L135" s="293">
        <f>J135-'[8]Oktobris'!J124</f>
        <v>2170</v>
      </c>
      <c r="M135" s="311"/>
    </row>
    <row r="136" spans="1:13" ht="12.75">
      <c r="A136" s="291" t="s">
        <v>435</v>
      </c>
      <c r="B136" s="161">
        <f>SUM(B130-B134)</f>
        <v>1651967</v>
      </c>
      <c r="C136" s="250">
        <f>SUM(C130-C134)</f>
        <v>13390</v>
      </c>
      <c r="D136" s="161">
        <f>SUM(D130-D134)</f>
        <v>3064359</v>
      </c>
      <c r="E136" s="310"/>
      <c r="F136" s="295">
        <f>D136-'[8]Oktobris'!D125</f>
        <v>575853</v>
      </c>
      <c r="G136" s="291" t="s">
        <v>435</v>
      </c>
      <c r="H136" s="296">
        <f>SUM(H130-H134)</f>
        <v>1651</v>
      </c>
      <c r="I136" s="296">
        <f>SUM(I130-I134)</f>
        <v>13</v>
      </c>
      <c r="J136" s="296">
        <f>SUM(J130-J134)</f>
        <v>3065</v>
      </c>
      <c r="K136" s="210"/>
      <c r="L136" s="293">
        <f>J136-'[8]Oktobris'!J125</f>
        <v>577</v>
      </c>
      <c r="M136" s="280"/>
    </row>
    <row r="137" spans="1:13" ht="12.75">
      <c r="A137" s="142" t="s">
        <v>484</v>
      </c>
      <c r="B137" s="161"/>
      <c r="C137" s="250"/>
      <c r="D137" s="161"/>
      <c r="E137" s="292" t="str">
        <f t="shared" si="10"/>
        <v> </v>
      </c>
      <c r="F137" s="295"/>
      <c r="G137" s="142" t="s">
        <v>484</v>
      </c>
      <c r="H137" s="296"/>
      <c r="I137" s="296"/>
      <c r="J137" s="296"/>
      <c r="K137" s="210"/>
      <c r="L137" s="296"/>
      <c r="M137" s="280"/>
    </row>
    <row r="138" spans="1:13" ht="12.75">
      <c r="A138" s="291" t="s">
        <v>439</v>
      </c>
      <c r="B138" s="161">
        <f>SUM(B139:B141)</f>
        <v>1065498</v>
      </c>
      <c r="C138" s="250">
        <f>80213+79269+85249+86862+85748+88205+97685+89039+86780+87919+84745</f>
        <v>951714</v>
      </c>
      <c r="D138" s="161">
        <f>SUM(D139:D141)</f>
        <v>944608</v>
      </c>
      <c r="E138" s="292">
        <f t="shared" si="10"/>
        <v>0.8865413168302522</v>
      </c>
      <c r="F138" s="295">
        <f>SUM(F139:F141)</f>
        <v>84639</v>
      </c>
      <c r="G138" s="291" t="s">
        <v>439</v>
      </c>
      <c r="H138" s="296">
        <f>SUM(H139:H141)</f>
        <v>1066</v>
      </c>
      <c r="I138" s="307">
        <f>ROUND(C138/1000,0)</f>
        <v>952</v>
      </c>
      <c r="J138" s="296">
        <f>SUM(J139:J141)</f>
        <v>945</v>
      </c>
      <c r="K138" s="210">
        <f t="shared" si="13"/>
        <v>88.64915572232646</v>
      </c>
      <c r="L138" s="296">
        <f>SUM(L139:L141)</f>
        <v>85</v>
      </c>
      <c r="M138" s="280"/>
    </row>
    <row r="139" spans="1:13" ht="12" customHeight="1">
      <c r="A139" s="304" t="s">
        <v>476</v>
      </c>
      <c r="B139" s="305">
        <v>1048848</v>
      </c>
      <c r="C139" s="250"/>
      <c r="D139" s="305">
        <v>929861</v>
      </c>
      <c r="E139" s="292">
        <f t="shared" si="10"/>
        <v>0.8865545817887815</v>
      </c>
      <c r="F139" s="295">
        <f>D139-'[8]Oktobris'!D128</f>
        <v>86681</v>
      </c>
      <c r="G139" s="304" t="s">
        <v>476</v>
      </c>
      <c r="H139" s="307">
        <f>ROUND(B139/1000,0)</f>
        <v>1049</v>
      </c>
      <c r="I139" s="307">
        <f>ROUND(C139/1000,0)</f>
        <v>0</v>
      </c>
      <c r="J139" s="307">
        <f>ROUND(D139/1000,0)</f>
        <v>930</v>
      </c>
      <c r="K139" s="210">
        <f t="shared" si="13"/>
        <v>88.6558627264061</v>
      </c>
      <c r="L139" s="293">
        <f>J139-'[8]Oktobris'!J128</f>
        <v>87</v>
      </c>
      <c r="M139" s="280"/>
    </row>
    <row r="140" spans="1:13" ht="12.75" hidden="1">
      <c r="A140" s="304"/>
      <c r="B140" s="305"/>
      <c r="C140" s="250"/>
      <c r="D140" s="305"/>
      <c r="E140" s="292" t="str">
        <f aca="true" t="shared" si="21" ref="E140:E195">IF(ISERROR(D140/B140)," ",(D140/B140))</f>
        <v> </v>
      </c>
      <c r="F140" s="309"/>
      <c r="G140" s="304"/>
      <c r="H140" s="312"/>
      <c r="I140" s="312"/>
      <c r="J140" s="312"/>
      <c r="K140" s="210" t="e">
        <f t="shared" si="13"/>
        <v>#VALUE!</v>
      </c>
      <c r="L140" s="293">
        <f>J140-'[8]Oktobris'!J129</f>
        <v>0</v>
      </c>
      <c r="M140" s="280"/>
    </row>
    <row r="141" spans="1:13" ht="12.75">
      <c r="A141" s="304" t="s">
        <v>478</v>
      </c>
      <c r="B141" s="305">
        <v>16650</v>
      </c>
      <c r="C141" s="250"/>
      <c r="D141" s="305">
        <v>14747</v>
      </c>
      <c r="E141" s="292">
        <f t="shared" si="21"/>
        <v>0.8857057057057057</v>
      </c>
      <c r="F141" s="295">
        <f>D141-'[8]Oktobris'!D130</f>
        <v>-2042</v>
      </c>
      <c r="G141" s="304" t="s">
        <v>478</v>
      </c>
      <c r="H141" s="307">
        <f>ROUND(B141/1000,0)</f>
        <v>17</v>
      </c>
      <c r="I141" s="307">
        <f>ROUND(C141/1000,0)</f>
        <v>0</v>
      </c>
      <c r="J141" s="307">
        <f>ROUND(D141/1000,0)</f>
        <v>15</v>
      </c>
      <c r="K141" s="210">
        <f t="shared" si="13"/>
        <v>88.23529411764706</v>
      </c>
      <c r="L141" s="293">
        <f>J141-'[8]Oktobris'!J130</f>
        <v>-2</v>
      </c>
      <c r="M141" s="280"/>
    </row>
    <row r="142" spans="1:13" ht="12.75">
      <c r="A142" s="291" t="s">
        <v>441</v>
      </c>
      <c r="B142" s="305">
        <f>SUM(B143:B144)</f>
        <v>1192471</v>
      </c>
      <c r="C142" s="250">
        <f>SUM(C143)</f>
        <v>840656</v>
      </c>
      <c r="D142" s="305">
        <f>SUM(D143:D144)</f>
        <v>717655</v>
      </c>
      <c r="E142" s="292">
        <f t="shared" si="21"/>
        <v>0.6018217633804093</v>
      </c>
      <c r="F142" s="309">
        <f>SUM(F143:F144)</f>
        <v>76035</v>
      </c>
      <c r="G142" s="291" t="s">
        <v>441</v>
      </c>
      <c r="H142" s="296">
        <f>SUM(H143:H144)</f>
        <v>1192</v>
      </c>
      <c r="I142" s="296">
        <f>SUM(I143:I144)</f>
        <v>841</v>
      </c>
      <c r="J142" s="296">
        <f>SUM(J143:J144)</f>
        <v>718</v>
      </c>
      <c r="K142" s="210">
        <f t="shared" si="13"/>
        <v>60.23489932885906</v>
      </c>
      <c r="L142" s="296">
        <f>SUM(L143:L144)</f>
        <v>76</v>
      </c>
      <c r="M142" s="280"/>
    </row>
    <row r="143" spans="1:13" ht="12" customHeight="1">
      <c r="A143" s="291" t="s">
        <v>482</v>
      </c>
      <c r="B143" s="161">
        <v>1192471</v>
      </c>
      <c r="C143" s="250">
        <f>61941+67993+68009+67339+74026+76333+80085+82311+84943+87337+90339</f>
        <v>840656</v>
      </c>
      <c r="D143" s="161">
        <v>717655</v>
      </c>
      <c r="E143" s="292">
        <f t="shared" si="21"/>
        <v>0.6018217633804093</v>
      </c>
      <c r="F143" s="295">
        <f>D143-'[8]Oktobris'!D132</f>
        <v>76035</v>
      </c>
      <c r="G143" s="304" t="s">
        <v>482</v>
      </c>
      <c r="H143" s="307">
        <f>ROUND(B143/1000,0)</f>
        <v>1192</v>
      </c>
      <c r="I143" s="307">
        <f>ROUND(C143/1000,0)</f>
        <v>841</v>
      </c>
      <c r="J143" s="307">
        <f>ROUND(D143/1000,0)</f>
        <v>718</v>
      </c>
      <c r="K143" s="210">
        <f t="shared" si="13"/>
        <v>60.23489932885906</v>
      </c>
      <c r="L143" s="293">
        <f>J143-'[8]Oktobris'!J132</f>
        <v>76</v>
      </c>
      <c r="M143" s="280"/>
    </row>
    <row r="144" spans="1:13" ht="12.75" hidden="1">
      <c r="A144" s="291"/>
      <c r="B144" s="161"/>
      <c r="C144" s="250"/>
      <c r="D144" s="161"/>
      <c r="E144" s="292" t="str">
        <f t="shared" si="21"/>
        <v> </v>
      </c>
      <c r="F144" s="295"/>
      <c r="G144" s="291"/>
      <c r="H144" s="296"/>
      <c r="I144" s="296"/>
      <c r="J144" s="296"/>
      <c r="K144" s="210" t="e">
        <f t="shared" si="13"/>
        <v>#VALUE!</v>
      </c>
      <c r="L144" s="296"/>
      <c r="M144" s="280"/>
    </row>
    <row r="145" spans="1:13" ht="12.75">
      <c r="A145" s="291" t="s">
        <v>435</v>
      </c>
      <c r="B145" s="161">
        <f>SUM(B138-B142)</f>
        <v>-126973</v>
      </c>
      <c r="C145" s="250">
        <f>SUM(C138-C142)</f>
        <v>111058</v>
      </c>
      <c r="D145" s="161">
        <f>SUM(D138-D142)</f>
        <v>226953</v>
      </c>
      <c r="E145" s="292"/>
      <c r="F145" s="295">
        <f>D145-'[8]Oktobris'!D134</f>
        <v>8604</v>
      </c>
      <c r="G145" s="291" t="s">
        <v>435</v>
      </c>
      <c r="H145" s="296">
        <f>SUM(H138-H142)</f>
        <v>-126</v>
      </c>
      <c r="I145" s="296">
        <f>SUM(I138-I142)</f>
        <v>111</v>
      </c>
      <c r="J145" s="296">
        <f>SUM(J138-J142)</f>
        <v>227</v>
      </c>
      <c r="K145" s="210"/>
      <c r="L145" s="293">
        <f>J145-'[8]Oktobris'!J134</f>
        <v>9</v>
      </c>
      <c r="M145" s="280"/>
    </row>
    <row r="146" spans="1:13" ht="12.75">
      <c r="A146" s="291" t="s">
        <v>457</v>
      </c>
      <c r="B146" s="161"/>
      <c r="C146" s="250">
        <f>-107505-6728-1837-582+5594</f>
        <v>-111058</v>
      </c>
      <c r="D146" s="161"/>
      <c r="E146" s="292"/>
      <c r="F146" s="295">
        <f>D146-'[8]Oktobris'!D135</f>
        <v>0</v>
      </c>
      <c r="G146" s="291" t="s">
        <v>457</v>
      </c>
      <c r="H146" s="293">
        <f>ROUND(B146/1000,0)</f>
        <v>0</v>
      </c>
      <c r="I146" s="293">
        <f>ROUND(C146/1000,0)</f>
        <v>-111</v>
      </c>
      <c r="J146" s="293">
        <f>ROUND(D146/1000,0)</f>
        <v>0</v>
      </c>
      <c r="K146" s="210"/>
      <c r="L146" s="293">
        <f>J146-'[8]Oktobris'!J135</f>
        <v>0</v>
      </c>
      <c r="M146" s="280"/>
    </row>
    <row r="147" spans="1:13" ht="25.5">
      <c r="A147" s="140" t="s">
        <v>485</v>
      </c>
      <c r="B147" s="161"/>
      <c r="C147" s="250"/>
      <c r="D147" s="161"/>
      <c r="E147" s="292" t="str">
        <f t="shared" si="21"/>
        <v> </v>
      </c>
      <c r="F147" s="295"/>
      <c r="G147" s="140" t="s">
        <v>485</v>
      </c>
      <c r="H147" s="296"/>
      <c r="I147" s="296"/>
      <c r="J147" s="296"/>
      <c r="K147" s="210"/>
      <c r="L147" s="296"/>
      <c r="M147" s="280"/>
    </row>
    <row r="148" spans="1:13" ht="12.75">
      <c r="A148" s="291" t="s">
        <v>439</v>
      </c>
      <c r="B148" s="161">
        <f>SUM(B149:B151)</f>
        <v>85679116</v>
      </c>
      <c r="C148" s="250">
        <f>6427352+6350601+6836308+6967384+6876872+7076480+7846409+7144208+6960684+7053162+6795386</f>
        <v>76334846</v>
      </c>
      <c r="D148" s="161">
        <f>SUM(D149:D151)</f>
        <v>76016637</v>
      </c>
      <c r="E148" s="292">
        <f t="shared" si="21"/>
        <v>0.8872248051672241</v>
      </c>
      <c r="F148" s="295">
        <f>SUM(F149:F151)</f>
        <v>7068288</v>
      </c>
      <c r="G148" s="291" t="s">
        <v>439</v>
      </c>
      <c r="H148" s="296">
        <f>SUM(H149:H151)</f>
        <v>85679</v>
      </c>
      <c r="I148" s="293">
        <f>ROUND(C148/1000,0)</f>
        <v>76335</v>
      </c>
      <c r="J148" s="296">
        <f>SUM(J149:J151)</f>
        <v>76017</v>
      </c>
      <c r="K148" s="210">
        <f t="shared" si="13"/>
        <v>88.72302431167498</v>
      </c>
      <c r="L148" s="296">
        <f>SUM(L149:L151)</f>
        <v>7070</v>
      </c>
      <c r="M148" s="280"/>
    </row>
    <row r="149" spans="1:13" ht="12" customHeight="1">
      <c r="A149" s="304" t="s">
        <v>476</v>
      </c>
      <c r="B149" s="305">
        <v>85195091</v>
      </c>
      <c r="C149" s="250"/>
      <c r="D149" s="305">
        <v>75530062</v>
      </c>
      <c r="E149" s="292">
        <f t="shared" si="21"/>
        <v>0.8865541560369952</v>
      </c>
      <c r="F149" s="295">
        <f>D149-'[8]Oktobris'!D138</f>
        <v>7040851</v>
      </c>
      <c r="G149" s="304" t="s">
        <v>476</v>
      </c>
      <c r="H149" s="307">
        <f>ROUND(B149/1000,0)</f>
        <v>85195</v>
      </c>
      <c r="I149" s="307">
        <f>ROUND(C149/1000,0)</f>
        <v>0</v>
      </c>
      <c r="J149" s="307">
        <f>ROUND(D149/1000,0)</f>
        <v>75530</v>
      </c>
      <c r="K149" s="210">
        <f t="shared" si="13"/>
        <v>88.65543752567639</v>
      </c>
      <c r="L149" s="293">
        <f>J149-'[8]Oktobris'!J138+1</f>
        <v>7042</v>
      </c>
      <c r="M149" s="280"/>
    </row>
    <row r="150" spans="1:13" ht="12.75" hidden="1">
      <c r="A150" s="304"/>
      <c r="B150" s="305"/>
      <c r="C150" s="250"/>
      <c r="D150" s="305"/>
      <c r="E150" s="292" t="str">
        <f t="shared" si="21"/>
        <v> </v>
      </c>
      <c r="F150" s="309"/>
      <c r="G150" s="304"/>
      <c r="H150" s="312"/>
      <c r="I150" s="312"/>
      <c r="J150" s="312"/>
      <c r="K150" s="210" t="e">
        <f aca="true" t="shared" si="22" ref="K150:K195">IF(ISERROR(ROUND(J150,0)/ROUND(H150,0))," ",(ROUND(J150,)/ROUND(H150,)))*100</f>
        <v>#VALUE!</v>
      </c>
      <c r="L150" s="312"/>
      <c r="M150" s="280"/>
    </row>
    <row r="151" spans="1:13" ht="12.75">
      <c r="A151" s="304" t="s">
        <v>478</v>
      </c>
      <c r="B151" s="305">
        <v>484025</v>
      </c>
      <c r="C151" s="250"/>
      <c r="D151" s="305">
        <v>486575</v>
      </c>
      <c r="E151" s="292">
        <f t="shared" si="21"/>
        <v>1.0052683229172046</v>
      </c>
      <c r="F151" s="295">
        <f>D151-'[8]Oktobris'!D140</f>
        <v>27437</v>
      </c>
      <c r="G151" s="304" t="s">
        <v>478</v>
      </c>
      <c r="H151" s="307">
        <f>ROUND(B151/1000,0)</f>
        <v>484</v>
      </c>
      <c r="I151" s="307">
        <f>ROUND(C151/1000,0)</f>
        <v>0</v>
      </c>
      <c r="J151" s="307">
        <f>ROUND(D151/1000,0)</f>
        <v>487</v>
      </c>
      <c r="K151" s="210">
        <f t="shared" si="22"/>
        <v>100.6198347107438</v>
      </c>
      <c r="L151" s="293">
        <f>J151-'[8]Oktobris'!J140</f>
        <v>28</v>
      </c>
      <c r="M151" s="280"/>
    </row>
    <row r="152" spans="1:13" ht="12.75">
      <c r="A152" s="291" t="s">
        <v>441</v>
      </c>
      <c r="B152" s="305">
        <f>B153</f>
        <v>89994616</v>
      </c>
      <c r="C152" s="250">
        <f>SUM(C153)</f>
        <v>89713875</v>
      </c>
      <c r="D152" s="305">
        <f>D153</f>
        <v>82761246</v>
      </c>
      <c r="E152" s="292">
        <f t="shared" si="21"/>
        <v>0.9196244139760539</v>
      </c>
      <c r="F152" s="309">
        <f>F153</f>
        <v>10645970</v>
      </c>
      <c r="G152" s="291" t="s">
        <v>441</v>
      </c>
      <c r="H152" s="296">
        <f>H153</f>
        <v>89995</v>
      </c>
      <c r="I152" s="296">
        <f>I153</f>
        <v>89714</v>
      </c>
      <c r="J152" s="296">
        <f>J153</f>
        <v>82761</v>
      </c>
      <c r="K152" s="210">
        <f t="shared" si="22"/>
        <v>91.96177565420301</v>
      </c>
      <c r="L152" s="296">
        <f>L153</f>
        <v>10646</v>
      </c>
      <c r="M152" s="280"/>
    </row>
    <row r="153" spans="1:13" ht="12.75">
      <c r="A153" s="291" t="s">
        <v>482</v>
      </c>
      <c r="B153" s="161">
        <v>89994616</v>
      </c>
      <c r="C153" s="250">
        <f>9147308+9128241+9221377+7554069+8507155+7728539+6685047+7986714+7161688+8020724+8573013</f>
        <v>89713875</v>
      </c>
      <c r="D153" s="161">
        <v>82761246</v>
      </c>
      <c r="E153" s="292">
        <f t="shared" si="21"/>
        <v>0.9196244139760539</v>
      </c>
      <c r="F153" s="295">
        <f>D153-'[8]Oktobris'!D142</f>
        <v>10645970</v>
      </c>
      <c r="G153" s="304" t="s">
        <v>482</v>
      </c>
      <c r="H153" s="307">
        <f>ROUND(B153/1000,0)</f>
        <v>89995</v>
      </c>
      <c r="I153" s="307">
        <f>ROUND(C153/1000,0)</f>
        <v>89714</v>
      </c>
      <c r="J153" s="307">
        <f>ROUND(D153/1000,0)</f>
        <v>82761</v>
      </c>
      <c r="K153" s="210">
        <f t="shared" si="22"/>
        <v>91.96177565420301</v>
      </c>
      <c r="L153" s="293">
        <f>J153-'[8]Oktobris'!J142</f>
        <v>10646</v>
      </c>
      <c r="M153" s="280"/>
    </row>
    <row r="154" spans="1:13" ht="12.75">
      <c r="A154" s="291" t="s">
        <v>435</v>
      </c>
      <c r="B154" s="161">
        <f>SUM(B148-B152)</f>
        <v>-4315500</v>
      </c>
      <c r="C154" s="250">
        <f>SUM(C148-C152)</f>
        <v>-13379029</v>
      </c>
      <c r="D154" s="161">
        <f>SUM(D148-D152)</f>
        <v>-6744609</v>
      </c>
      <c r="E154" s="292">
        <f t="shared" si="21"/>
        <v>1.5628800834202294</v>
      </c>
      <c r="F154" s="295">
        <f>D154-'[8]Oktobris'!D143</f>
        <v>-3577682</v>
      </c>
      <c r="G154" s="291" t="s">
        <v>435</v>
      </c>
      <c r="H154" s="296">
        <f>SUM(H148-H152)</f>
        <v>-4316</v>
      </c>
      <c r="I154" s="296">
        <f>SUM(I148-I152)</f>
        <v>-13379</v>
      </c>
      <c r="J154" s="296">
        <f>SUM(J148-J152)</f>
        <v>-6744</v>
      </c>
      <c r="K154" s="210">
        <f t="shared" si="22"/>
        <v>156.2557924003707</v>
      </c>
      <c r="L154" s="293">
        <f>J154-'[8]Oktobris'!J143</f>
        <v>-3577</v>
      </c>
      <c r="M154" s="280"/>
    </row>
    <row r="155" spans="1:13" ht="12.75">
      <c r="A155" s="291" t="s">
        <v>457</v>
      </c>
      <c r="B155" s="161">
        <v>4315500</v>
      </c>
      <c r="C155" s="250">
        <f>9590330+842506+201004+967562+1777627</f>
        <v>13379029</v>
      </c>
      <c r="D155" s="161">
        <v>6744742</v>
      </c>
      <c r="E155" s="292">
        <f t="shared" si="21"/>
        <v>1.5629109025605377</v>
      </c>
      <c r="F155" s="295">
        <f>D155-'[8]Oktobris'!D144</f>
        <v>3577495</v>
      </c>
      <c r="G155" s="291" t="s">
        <v>457</v>
      </c>
      <c r="H155" s="293">
        <f>ROUND(B155/1000,0)-1</f>
        <v>4315</v>
      </c>
      <c r="I155" s="293">
        <f>ROUND(C155/1000,0)</f>
        <v>13379</v>
      </c>
      <c r="J155" s="293">
        <f>ROUND(D155/1000,0)</f>
        <v>6745</v>
      </c>
      <c r="K155" s="210">
        <f t="shared" si="22"/>
        <v>156.3151796060255</v>
      </c>
      <c r="L155" s="293">
        <f>J155-'[8]Oktobris'!J144+1</f>
        <v>3579</v>
      </c>
      <c r="M155" s="280"/>
    </row>
    <row r="156" spans="1:13" ht="12.75">
      <c r="A156" s="142" t="s">
        <v>486</v>
      </c>
      <c r="B156" s="161"/>
      <c r="C156" s="250"/>
      <c r="D156" s="161"/>
      <c r="E156" s="292" t="str">
        <f t="shared" si="21"/>
        <v> </v>
      </c>
      <c r="F156" s="295"/>
      <c r="G156" s="142" t="s">
        <v>486</v>
      </c>
      <c r="H156" s="296"/>
      <c r="I156" s="296"/>
      <c r="J156" s="296"/>
      <c r="K156" s="210"/>
      <c r="L156" s="296"/>
      <c r="M156" s="280"/>
    </row>
    <row r="157" spans="1:13" ht="12.75">
      <c r="A157" s="291" t="s">
        <v>439</v>
      </c>
      <c r="B157" s="161">
        <f>SUM(B158:B159)</f>
        <v>9975184</v>
      </c>
      <c r="C157" s="250">
        <f>859370+904266+875156+899817+945726+816794+855817+757217+785857+759817+920515</f>
        <v>9380352</v>
      </c>
      <c r="D157" s="161">
        <f>SUM(D158:D159)</f>
        <v>9380352</v>
      </c>
      <c r="E157" s="292">
        <f t="shared" si="21"/>
        <v>0.9403688192618803</v>
      </c>
      <c r="F157" s="295">
        <f>SUM(F158:F159)</f>
        <v>1268441</v>
      </c>
      <c r="G157" s="291" t="s">
        <v>439</v>
      </c>
      <c r="H157" s="296">
        <f>SUM(H158:H159)</f>
        <v>9975</v>
      </c>
      <c r="I157" s="293">
        <f aca="true" t="shared" si="23" ref="H157:J159">ROUND(C157/1000,0)</f>
        <v>9380</v>
      </c>
      <c r="J157" s="296">
        <f>SUM(J158:J159)</f>
        <v>9380</v>
      </c>
      <c r="K157" s="210">
        <f t="shared" si="22"/>
        <v>94.03508771929825</v>
      </c>
      <c r="L157" s="293">
        <f>SUM(L158:L159)</f>
        <v>1268</v>
      </c>
      <c r="M157" s="280"/>
    </row>
    <row r="158" spans="1:13" ht="12.75">
      <c r="A158" s="304" t="s">
        <v>477</v>
      </c>
      <c r="B158" s="305">
        <f>280000+1890000</f>
        <v>2170000</v>
      </c>
      <c r="C158" s="306"/>
      <c r="D158" s="305">
        <v>1986481</v>
      </c>
      <c r="E158" s="292">
        <f t="shared" si="21"/>
        <v>0.9154290322580645</v>
      </c>
      <c r="F158" s="295">
        <f>D158-'[8]Oktobris'!D147</f>
        <v>160650</v>
      </c>
      <c r="G158" s="304" t="s">
        <v>477</v>
      </c>
      <c r="H158" s="307">
        <f t="shared" si="23"/>
        <v>2170</v>
      </c>
      <c r="I158" s="307">
        <f t="shared" si="23"/>
        <v>0</v>
      </c>
      <c r="J158" s="307">
        <f>ROUND(D158/1000,0)</f>
        <v>1986</v>
      </c>
      <c r="K158" s="210">
        <f t="shared" si="22"/>
        <v>91.52073732718894</v>
      </c>
      <c r="L158" s="293">
        <f>J158-'[8]Oktobris'!J147</f>
        <v>160</v>
      </c>
      <c r="M158" s="280"/>
    </row>
    <row r="159" spans="1:13" ht="12.75">
      <c r="A159" s="304" t="s">
        <v>478</v>
      </c>
      <c r="B159" s="305">
        <f>9975184-2170000</f>
        <v>7805184</v>
      </c>
      <c r="C159" s="306"/>
      <c r="D159" s="305">
        <f>-D158+9380352</f>
        <v>7393871</v>
      </c>
      <c r="E159" s="292">
        <f t="shared" si="21"/>
        <v>0.9473025876135656</v>
      </c>
      <c r="F159" s="295">
        <f>D159-'[8]Oktobris'!D148</f>
        <v>1107791</v>
      </c>
      <c r="G159" s="304" t="s">
        <v>478</v>
      </c>
      <c r="H159" s="307">
        <f t="shared" si="23"/>
        <v>7805</v>
      </c>
      <c r="I159" s="307">
        <f t="shared" si="23"/>
        <v>0</v>
      </c>
      <c r="J159" s="307">
        <f t="shared" si="23"/>
        <v>7394</v>
      </c>
      <c r="K159" s="210">
        <f t="shared" si="22"/>
        <v>94.73414477898783</v>
      </c>
      <c r="L159" s="293">
        <f>J159-'[8]Oktobris'!J148</f>
        <v>1108</v>
      </c>
      <c r="M159" s="280"/>
    </row>
    <row r="160" spans="1:13" ht="12.75">
      <c r="A160" s="291" t="s">
        <v>441</v>
      </c>
      <c r="B160" s="161">
        <f>SUM(B161:B162)</f>
        <v>11958992</v>
      </c>
      <c r="C160" s="250">
        <f>SUM(C161:C162)</f>
        <v>13101352</v>
      </c>
      <c r="D160" s="161">
        <f>SUM(D161:D162)</f>
        <v>9965292</v>
      </c>
      <c r="E160" s="292">
        <f t="shared" si="21"/>
        <v>0.8332886249944811</v>
      </c>
      <c r="F160" s="295">
        <f>SUM(F161:F162)</f>
        <v>1093884</v>
      </c>
      <c r="G160" s="291" t="s">
        <v>441</v>
      </c>
      <c r="H160" s="296">
        <f>SUM(H161:H162)</f>
        <v>11959</v>
      </c>
      <c r="I160" s="296">
        <f>SUM(I161:I162)</f>
        <v>13101</v>
      </c>
      <c r="J160" s="296">
        <f>SUM(J161:J162)</f>
        <v>9966</v>
      </c>
      <c r="K160" s="210">
        <f t="shared" si="22"/>
        <v>83.33472698386153</v>
      </c>
      <c r="L160" s="296">
        <f>SUM(L161:L162)</f>
        <v>1094</v>
      </c>
      <c r="M160" s="280"/>
    </row>
    <row r="161" spans="1:13" ht="12.75">
      <c r="A161" s="114" t="s">
        <v>482</v>
      </c>
      <c r="B161" s="161">
        <v>9407735</v>
      </c>
      <c r="C161" s="250">
        <f>826870+874266+850156+807317+905726+796794+835817+737217+785857+759817+920515</f>
        <v>9100352</v>
      </c>
      <c r="D161" s="161">
        <v>8498698</v>
      </c>
      <c r="E161" s="292">
        <f t="shared" si="21"/>
        <v>0.9033734474876258</v>
      </c>
      <c r="F161" s="295">
        <f>D161-'[8]Oktobris'!D150</f>
        <v>898981</v>
      </c>
      <c r="G161" s="313" t="s">
        <v>482</v>
      </c>
      <c r="H161" s="307">
        <f aca="true" t="shared" si="24" ref="H161:J162">ROUND(B161/1000,0)</f>
        <v>9408</v>
      </c>
      <c r="I161" s="307">
        <f t="shared" si="24"/>
        <v>9100</v>
      </c>
      <c r="J161" s="307">
        <f t="shared" si="24"/>
        <v>8499</v>
      </c>
      <c r="K161" s="210">
        <f t="shared" si="22"/>
        <v>90.33801020408163</v>
      </c>
      <c r="L161" s="293">
        <f>J161-'[8]Oktobris'!J150</f>
        <v>899</v>
      </c>
      <c r="M161" s="280"/>
    </row>
    <row r="162" spans="1:13" ht="12.75">
      <c r="A162" s="114" t="s">
        <v>487</v>
      </c>
      <c r="B162" s="161">
        <v>2551257</v>
      </c>
      <c r="C162" s="250">
        <f>162741+426941+417131+681591+253440+536050+180000+291000+608000+189000+255106</f>
        <v>4001000</v>
      </c>
      <c r="D162" s="161">
        <v>1466594</v>
      </c>
      <c r="E162" s="292">
        <f t="shared" si="21"/>
        <v>0.5748515339693335</v>
      </c>
      <c r="F162" s="295">
        <f>D162-'[8]Oktobris'!D151</f>
        <v>194903</v>
      </c>
      <c r="G162" s="313" t="s">
        <v>487</v>
      </c>
      <c r="H162" s="307">
        <f t="shared" si="24"/>
        <v>2551</v>
      </c>
      <c r="I162" s="307">
        <f t="shared" si="24"/>
        <v>4001</v>
      </c>
      <c r="J162" s="307">
        <f t="shared" si="24"/>
        <v>1467</v>
      </c>
      <c r="K162" s="210">
        <f t="shared" si="22"/>
        <v>57.506860054880434</v>
      </c>
      <c r="L162" s="293">
        <f>J162-'[8]Oktobris'!J151</f>
        <v>195</v>
      </c>
      <c r="M162" s="280"/>
    </row>
    <row r="163" spans="1:13" ht="12.75">
      <c r="A163" s="291" t="s">
        <v>435</v>
      </c>
      <c r="B163" s="161">
        <f>SUM(B157-B160)</f>
        <v>-1983808</v>
      </c>
      <c r="C163" s="250">
        <f>SUM(C157-C160)</f>
        <v>-3721000</v>
      </c>
      <c r="D163" s="161">
        <f>SUM(D157-D160)</f>
        <v>-584940</v>
      </c>
      <c r="E163" s="292">
        <f t="shared" si="21"/>
        <v>0.29485716359647707</v>
      </c>
      <c r="F163" s="295">
        <f>D163-'[8]Oktobris'!D152</f>
        <v>174557</v>
      </c>
      <c r="G163" s="291" t="s">
        <v>435</v>
      </c>
      <c r="H163" s="296">
        <f>SUM(H157-H160)</f>
        <v>-1984</v>
      </c>
      <c r="I163" s="296">
        <f>SUM(I157-I160)</f>
        <v>-3721</v>
      </c>
      <c r="J163" s="296">
        <f>SUM(J157-J160)</f>
        <v>-586</v>
      </c>
      <c r="K163" s="210">
        <f t="shared" si="22"/>
        <v>29.536290322580644</v>
      </c>
      <c r="L163" s="293">
        <f>J163-'[8]Oktobris'!J152</f>
        <v>174</v>
      </c>
      <c r="M163" s="280"/>
    </row>
    <row r="164" spans="1:13" ht="12.75">
      <c r="A164" s="291" t="s">
        <v>457</v>
      </c>
      <c r="B164" s="161">
        <v>1850000</v>
      </c>
      <c r="C164" s="250">
        <f>2397894+271000+608000+189000+255106</f>
        <v>3721000</v>
      </c>
      <c r="D164" s="161">
        <f>D223</f>
        <v>1186501</v>
      </c>
      <c r="E164" s="292">
        <f t="shared" si="21"/>
        <v>0.6413518918918919</v>
      </c>
      <c r="F164" s="295">
        <f>D164-'[8]Oktobris'!D153</f>
        <v>155523</v>
      </c>
      <c r="G164" s="291" t="s">
        <v>457</v>
      </c>
      <c r="H164" s="293">
        <f>ROUND(B164/1000,0)</f>
        <v>1850</v>
      </c>
      <c r="I164" s="293">
        <f>ROUND(C164/1000,0)</f>
        <v>3721</v>
      </c>
      <c r="J164" s="293">
        <f>ROUND(D164/1000,0)-1</f>
        <v>1186</v>
      </c>
      <c r="K164" s="210">
        <f t="shared" si="22"/>
        <v>64.10810810810811</v>
      </c>
      <c r="L164" s="293">
        <f>J164-'[8]Oktobris'!J153</f>
        <v>155</v>
      </c>
      <c r="M164" s="280"/>
    </row>
    <row r="165" spans="1:13" ht="25.5">
      <c r="A165" s="121" t="s">
        <v>329</v>
      </c>
      <c r="B165" s="141"/>
      <c r="C165" s="162"/>
      <c r="D165" s="141"/>
      <c r="E165" s="292" t="str">
        <f t="shared" si="21"/>
        <v> </v>
      </c>
      <c r="F165" s="290"/>
      <c r="G165" s="121" t="s">
        <v>329</v>
      </c>
      <c r="H165" s="287"/>
      <c r="I165" s="287"/>
      <c r="J165" s="287"/>
      <c r="K165" s="210"/>
      <c r="L165" s="287"/>
      <c r="M165" s="280"/>
    </row>
    <row r="166" spans="1:13" ht="12.75">
      <c r="A166" s="142" t="s">
        <v>488</v>
      </c>
      <c r="B166" s="161"/>
      <c r="C166" s="250"/>
      <c r="D166" s="161"/>
      <c r="E166" s="292" t="str">
        <f t="shared" si="21"/>
        <v> </v>
      </c>
      <c r="F166" s="295"/>
      <c r="G166" s="142" t="s">
        <v>488</v>
      </c>
      <c r="H166" s="296"/>
      <c r="I166" s="296"/>
      <c r="J166" s="296"/>
      <c r="K166" s="210"/>
      <c r="L166" s="296"/>
      <c r="M166" s="280"/>
    </row>
    <row r="167" spans="1:13" ht="12.75">
      <c r="A167" s="291" t="s">
        <v>439</v>
      </c>
      <c r="B167" s="161">
        <f>SUM(B168:B170)</f>
        <v>8868100</v>
      </c>
      <c r="C167" s="161">
        <v>8178497</v>
      </c>
      <c r="D167" s="161">
        <f>SUM(D168:D170)</f>
        <v>8049131</v>
      </c>
      <c r="E167" s="292">
        <f t="shared" si="21"/>
        <v>0.9076500039467305</v>
      </c>
      <c r="F167" s="295">
        <f>SUM(F168:F170)</f>
        <v>793156</v>
      </c>
      <c r="G167" s="291" t="s">
        <v>439</v>
      </c>
      <c r="H167" s="296">
        <f>SUM(H168:H170)</f>
        <v>8868</v>
      </c>
      <c r="I167" s="293">
        <f>ROUND(C167/1000,0)</f>
        <v>8178</v>
      </c>
      <c r="J167" s="296">
        <f>SUM(J168:J170)</f>
        <v>8049</v>
      </c>
      <c r="K167" s="210">
        <f t="shared" si="22"/>
        <v>90.76454668470907</v>
      </c>
      <c r="L167" s="296">
        <f>SUM(L168:L170)</f>
        <v>793</v>
      </c>
      <c r="M167" s="280"/>
    </row>
    <row r="168" spans="1:13" ht="12.75">
      <c r="A168" s="291" t="s">
        <v>489</v>
      </c>
      <c r="B168" s="161">
        <v>8300000</v>
      </c>
      <c r="C168" s="250"/>
      <c r="D168" s="161">
        <v>7529442</v>
      </c>
      <c r="E168" s="292">
        <f t="shared" si="21"/>
        <v>0.9071616867469879</v>
      </c>
      <c r="F168" s="295">
        <f>D168-'[8]Oktobris'!D157</f>
        <v>753989</v>
      </c>
      <c r="G168" s="291" t="s">
        <v>489</v>
      </c>
      <c r="H168" s="293">
        <f>ROUND(B168/1000,0)</f>
        <v>8300</v>
      </c>
      <c r="I168" s="293">
        <f>ROUND(C168/1000,0)</f>
        <v>0</v>
      </c>
      <c r="J168" s="293">
        <f>ROUND(D168/1000,0)</f>
        <v>7529</v>
      </c>
      <c r="K168" s="210">
        <f t="shared" si="22"/>
        <v>90.71084337349397</v>
      </c>
      <c r="L168" s="293">
        <f>J168-'[8]Oktobris'!J157</f>
        <v>754</v>
      </c>
      <c r="M168" s="280"/>
    </row>
    <row r="169" spans="1:13" ht="12.75">
      <c r="A169" s="291" t="s">
        <v>490</v>
      </c>
      <c r="B169" s="161">
        <v>350000</v>
      </c>
      <c r="C169" s="250"/>
      <c r="D169" s="161">
        <v>409880</v>
      </c>
      <c r="E169" s="292">
        <f t="shared" si="21"/>
        <v>1.1710857142857143</v>
      </c>
      <c r="F169" s="295">
        <f>D169-'[8]Oktobris'!D158</f>
        <v>29371</v>
      </c>
      <c r="G169" s="291" t="s">
        <v>490</v>
      </c>
      <c r="H169" s="293">
        <f>ROUND(B169/1000,0)</f>
        <v>350</v>
      </c>
      <c r="I169" s="293">
        <f>ROUND(C169/1000,0)</f>
        <v>0</v>
      </c>
      <c r="J169" s="293">
        <f>ROUND(D169/1000,0)</f>
        <v>410</v>
      </c>
      <c r="K169" s="210">
        <f t="shared" si="22"/>
        <v>117.14285714285715</v>
      </c>
      <c r="L169" s="293">
        <f>J169-'[8]Oktobris'!J158</f>
        <v>29</v>
      </c>
      <c r="M169" s="280"/>
    </row>
    <row r="170" spans="1:13" ht="12.75">
      <c r="A170" s="303" t="s">
        <v>363</v>
      </c>
      <c r="B170" s="161">
        <f>150000+68100</f>
        <v>218100</v>
      </c>
      <c r="C170" s="250"/>
      <c r="D170" s="161">
        <f>54038+55771</f>
        <v>109809</v>
      </c>
      <c r="E170" s="292">
        <f t="shared" si="21"/>
        <v>0.5034800550206328</v>
      </c>
      <c r="F170" s="295">
        <f>D170-'[8]Oktobris'!D159</f>
        <v>9796</v>
      </c>
      <c r="G170" s="291" t="s">
        <v>363</v>
      </c>
      <c r="H170" s="293">
        <f>ROUND(B170/1000,0)</f>
        <v>218</v>
      </c>
      <c r="I170" s="293">
        <f>ROUND(C170/1000,0)</f>
        <v>0</v>
      </c>
      <c r="J170" s="293">
        <f>ROUND(D170/1000,0)</f>
        <v>110</v>
      </c>
      <c r="K170" s="210">
        <f t="shared" si="22"/>
        <v>50.45871559633027</v>
      </c>
      <c r="L170" s="293">
        <f>J170-'[8]Oktobris'!J159</f>
        <v>10</v>
      </c>
      <c r="M170" s="280"/>
    </row>
    <row r="171" spans="1:13" ht="12.75">
      <c r="A171" s="291" t="s">
        <v>441</v>
      </c>
      <c r="B171" s="161">
        <f>SUM(B172:B173)</f>
        <v>9729059</v>
      </c>
      <c r="C171" s="250">
        <f>SUM(C172:C173)</f>
        <v>8473642</v>
      </c>
      <c r="D171" s="161">
        <f>SUM(D172:D173)</f>
        <v>7044861</v>
      </c>
      <c r="E171" s="292">
        <f t="shared" si="21"/>
        <v>0.7241050753212618</v>
      </c>
      <c r="F171" s="295">
        <f>SUM(F172:F173)</f>
        <v>1677380</v>
      </c>
      <c r="G171" s="291" t="s">
        <v>441</v>
      </c>
      <c r="H171" s="296">
        <f>SUM(H172:H173)</f>
        <v>9729</v>
      </c>
      <c r="I171" s="296">
        <f>SUM(I172:I173)</f>
        <v>8474</v>
      </c>
      <c r="J171" s="296">
        <f>SUM(J172:J173)</f>
        <v>7045</v>
      </c>
      <c r="K171" s="210">
        <f t="shared" si="22"/>
        <v>72.4123753725974</v>
      </c>
      <c r="L171" s="296">
        <f>SUM(L172:L173)</f>
        <v>1678</v>
      </c>
      <c r="M171" s="280"/>
    </row>
    <row r="172" spans="1:13" ht="12.75">
      <c r="A172" s="291" t="s">
        <v>442</v>
      </c>
      <c r="B172" s="161">
        <v>4981059</v>
      </c>
      <c r="C172" s="250">
        <v>4119642</v>
      </c>
      <c r="D172" s="161">
        <f>'[7]Novembris'!$E$8</f>
        <v>3760601</v>
      </c>
      <c r="E172" s="292">
        <f t="shared" si="21"/>
        <v>0.7549802160544575</v>
      </c>
      <c r="F172" s="295">
        <f>D172-'[8]Oktobris'!D161</f>
        <v>917637</v>
      </c>
      <c r="G172" s="291" t="s">
        <v>442</v>
      </c>
      <c r="H172" s="293">
        <f aca="true" t="shared" si="25" ref="H172:J173">ROUND(B172/1000,0)</f>
        <v>4981</v>
      </c>
      <c r="I172" s="293">
        <f t="shared" si="25"/>
        <v>4120</v>
      </c>
      <c r="J172" s="293">
        <f t="shared" si="25"/>
        <v>3761</v>
      </c>
      <c r="K172" s="210">
        <f t="shared" si="22"/>
        <v>75.50692632001606</v>
      </c>
      <c r="L172" s="293">
        <f>J172-'[8]Oktobris'!J161</f>
        <v>918</v>
      </c>
      <c r="M172" s="280"/>
    </row>
    <row r="173" spans="1:13" ht="12.75">
      <c r="A173" s="291" t="s">
        <v>432</v>
      </c>
      <c r="B173" s="161">
        <v>4748000</v>
      </c>
      <c r="C173" s="250">
        <v>4354000</v>
      </c>
      <c r="D173" s="161">
        <f>'[7]Novembris'!$E$30</f>
        <v>3284260</v>
      </c>
      <c r="E173" s="292">
        <f t="shared" si="21"/>
        <v>0.6917144060657119</v>
      </c>
      <c r="F173" s="295">
        <f>D173-'[8]Oktobris'!D162</f>
        <v>759743</v>
      </c>
      <c r="G173" s="291" t="s">
        <v>432</v>
      </c>
      <c r="H173" s="293">
        <f t="shared" si="25"/>
        <v>4748</v>
      </c>
      <c r="I173" s="293">
        <f t="shared" si="25"/>
        <v>4354</v>
      </c>
      <c r="J173" s="293">
        <f t="shared" si="25"/>
        <v>3284</v>
      </c>
      <c r="K173" s="210">
        <f t="shared" si="22"/>
        <v>69.16596461668071</v>
      </c>
      <c r="L173" s="293">
        <f>J173-'[8]Oktobris'!J162</f>
        <v>760</v>
      </c>
      <c r="M173" s="280"/>
    </row>
    <row r="174" spans="1:13" ht="12.75">
      <c r="A174" s="142" t="s">
        <v>491</v>
      </c>
      <c r="B174" s="161"/>
      <c r="C174" s="250"/>
      <c r="D174" s="161"/>
      <c r="E174" s="292" t="str">
        <f t="shared" si="21"/>
        <v> </v>
      </c>
      <c r="F174" s="295"/>
      <c r="G174" s="155" t="s">
        <v>491</v>
      </c>
      <c r="H174" s="296"/>
      <c r="I174" s="296"/>
      <c r="J174" s="296"/>
      <c r="K174" s="210"/>
      <c r="L174" s="293">
        <f>J174-'[8]Oktobris'!J163</f>
        <v>0</v>
      </c>
      <c r="M174" s="280"/>
    </row>
    <row r="175" spans="1:13" ht="12.75">
      <c r="A175" s="291" t="s">
        <v>439</v>
      </c>
      <c r="B175" s="161">
        <v>443709</v>
      </c>
      <c r="C175" s="250">
        <v>443709</v>
      </c>
      <c r="D175" s="161">
        <f>'[7]Novembris'!$F$6</f>
        <v>443709</v>
      </c>
      <c r="E175" s="292">
        <f t="shared" si="21"/>
        <v>1</v>
      </c>
      <c r="F175" s="295">
        <f>D175-'[8]Oktobris'!D164</f>
        <v>0</v>
      </c>
      <c r="G175" s="291" t="s">
        <v>439</v>
      </c>
      <c r="H175" s="293">
        <f>ROUND(B175/1000,0)</f>
        <v>444</v>
      </c>
      <c r="I175" s="293">
        <f>ROUND(C175/1000,0)</f>
        <v>444</v>
      </c>
      <c r="J175" s="293">
        <f>ROUND(D175/1000,0)</f>
        <v>444</v>
      </c>
      <c r="K175" s="210">
        <f t="shared" si="22"/>
        <v>100</v>
      </c>
      <c r="L175" s="293">
        <f>J175-'[8]Oktobris'!J164</f>
        <v>0</v>
      </c>
      <c r="M175" s="280"/>
    </row>
    <row r="176" spans="1:13" ht="12.75">
      <c r="A176" s="291" t="s">
        <v>441</v>
      </c>
      <c r="B176" s="161">
        <f>SUM(B177:B178)</f>
        <v>571046</v>
      </c>
      <c r="C176" s="250">
        <f>SUM(C177:C178)</f>
        <v>571046</v>
      </c>
      <c r="D176" s="161">
        <f>SUM(D177:D178)</f>
        <v>513293</v>
      </c>
      <c r="E176" s="292">
        <f t="shared" si="21"/>
        <v>0.8988645398094024</v>
      </c>
      <c r="F176" s="295">
        <f>D176-'[8]Oktobris'!D165</f>
        <v>207872</v>
      </c>
      <c r="G176" s="291" t="s">
        <v>441</v>
      </c>
      <c r="H176" s="296">
        <f>SUM(H177:H178)</f>
        <v>572</v>
      </c>
      <c r="I176" s="296">
        <f>SUM(I177:I178)</f>
        <v>571</v>
      </c>
      <c r="J176" s="296">
        <f>SUM(J177:J178)</f>
        <v>514</v>
      </c>
      <c r="K176" s="210">
        <f t="shared" si="22"/>
        <v>89.86013986013987</v>
      </c>
      <c r="L176" s="293">
        <f>J176-'[8]Oktobris'!J165</f>
        <v>209</v>
      </c>
      <c r="M176" s="280"/>
    </row>
    <row r="177" spans="1:13" ht="12.75">
      <c r="A177" s="291" t="s">
        <v>442</v>
      </c>
      <c r="B177" s="161">
        <v>132544</v>
      </c>
      <c r="C177" s="250">
        <v>132544</v>
      </c>
      <c r="D177" s="161">
        <f>'[7]Novembris'!$F$8</f>
        <v>74791</v>
      </c>
      <c r="E177" s="292">
        <f t="shared" si="21"/>
        <v>0.5642729961371318</v>
      </c>
      <c r="F177" s="295">
        <f>D177-'[8]Oktobris'!D166</f>
        <v>14814</v>
      </c>
      <c r="G177" s="291" t="s">
        <v>442</v>
      </c>
      <c r="H177" s="293">
        <f aca="true" t="shared" si="26" ref="H177:J178">ROUND(B177/1000,0)</f>
        <v>133</v>
      </c>
      <c r="I177" s="293">
        <f>ROUND(C177/1000,0)-1</f>
        <v>132</v>
      </c>
      <c r="J177" s="293">
        <f t="shared" si="26"/>
        <v>75</v>
      </c>
      <c r="K177" s="210">
        <f t="shared" si="22"/>
        <v>56.390977443609025</v>
      </c>
      <c r="L177" s="293">
        <f>J177-'[8]Oktobris'!J166</f>
        <v>15</v>
      </c>
      <c r="M177" s="280"/>
    </row>
    <row r="178" spans="1:13" ht="17.25" customHeight="1">
      <c r="A178" s="291" t="s">
        <v>432</v>
      </c>
      <c r="B178" s="161">
        <v>438502</v>
      </c>
      <c r="C178" s="250">
        <v>438502</v>
      </c>
      <c r="D178" s="161">
        <f>'[7]Novembris'!$F$30</f>
        <v>438502</v>
      </c>
      <c r="E178" s="292">
        <f t="shared" si="21"/>
        <v>1</v>
      </c>
      <c r="F178" s="295">
        <f>D178-'[8]Oktobris'!D167</f>
        <v>193058</v>
      </c>
      <c r="G178" s="291" t="s">
        <v>432</v>
      </c>
      <c r="H178" s="293">
        <f t="shared" si="26"/>
        <v>439</v>
      </c>
      <c r="I178" s="293">
        <f>ROUND(C178/1000,0)</f>
        <v>439</v>
      </c>
      <c r="J178" s="293">
        <f>ROUND(D178/1000,0)</f>
        <v>439</v>
      </c>
      <c r="K178" s="210">
        <f t="shared" si="22"/>
        <v>100</v>
      </c>
      <c r="L178" s="293">
        <f>J178-'[8]Oktobris'!J167</f>
        <v>194</v>
      </c>
      <c r="M178" s="280"/>
    </row>
    <row r="179" spans="1:13" ht="17.25" customHeight="1">
      <c r="A179" s="85" t="s">
        <v>330</v>
      </c>
      <c r="B179" s="141"/>
      <c r="C179" s="250"/>
      <c r="D179" s="141"/>
      <c r="E179" s="292" t="str">
        <f t="shared" si="21"/>
        <v> </v>
      </c>
      <c r="F179" s="290"/>
      <c r="G179" s="85" t="s">
        <v>330</v>
      </c>
      <c r="H179" s="287"/>
      <c r="I179" s="287"/>
      <c r="J179" s="287"/>
      <c r="K179" s="210"/>
      <c r="L179" s="287"/>
      <c r="M179" s="280"/>
    </row>
    <row r="180" spans="1:13" ht="12.75">
      <c r="A180" s="142" t="s">
        <v>492</v>
      </c>
      <c r="B180" s="161"/>
      <c r="C180" s="250"/>
      <c r="D180" s="161"/>
      <c r="E180" s="292" t="str">
        <f t="shared" si="21"/>
        <v> </v>
      </c>
      <c r="F180" s="295"/>
      <c r="G180" s="142" t="s">
        <v>492</v>
      </c>
      <c r="H180" s="296"/>
      <c r="I180" s="296"/>
      <c r="J180" s="296"/>
      <c r="K180" s="210"/>
      <c r="L180" s="296"/>
      <c r="M180" s="280"/>
    </row>
    <row r="181" spans="1:13" ht="12.75">
      <c r="A181" s="291" t="s">
        <v>439</v>
      </c>
      <c r="B181" s="161">
        <f>SUM(B182:B184)</f>
        <v>1979100</v>
      </c>
      <c r="C181" s="250">
        <v>1976100</v>
      </c>
      <c r="D181" s="250">
        <f>SUM(D182:D184)</f>
        <v>1881048</v>
      </c>
      <c r="E181" s="292">
        <f>IF(ISERROR(D181/B181)," ",(D181/B181))</f>
        <v>0.9504562680006063</v>
      </c>
      <c r="F181" s="295">
        <f>SUM(F182:F184)</f>
        <v>263161</v>
      </c>
      <c r="G181" s="291" t="s">
        <v>439</v>
      </c>
      <c r="H181" s="296">
        <f>SUM(H182:H184)</f>
        <v>1979</v>
      </c>
      <c r="I181" s="296">
        <f>ROUND(C181/1000,0)</f>
        <v>1976</v>
      </c>
      <c r="J181" s="296">
        <f>SUM(J182:J184)</f>
        <v>1881</v>
      </c>
      <c r="K181" s="210">
        <f t="shared" si="22"/>
        <v>95.04800404244568</v>
      </c>
      <c r="L181" s="296">
        <f>SUM(L182:L184)</f>
        <v>263</v>
      </c>
      <c r="M181" s="280"/>
    </row>
    <row r="182" spans="1:13" ht="29.25" customHeight="1">
      <c r="A182" s="114" t="s">
        <v>493</v>
      </c>
      <c r="B182" s="161">
        <v>1410000</v>
      </c>
      <c r="C182" s="250"/>
      <c r="D182" s="161">
        <v>1168906</v>
      </c>
      <c r="E182" s="292">
        <f t="shared" si="21"/>
        <v>0.8290113475177305</v>
      </c>
      <c r="F182" s="295">
        <f>D182-'[8]Oktobris'!D171</f>
        <v>117159</v>
      </c>
      <c r="G182" s="114" t="s">
        <v>493</v>
      </c>
      <c r="H182" s="293">
        <f aca="true" t="shared" si="27" ref="H182:J184">ROUND(B182/1000,0)</f>
        <v>1410</v>
      </c>
      <c r="I182" s="293">
        <f t="shared" si="27"/>
        <v>0</v>
      </c>
      <c r="J182" s="293">
        <f t="shared" si="27"/>
        <v>1169</v>
      </c>
      <c r="K182" s="210">
        <f t="shared" si="22"/>
        <v>82.90780141843972</v>
      </c>
      <c r="L182" s="293">
        <f>J182-'[8]Oktobris'!J171</f>
        <v>117</v>
      </c>
      <c r="M182" s="280"/>
    </row>
    <row r="183" spans="1:13" ht="27.75" customHeight="1">
      <c r="A183" s="114" t="s">
        <v>494</v>
      </c>
      <c r="B183" s="161">
        <v>569100</v>
      </c>
      <c r="C183" s="250"/>
      <c r="D183" s="161">
        <v>508142</v>
      </c>
      <c r="E183" s="292">
        <f>IF(ISERROR(D183/B183)," ",(D183/B183))</f>
        <v>0.8928870145844315</v>
      </c>
      <c r="F183" s="295">
        <f>D183-'[8]Oktobris'!D172</f>
        <v>42002</v>
      </c>
      <c r="G183" s="114" t="s">
        <v>494</v>
      </c>
      <c r="H183" s="293">
        <f t="shared" si="27"/>
        <v>569</v>
      </c>
      <c r="I183" s="293">
        <f t="shared" si="27"/>
        <v>0</v>
      </c>
      <c r="J183" s="293">
        <f t="shared" si="27"/>
        <v>508</v>
      </c>
      <c r="K183" s="210">
        <f t="shared" si="22"/>
        <v>89.27943760984182</v>
      </c>
      <c r="L183" s="293">
        <f>J183-'[8]Oktobris'!J172</f>
        <v>42</v>
      </c>
      <c r="M183" s="280"/>
    </row>
    <row r="184" spans="1:13" ht="12.75">
      <c r="A184" s="291" t="s">
        <v>474</v>
      </c>
      <c r="B184" s="161"/>
      <c r="C184" s="250"/>
      <c r="D184" s="161">
        <v>204000</v>
      </c>
      <c r="E184" s="314" t="str">
        <f>IF(ISERROR(D184/B184)," ",(D184/B184))</f>
        <v> </v>
      </c>
      <c r="F184" s="295">
        <f>D184-'[8]Oktobris'!D173</f>
        <v>104000</v>
      </c>
      <c r="G184" s="291" t="s">
        <v>474</v>
      </c>
      <c r="H184" s="293">
        <f t="shared" si="27"/>
        <v>0</v>
      </c>
      <c r="I184" s="293">
        <f t="shared" si="27"/>
        <v>0</v>
      </c>
      <c r="J184" s="293">
        <f t="shared" si="27"/>
        <v>204</v>
      </c>
      <c r="K184" s="210"/>
      <c r="L184" s="293">
        <f>J184-'[8]Oktobris'!J173</f>
        <v>104</v>
      </c>
      <c r="M184" s="280"/>
    </row>
    <row r="185" spans="1:13" ht="12.75">
      <c r="A185" s="291" t="s">
        <v>441</v>
      </c>
      <c r="B185" s="161">
        <f>B186</f>
        <v>2487109</v>
      </c>
      <c r="C185" s="250">
        <f>SUM(C186)</f>
        <v>2193000</v>
      </c>
      <c r="D185" s="161">
        <f>D186</f>
        <v>2049780</v>
      </c>
      <c r="E185" s="292">
        <f t="shared" si="21"/>
        <v>0.8241617074281827</v>
      </c>
      <c r="F185" s="295">
        <f>F186</f>
        <v>259780</v>
      </c>
      <c r="G185" s="291" t="s">
        <v>441</v>
      </c>
      <c r="H185" s="296">
        <f>H186</f>
        <v>2487</v>
      </c>
      <c r="I185" s="296">
        <f>I186</f>
        <v>2193</v>
      </c>
      <c r="J185" s="296">
        <f>J186</f>
        <v>2050</v>
      </c>
      <c r="K185" s="210">
        <f t="shared" si="22"/>
        <v>82.42862887012464</v>
      </c>
      <c r="L185" s="296">
        <f>L186</f>
        <v>260</v>
      </c>
      <c r="M185" s="280"/>
    </row>
    <row r="186" spans="1:13" ht="12.75">
      <c r="A186" s="291" t="s">
        <v>442</v>
      </c>
      <c r="B186" s="161">
        <v>2487109</v>
      </c>
      <c r="C186" s="250">
        <v>2193000</v>
      </c>
      <c r="D186" s="161">
        <f>'[7]Novembris'!$R$8</f>
        <v>2049780</v>
      </c>
      <c r="E186" s="292">
        <f t="shared" si="21"/>
        <v>0.8241617074281827</v>
      </c>
      <c r="F186" s="295">
        <f>D186-'[8]Oktobris'!D175</f>
        <v>259780</v>
      </c>
      <c r="G186" s="291" t="s">
        <v>442</v>
      </c>
      <c r="H186" s="293">
        <f>ROUND(B186/1000,0)</f>
        <v>2487</v>
      </c>
      <c r="I186" s="293">
        <f>ROUND(C186/1000,0)</f>
        <v>2193</v>
      </c>
      <c r="J186" s="293">
        <f>ROUND(D186/1000,0)</f>
        <v>2050</v>
      </c>
      <c r="K186" s="210">
        <f t="shared" si="22"/>
        <v>82.42862887012464</v>
      </c>
      <c r="L186" s="293">
        <f>J186-'[8]Oktobris'!J175</f>
        <v>260</v>
      </c>
      <c r="M186" s="280"/>
    </row>
    <row r="187" spans="1:13" ht="38.25">
      <c r="A187" s="121" t="s">
        <v>495</v>
      </c>
      <c r="B187" s="161"/>
      <c r="C187" s="250"/>
      <c r="D187" s="161"/>
      <c r="E187" s="292" t="str">
        <f t="shared" si="21"/>
        <v> </v>
      </c>
      <c r="F187" s="315"/>
      <c r="G187" s="121" t="s">
        <v>495</v>
      </c>
      <c r="H187" s="296"/>
      <c r="I187" s="296"/>
      <c r="J187" s="296"/>
      <c r="K187" s="210"/>
      <c r="L187" s="296"/>
      <c r="M187" s="280"/>
    </row>
    <row r="188" spans="1:13" ht="12.75">
      <c r="A188" s="303" t="s">
        <v>439</v>
      </c>
      <c r="B188" s="161">
        <f>B189</f>
        <v>144073</v>
      </c>
      <c r="C188" s="250">
        <v>132066</v>
      </c>
      <c r="D188" s="161">
        <f>D189</f>
        <v>73841</v>
      </c>
      <c r="E188" s="292">
        <f t="shared" si="21"/>
        <v>0.5125249005712382</v>
      </c>
      <c r="F188" s="315">
        <f>F189</f>
        <v>980</v>
      </c>
      <c r="G188" s="291" t="s">
        <v>439</v>
      </c>
      <c r="H188" s="296">
        <f>H189</f>
        <v>144</v>
      </c>
      <c r="I188" s="293">
        <f>ROUND(C188/1000,0)</f>
        <v>132</v>
      </c>
      <c r="J188" s="296">
        <f>J189</f>
        <v>74</v>
      </c>
      <c r="K188" s="210">
        <f t="shared" si="22"/>
        <v>51.388888888888886</v>
      </c>
      <c r="L188" s="296">
        <f>L189</f>
        <v>1</v>
      </c>
      <c r="M188" s="280"/>
    </row>
    <row r="189" spans="1:13" ht="25.5">
      <c r="A189" s="114" t="s">
        <v>496</v>
      </c>
      <c r="B189" s="161">
        <v>144073</v>
      </c>
      <c r="C189" s="250"/>
      <c r="D189" s="161">
        <v>73841</v>
      </c>
      <c r="E189" s="292">
        <f t="shared" si="21"/>
        <v>0.5125249005712382</v>
      </c>
      <c r="F189" s="295">
        <f>D189-'[8]Oktobris'!D178</f>
        <v>980</v>
      </c>
      <c r="G189" s="114" t="s">
        <v>496</v>
      </c>
      <c r="H189" s="293">
        <f>ROUND(B189/1000,0)</f>
        <v>144</v>
      </c>
      <c r="I189" s="293">
        <f>ROUND(C189/1000,0)</f>
        <v>0</v>
      </c>
      <c r="J189" s="293">
        <f>ROUND(D189/1000,0)</f>
        <v>74</v>
      </c>
      <c r="K189" s="210">
        <f t="shared" si="22"/>
        <v>51.388888888888886</v>
      </c>
      <c r="L189" s="293">
        <f>J189-'[8]Oktobris'!J178</f>
        <v>1</v>
      </c>
      <c r="M189" s="280"/>
    </row>
    <row r="190" spans="1:13" ht="12.75">
      <c r="A190" s="291" t="s">
        <v>441</v>
      </c>
      <c r="B190" s="161">
        <f>SUM(B191+B193)</f>
        <v>194829</v>
      </c>
      <c r="C190" s="250">
        <f>SUM(C191:C193)</f>
        <v>182339</v>
      </c>
      <c r="D190" s="161">
        <f>SUM(D191+D193)</f>
        <v>174597</v>
      </c>
      <c r="E190" s="292">
        <f t="shared" si="21"/>
        <v>0.8961550898480206</v>
      </c>
      <c r="F190" s="295">
        <f>SUM(F191:F193)</f>
        <v>26987</v>
      </c>
      <c r="G190" s="291" t="s">
        <v>441</v>
      </c>
      <c r="H190" s="296">
        <f>SUM(H191+H193)</f>
        <v>195</v>
      </c>
      <c r="I190" s="296">
        <f>SUM(I191:I193)</f>
        <v>183</v>
      </c>
      <c r="J190" s="296">
        <f>SUM(J191+J193)</f>
        <v>175</v>
      </c>
      <c r="K190" s="210">
        <f t="shared" si="22"/>
        <v>89.74358974358975</v>
      </c>
      <c r="L190" s="296">
        <f>SUM(L191+L193)</f>
        <v>21</v>
      </c>
      <c r="M190" s="280"/>
    </row>
    <row r="191" spans="1:13" ht="12.75">
      <c r="A191" s="291" t="s">
        <v>442</v>
      </c>
      <c r="B191" s="161">
        <v>186305</v>
      </c>
      <c r="C191" s="250">
        <v>173815</v>
      </c>
      <c r="D191" s="161">
        <f>'[7]Novembris'!$Q$8</f>
        <v>164943</v>
      </c>
      <c r="E191" s="292">
        <f t="shared" si="21"/>
        <v>0.8853385577413382</v>
      </c>
      <c r="F191" s="295">
        <f>D191-'[8]Oktobris'!D180</f>
        <v>21146</v>
      </c>
      <c r="G191" s="291" t="s">
        <v>442</v>
      </c>
      <c r="H191" s="293">
        <f aca="true" t="shared" si="28" ref="H191:J193">ROUND(B191/1000,0)</f>
        <v>186</v>
      </c>
      <c r="I191" s="293">
        <f t="shared" si="28"/>
        <v>174</v>
      </c>
      <c r="J191" s="293">
        <f t="shared" si="28"/>
        <v>165</v>
      </c>
      <c r="K191" s="210">
        <f t="shared" si="22"/>
        <v>88.70967741935483</v>
      </c>
      <c r="L191" s="293">
        <f>J191-'[8]Oktobris'!J180</f>
        <v>21</v>
      </c>
      <c r="M191" s="280"/>
    </row>
    <row r="192" spans="1:13" ht="25.5">
      <c r="A192" s="114" t="s">
        <v>454</v>
      </c>
      <c r="B192" s="161">
        <v>9488</v>
      </c>
      <c r="C192" s="250"/>
      <c r="D192" s="161">
        <v>8616</v>
      </c>
      <c r="E192" s="292">
        <f t="shared" si="21"/>
        <v>0.9080944350758853</v>
      </c>
      <c r="F192" s="295">
        <v>5841</v>
      </c>
      <c r="G192" s="114" t="s">
        <v>454</v>
      </c>
      <c r="H192" s="293">
        <f t="shared" si="28"/>
        <v>9</v>
      </c>
      <c r="I192" s="293"/>
      <c r="J192" s="293">
        <f t="shared" si="28"/>
        <v>9</v>
      </c>
      <c r="K192" s="210">
        <f t="shared" si="22"/>
        <v>100</v>
      </c>
      <c r="L192" s="293">
        <v>6</v>
      </c>
      <c r="M192" s="280"/>
    </row>
    <row r="193" spans="1:13" ht="12.75">
      <c r="A193" s="291" t="s">
        <v>432</v>
      </c>
      <c r="B193" s="161">
        <v>8524</v>
      </c>
      <c r="C193" s="250">
        <v>8524</v>
      </c>
      <c r="D193" s="161">
        <f>'[7]Novembris'!$Q$30</f>
        <v>9654</v>
      </c>
      <c r="E193" s="292">
        <f t="shared" si="21"/>
        <v>1.1325668700140779</v>
      </c>
      <c r="F193" s="295">
        <f>D193-'[8]Oktobris'!D181</f>
        <v>0</v>
      </c>
      <c r="G193" s="291" t="s">
        <v>432</v>
      </c>
      <c r="H193" s="293">
        <f t="shared" si="28"/>
        <v>9</v>
      </c>
      <c r="I193" s="293">
        <f t="shared" si="28"/>
        <v>9</v>
      </c>
      <c r="J193" s="293">
        <f t="shared" si="28"/>
        <v>10</v>
      </c>
      <c r="K193" s="210">
        <f t="shared" si="22"/>
        <v>111.11111111111111</v>
      </c>
      <c r="L193" s="293">
        <f>J193-'[8]Oktobris'!J181</f>
        <v>0</v>
      </c>
      <c r="M193" s="280"/>
    </row>
    <row r="194" spans="1:13" ht="12.75">
      <c r="A194" s="291" t="s">
        <v>435</v>
      </c>
      <c r="B194" s="161">
        <f>SUM(B188-B190)</f>
        <v>-50756</v>
      </c>
      <c r="C194" s="250">
        <f>SUM(C188-C190)</f>
        <v>-50273</v>
      </c>
      <c r="D194" s="161">
        <f>SUM(D188-D190)</f>
        <v>-100756</v>
      </c>
      <c r="E194" s="292">
        <f t="shared" si="21"/>
        <v>1.9851052092363464</v>
      </c>
      <c r="F194" s="295">
        <f>D194-'[8]Oktobris'!D182</f>
        <v>-20166</v>
      </c>
      <c r="G194" s="291" t="s">
        <v>435</v>
      </c>
      <c r="H194" s="296">
        <f>SUM(H188-H190)</f>
        <v>-51</v>
      </c>
      <c r="I194" s="296">
        <f>SUM(I188-I190)</f>
        <v>-51</v>
      </c>
      <c r="J194" s="296">
        <f>SUM(J188-J190)</f>
        <v>-101</v>
      </c>
      <c r="K194" s="210"/>
      <c r="L194" s="293">
        <f>J194-'[8]Oktobris'!J182</f>
        <v>-20</v>
      </c>
      <c r="M194" s="280"/>
    </row>
    <row r="195" spans="1:13" ht="12.75">
      <c r="A195" s="291" t="s">
        <v>457</v>
      </c>
      <c r="B195" s="161">
        <v>50756</v>
      </c>
      <c r="C195" s="161">
        <v>50273</v>
      </c>
      <c r="D195" s="161">
        <f>'[9]Novembris'!$C$83</f>
        <v>53459</v>
      </c>
      <c r="E195" s="292">
        <f t="shared" si="21"/>
        <v>1.053254787611317</v>
      </c>
      <c r="F195" s="295">
        <f>D195-'[8]Oktobris'!D183</f>
        <v>11791</v>
      </c>
      <c r="G195" s="291" t="s">
        <v>457</v>
      </c>
      <c r="H195" s="296">
        <f>-H194</f>
        <v>51</v>
      </c>
      <c r="I195" s="293">
        <f>ROUND(C195/1000,0)</f>
        <v>50</v>
      </c>
      <c r="J195" s="293">
        <f>ROUND(D195/1000,0)+1</f>
        <v>54</v>
      </c>
      <c r="K195" s="210">
        <f t="shared" si="22"/>
        <v>105.88235294117648</v>
      </c>
      <c r="L195" s="293">
        <f>J195-'[8]Oktobris'!J183</f>
        <v>12</v>
      </c>
      <c r="M195" s="280"/>
    </row>
    <row r="196" spans="1:13" ht="12.75">
      <c r="A196" s="316"/>
      <c r="B196" s="184"/>
      <c r="C196" s="184"/>
      <c r="D196" s="184"/>
      <c r="E196" s="125"/>
      <c r="F196" s="279"/>
      <c r="H196" s="125"/>
      <c r="I196" s="125"/>
      <c r="J196" s="125"/>
      <c r="K196" s="125"/>
      <c r="L196" s="125"/>
      <c r="M196" s="280"/>
    </row>
    <row r="197" spans="1:13" ht="26.25" customHeight="1">
      <c r="A197" s="125" t="s">
        <v>497</v>
      </c>
      <c r="B197" s="317"/>
      <c r="C197" s="317"/>
      <c r="D197" s="317"/>
      <c r="E197" s="125"/>
      <c r="F197" s="279"/>
      <c r="G197" s="474" t="s">
        <v>498</v>
      </c>
      <c r="H197" s="474"/>
      <c r="I197" s="474"/>
      <c r="J197" s="474"/>
      <c r="K197" s="474"/>
      <c r="L197" s="279"/>
      <c r="M197" s="280"/>
    </row>
    <row r="198" spans="1:13" ht="22.5" customHeight="1">
      <c r="A198" s="474"/>
      <c r="B198" s="474"/>
      <c r="C198" s="125"/>
      <c r="D198" s="125"/>
      <c r="E198" s="125"/>
      <c r="F198" s="279"/>
      <c r="I198" s="318"/>
      <c r="J198" s="318"/>
      <c r="K198" s="125"/>
      <c r="L198" s="279"/>
      <c r="M198" s="280"/>
    </row>
    <row r="199" spans="2:13" ht="12.75" customHeight="1">
      <c r="B199" s="319"/>
      <c r="C199" s="95"/>
      <c r="D199" s="93"/>
      <c r="E199" s="1"/>
      <c r="F199" s="279"/>
      <c r="I199" s="279"/>
      <c r="J199" s="279"/>
      <c r="K199" s="1"/>
      <c r="L199" s="279"/>
      <c r="M199" s="280"/>
    </row>
    <row r="200" spans="1:13" ht="16.5" customHeight="1">
      <c r="A200" s="474"/>
      <c r="B200" s="474"/>
      <c r="C200" s="95"/>
      <c r="D200" s="95"/>
      <c r="E200" s="279"/>
      <c r="F200" s="279"/>
      <c r="G200" s="94" t="s">
        <v>499</v>
      </c>
      <c r="I200" s="279"/>
      <c r="J200" s="279"/>
      <c r="K200" s="279"/>
      <c r="L200" s="279"/>
      <c r="M200" s="280"/>
    </row>
    <row r="201" spans="1:13" ht="12.75">
      <c r="A201" s="94" t="s">
        <v>500</v>
      </c>
      <c r="B201" s="95"/>
      <c r="C201" s="95"/>
      <c r="D201" s="95"/>
      <c r="E201" s="279"/>
      <c r="F201" s="279"/>
      <c r="K201" s="279"/>
      <c r="L201" s="279"/>
      <c r="M201" s="280"/>
    </row>
    <row r="202" spans="2:13" ht="12.75">
      <c r="B202" s="95"/>
      <c r="C202" s="95"/>
      <c r="D202" s="95"/>
      <c r="E202" s="279"/>
      <c r="F202" s="279"/>
      <c r="H202" s="279"/>
      <c r="I202" s="279"/>
      <c r="J202" s="279"/>
      <c r="K202" s="279"/>
      <c r="L202" s="279"/>
      <c r="M202" s="280"/>
    </row>
    <row r="203" spans="2:13" ht="12.75">
      <c r="B203" s="95"/>
      <c r="C203" s="95"/>
      <c r="D203" s="95"/>
      <c r="E203" s="279"/>
      <c r="F203" s="279"/>
      <c r="G203" s="279"/>
      <c r="H203" s="279"/>
      <c r="I203" s="279"/>
      <c r="J203" s="279"/>
      <c r="K203" s="279"/>
      <c r="L203" s="279"/>
      <c r="M203" s="280"/>
    </row>
    <row r="204" spans="1:13" ht="12.75">
      <c r="A204" s="279"/>
      <c r="B204" s="95"/>
      <c r="C204" s="95"/>
      <c r="D204" s="95"/>
      <c r="E204" s="279"/>
      <c r="F204" s="279"/>
      <c r="G204" s="320" t="s">
        <v>137</v>
      </c>
      <c r="J204" s="279"/>
      <c r="K204" s="279"/>
      <c r="L204" s="279"/>
      <c r="M204" s="280"/>
    </row>
    <row r="205" spans="1:13" ht="12.75">
      <c r="A205" s="279"/>
      <c r="B205" s="95"/>
      <c r="C205" s="95"/>
      <c r="D205" s="95"/>
      <c r="E205" s="279"/>
      <c r="F205" s="279"/>
      <c r="G205" s="320" t="s">
        <v>180</v>
      </c>
      <c r="H205" s="279"/>
      <c r="I205" s="279"/>
      <c r="J205" s="279"/>
      <c r="K205" s="279"/>
      <c r="L205" s="279"/>
      <c r="M205" s="280"/>
    </row>
    <row r="206" spans="1:13" ht="12.75">
      <c r="A206" s="279" t="s">
        <v>137</v>
      </c>
      <c r="B206" s="95"/>
      <c r="C206" s="95"/>
      <c r="D206" s="95"/>
      <c r="E206" s="279"/>
      <c r="F206" s="279"/>
      <c r="K206" s="279"/>
      <c r="L206" s="279"/>
      <c r="M206" s="280"/>
    </row>
    <row r="207" spans="1:13" ht="12.75">
      <c r="A207" s="279" t="s">
        <v>180</v>
      </c>
      <c r="B207" s="95"/>
      <c r="C207" s="95"/>
      <c r="D207" s="95"/>
      <c r="E207" s="279"/>
      <c r="F207" s="279"/>
      <c r="G207" s="279"/>
      <c r="H207" s="279"/>
      <c r="I207" s="279"/>
      <c r="J207" s="279"/>
      <c r="K207" s="279"/>
      <c r="L207" s="279"/>
      <c r="M207" s="280"/>
    </row>
    <row r="208" spans="1:13" ht="12.75">
      <c r="A208" s="279"/>
      <c r="B208" s="95"/>
      <c r="C208" s="95"/>
      <c r="D208" s="95"/>
      <c r="E208" s="279"/>
      <c r="F208" s="279"/>
      <c r="H208" s="279"/>
      <c r="I208" s="279"/>
      <c r="J208" s="279"/>
      <c r="K208" s="279"/>
      <c r="L208" s="279"/>
      <c r="M208" s="280"/>
    </row>
    <row r="209" spans="1:13" ht="12.75">
      <c r="A209" s="279"/>
      <c r="B209" s="95"/>
      <c r="C209" s="95"/>
      <c r="D209" s="95"/>
      <c r="E209" s="279"/>
      <c r="F209" s="279"/>
      <c r="H209" s="280"/>
      <c r="I209" s="280"/>
      <c r="J209" s="279"/>
      <c r="K209" s="280"/>
      <c r="L209" s="280"/>
      <c r="M209" s="280"/>
    </row>
    <row r="210" spans="2:13" ht="12.75">
      <c r="B210" s="95"/>
      <c r="C210" s="95"/>
      <c r="D210" s="95"/>
      <c r="E210" s="279"/>
      <c r="F210" s="279"/>
      <c r="H210" s="280"/>
      <c r="I210" s="280"/>
      <c r="J210" s="280"/>
      <c r="K210" s="280"/>
      <c r="L210" s="280"/>
      <c r="M210" s="280"/>
    </row>
    <row r="211" spans="2:13" ht="12.75">
      <c r="B211" s="93"/>
      <c r="C211" s="93"/>
      <c r="D211" s="95"/>
      <c r="E211" s="279"/>
      <c r="F211" s="279"/>
      <c r="H211" s="280"/>
      <c r="I211" s="280"/>
      <c r="J211" s="280"/>
      <c r="K211" s="280"/>
      <c r="L211" s="280"/>
      <c r="M211" s="280"/>
    </row>
    <row r="212" spans="1:13" ht="12.75">
      <c r="A212" s="279"/>
      <c r="B212" s="95"/>
      <c r="C212" s="95"/>
      <c r="D212" s="95"/>
      <c r="E212" s="279"/>
      <c r="F212" s="279"/>
      <c r="H212" s="280"/>
      <c r="I212" s="280"/>
      <c r="J212" s="280"/>
      <c r="K212" s="280"/>
      <c r="L212" s="280"/>
      <c r="M212" s="280"/>
    </row>
    <row r="213" spans="1:13" ht="12.75">
      <c r="A213" s="279"/>
      <c r="B213" s="95"/>
      <c r="C213" s="95"/>
      <c r="D213" s="95"/>
      <c r="E213" s="279"/>
      <c r="F213" s="279"/>
      <c r="H213" s="280"/>
      <c r="I213" s="280"/>
      <c r="J213" s="280"/>
      <c r="K213" s="280"/>
      <c r="L213" s="280"/>
      <c r="M213" s="280"/>
    </row>
    <row r="214" spans="1:13" ht="12.75">
      <c r="A214" s="279"/>
      <c r="B214" s="95"/>
      <c r="C214" s="95"/>
      <c r="D214" s="95"/>
      <c r="E214" s="279"/>
      <c r="F214" s="279"/>
      <c r="H214" s="280"/>
      <c r="I214" s="280"/>
      <c r="J214" s="280"/>
      <c r="K214" s="280"/>
      <c r="L214" s="280"/>
      <c r="M214" s="280"/>
    </row>
    <row r="215" spans="1:13" ht="12.75">
      <c r="A215" s="279"/>
      <c r="B215" s="95"/>
      <c r="C215" s="95"/>
      <c r="D215" s="95"/>
      <c r="E215" s="279"/>
      <c r="F215" s="279"/>
      <c r="H215" s="280"/>
      <c r="I215" s="280"/>
      <c r="J215" s="280"/>
      <c r="K215" s="280"/>
      <c r="L215" s="280"/>
      <c r="M215" s="280"/>
    </row>
    <row r="216" spans="1:13" ht="12.75">
      <c r="A216" s="279"/>
      <c r="B216" s="95"/>
      <c r="C216" s="95"/>
      <c r="D216" s="95"/>
      <c r="E216" s="279"/>
      <c r="F216" s="279"/>
      <c r="H216" s="280"/>
      <c r="I216" s="280"/>
      <c r="J216" s="280"/>
      <c r="K216" s="280"/>
      <c r="L216" s="280"/>
      <c r="M216" s="280"/>
    </row>
    <row r="217" spans="1:13" ht="12.75">
      <c r="A217" s="279"/>
      <c r="B217" s="95"/>
      <c r="C217" s="95"/>
      <c r="D217" s="95"/>
      <c r="E217" s="279"/>
      <c r="F217" s="279"/>
      <c r="H217" s="280"/>
      <c r="I217" s="280"/>
      <c r="J217" s="280"/>
      <c r="K217" s="280"/>
      <c r="L217" s="280"/>
      <c r="M217" s="280"/>
    </row>
    <row r="218" spans="1:13" ht="12.75">
      <c r="A218" s="279"/>
      <c r="B218" s="95"/>
      <c r="C218" s="95"/>
      <c r="D218" s="95"/>
      <c r="E218" s="279"/>
      <c r="F218" s="279"/>
      <c r="H218" s="280"/>
      <c r="I218" s="280"/>
      <c r="J218" s="280"/>
      <c r="K218" s="280"/>
      <c r="L218" s="280"/>
      <c r="M218" s="280"/>
    </row>
    <row r="219" spans="1:13" ht="12.75">
      <c r="A219" s="279"/>
      <c r="B219" s="95"/>
      <c r="C219" s="95"/>
      <c r="D219" s="95"/>
      <c r="E219" s="279"/>
      <c r="F219" s="279"/>
      <c r="G219" s="280"/>
      <c r="H219" s="280"/>
      <c r="I219" s="280"/>
      <c r="J219" s="280"/>
      <c r="K219" s="280"/>
      <c r="L219" s="280"/>
      <c r="M219" s="280"/>
    </row>
    <row r="220" spans="1:13" ht="12.75">
      <c r="A220" s="279" t="s">
        <v>501</v>
      </c>
      <c r="B220" s="95"/>
      <c r="C220" s="95"/>
      <c r="D220" s="95">
        <v>463265238</v>
      </c>
      <c r="E220" s="279"/>
      <c r="F220" s="279"/>
      <c r="G220" s="280"/>
      <c r="H220" s="280"/>
      <c r="I220" s="280"/>
      <c r="J220" s="280"/>
      <c r="K220" s="280"/>
      <c r="L220" s="280"/>
      <c r="M220" s="280"/>
    </row>
    <row r="221" spans="1:13" ht="12.75">
      <c r="A221" s="279" t="s">
        <v>502</v>
      </c>
      <c r="B221" s="95"/>
      <c r="C221" s="95"/>
      <c r="D221" s="95">
        <v>37123772</v>
      </c>
      <c r="E221" s="279"/>
      <c r="F221" s="279"/>
      <c r="G221" s="280"/>
      <c r="H221" s="280"/>
      <c r="I221" s="280"/>
      <c r="J221" s="280"/>
      <c r="K221" s="280"/>
      <c r="L221" s="280"/>
      <c r="M221" s="280"/>
    </row>
    <row r="222" spans="1:13" ht="12.75">
      <c r="A222" s="279" t="s">
        <v>503</v>
      </c>
      <c r="B222" s="95"/>
      <c r="C222" s="95"/>
      <c r="D222" s="95">
        <v>280093</v>
      </c>
      <c r="E222" s="279"/>
      <c r="F222" s="279"/>
      <c r="G222" s="280"/>
      <c r="H222" s="280"/>
      <c r="I222" s="280"/>
      <c r="J222" s="280"/>
      <c r="K222" s="280"/>
      <c r="L222" s="280"/>
      <c r="M222" s="280"/>
    </row>
    <row r="223" spans="1:13" ht="12.75">
      <c r="A223" s="279" t="s">
        <v>504</v>
      </c>
      <c r="B223" s="95"/>
      <c r="C223" s="95"/>
      <c r="D223" s="95">
        <v>1186501</v>
      </c>
      <c r="E223" s="279"/>
      <c r="F223" s="279"/>
      <c r="H223" s="280"/>
      <c r="I223" s="280"/>
      <c r="J223" s="280"/>
      <c r="K223" s="280"/>
      <c r="L223" s="280"/>
      <c r="M223" s="280"/>
    </row>
    <row r="224" spans="1:13" ht="12.75">
      <c r="A224" s="279"/>
      <c r="B224" s="95"/>
      <c r="C224" s="95"/>
      <c r="D224" s="95"/>
      <c r="E224" s="279"/>
      <c r="F224" s="279"/>
      <c r="H224" s="280"/>
      <c r="I224" s="280"/>
      <c r="J224" s="280"/>
      <c r="K224" s="280"/>
      <c r="L224" s="280"/>
      <c r="M224" s="280"/>
    </row>
    <row r="225" spans="1:13" ht="12.75">
      <c r="A225" s="279"/>
      <c r="B225" s="95"/>
      <c r="C225" s="95"/>
      <c r="D225" s="95"/>
      <c r="E225" s="279"/>
      <c r="F225" s="279"/>
      <c r="H225" s="280"/>
      <c r="I225" s="280"/>
      <c r="J225" s="280"/>
      <c r="K225" s="280"/>
      <c r="L225" s="280"/>
      <c r="M225" s="280"/>
    </row>
    <row r="226" spans="1:13" ht="12.75">
      <c r="A226" s="279"/>
      <c r="B226" s="95"/>
      <c r="C226" s="95"/>
      <c r="D226" s="95"/>
      <c r="E226" s="279"/>
      <c r="F226" s="279"/>
      <c r="H226" s="280"/>
      <c r="I226" s="280"/>
      <c r="J226" s="280"/>
      <c r="K226" s="280"/>
      <c r="L226" s="280"/>
      <c r="M226" s="280"/>
    </row>
    <row r="227" spans="1:13" ht="12.75">
      <c r="A227" s="279"/>
      <c r="B227" s="95"/>
      <c r="C227" s="95"/>
      <c r="D227" s="95"/>
      <c r="E227" s="279"/>
      <c r="F227" s="279"/>
      <c r="H227" s="280"/>
      <c r="I227" s="280"/>
      <c r="J227" s="280"/>
      <c r="K227" s="280"/>
      <c r="L227" s="280"/>
      <c r="M227" s="280"/>
    </row>
    <row r="228" spans="1:13" ht="12.75">
      <c r="A228" s="279"/>
      <c r="B228" s="95"/>
      <c r="C228" s="95"/>
      <c r="D228" s="95"/>
      <c r="E228" s="279"/>
      <c r="F228" s="279"/>
      <c r="G228" s="280"/>
      <c r="H228" s="280"/>
      <c r="I228" s="280"/>
      <c r="J228" s="280"/>
      <c r="K228" s="280"/>
      <c r="L228" s="280"/>
      <c r="M228" s="280"/>
    </row>
    <row r="229" spans="1:13" ht="12.75">
      <c r="A229" s="279"/>
      <c r="B229" s="95"/>
      <c r="C229" s="95"/>
      <c r="D229" s="95"/>
      <c r="E229" s="279"/>
      <c r="F229" s="279"/>
      <c r="G229" s="280"/>
      <c r="H229" s="280"/>
      <c r="I229" s="280"/>
      <c r="J229" s="280"/>
      <c r="K229" s="280"/>
      <c r="L229" s="280"/>
      <c r="M229" s="280"/>
    </row>
    <row r="230" spans="1:13" ht="12.75">
      <c r="A230" s="279"/>
      <c r="B230" s="95"/>
      <c r="C230" s="95"/>
      <c r="D230" s="95"/>
      <c r="E230" s="279"/>
      <c r="F230" s="279"/>
      <c r="H230" s="280"/>
      <c r="I230" s="280"/>
      <c r="J230" s="280"/>
      <c r="K230" s="280"/>
      <c r="L230" s="280"/>
      <c r="M230" s="280"/>
    </row>
    <row r="231" spans="1:13" ht="12.75">
      <c r="A231" s="279"/>
      <c r="B231" s="95"/>
      <c r="C231" s="95"/>
      <c r="D231" s="95"/>
      <c r="E231" s="279"/>
      <c r="F231" s="279"/>
      <c r="H231" s="280"/>
      <c r="I231" s="280"/>
      <c r="J231" s="280"/>
      <c r="K231" s="280"/>
      <c r="L231" s="280"/>
      <c r="M231" s="280"/>
    </row>
    <row r="232" spans="1:13" ht="12.75">
      <c r="A232" s="279"/>
      <c r="B232" s="95"/>
      <c r="C232" s="95"/>
      <c r="D232" s="95"/>
      <c r="E232" s="279"/>
      <c r="F232" s="279"/>
      <c r="H232" s="280"/>
      <c r="I232" s="280"/>
      <c r="J232" s="280"/>
      <c r="K232" s="280"/>
      <c r="L232" s="280"/>
      <c r="M232" s="280"/>
    </row>
    <row r="233" spans="1:13" ht="12.75">
      <c r="A233" s="279"/>
      <c r="B233" s="95"/>
      <c r="C233" s="95"/>
      <c r="D233" s="95"/>
      <c r="E233" s="279"/>
      <c r="F233" s="279"/>
      <c r="H233" s="280"/>
      <c r="I233" s="280"/>
      <c r="J233" s="280"/>
      <c r="K233" s="280"/>
      <c r="L233" s="280"/>
      <c r="M233" s="280"/>
    </row>
    <row r="234" spans="1:13" ht="12.75">
      <c r="A234" s="279"/>
      <c r="B234" s="95"/>
      <c r="C234" s="95"/>
      <c r="D234" s="95"/>
      <c r="E234" s="279"/>
      <c r="F234" s="279"/>
      <c r="H234" s="280"/>
      <c r="I234" s="280"/>
      <c r="J234" s="280"/>
      <c r="K234" s="280"/>
      <c r="L234" s="280"/>
      <c r="M234" s="280"/>
    </row>
    <row r="235" spans="1:13" ht="12.75">
      <c r="A235" s="279"/>
      <c r="B235" s="95"/>
      <c r="C235" s="95"/>
      <c r="D235" s="95"/>
      <c r="E235" s="279"/>
      <c r="F235" s="279"/>
      <c r="H235" s="280"/>
      <c r="I235" s="280"/>
      <c r="J235" s="280"/>
      <c r="K235" s="280"/>
      <c r="L235" s="280"/>
      <c r="M235" s="280"/>
    </row>
    <row r="236" spans="1:13" ht="12.75">
      <c r="A236" s="279"/>
      <c r="B236" s="95"/>
      <c r="C236" s="95"/>
      <c r="D236" s="95"/>
      <c r="E236" s="279"/>
      <c r="F236" s="279"/>
      <c r="G236" s="280"/>
      <c r="H236" s="280"/>
      <c r="I236" s="280"/>
      <c r="J236" s="280"/>
      <c r="K236" s="280"/>
      <c r="L236" s="280"/>
      <c r="M236" s="280"/>
    </row>
    <row r="237" spans="1:13" ht="12.75">
      <c r="A237" s="279"/>
      <c r="B237" s="95"/>
      <c r="C237" s="95"/>
      <c r="D237" s="95"/>
      <c r="E237" s="279"/>
      <c r="F237" s="279"/>
      <c r="G237" s="280"/>
      <c r="H237" s="280"/>
      <c r="I237" s="280"/>
      <c r="J237" s="280"/>
      <c r="K237" s="280"/>
      <c r="L237" s="280"/>
      <c r="M237" s="280"/>
    </row>
    <row r="238" spans="1:13" ht="12.75">
      <c r="A238" s="279"/>
      <c r="B238" s="95"/>
      <c r="C238" s="95"/>
      <c r="D238" s="95"/>
      <c r="E238" s="279"/>
      <c r="F238" s="279"/>
      <c r="H238" s="280"/>
      <c r="I238" s="280"/>
      <c r="J238" s="280"/>
      <c r="K238" s="280"/>
      <c r="L238" s="280"/>
      <c r="M238" s="280"/>
    </row>
    <row r="239" spans="2:13" ht="12.75">
      <c r="B239" s="95"/>
      <c r="C239" s="95"/>
      <c r="D239" s="95"/>
      <c r="E239" s="279"/>
      <c r="F239" s="279"/>
      <c r="H239" s="280"/>
      <c r="I239" s="280"/>
      <c r="J239" s="280"/>
      <c r="K239" s="280"/>
      <c r="L239" s="280"/>
      <c r="M239" s="280"/>
    </row>
    <row r="240" spans="2:13" ht="12.75">
      <c r="B240" s="95"/>
      <c r="C240" s="95"/>
      <c r="D240" s="95"/>
      <c r="E240" s="279"/>
      <c r="F240" s="279"/>
      <c r="G240" s="280"/>
      <c r="H240" s="280"/>
      <c r="I240" s="280"/>
      <c r="J240" s="280"/>
      <c r="K240" s="280"/>
      <c r="L240" s="280"/>
      <c r="M240" s="280"/>
    </row>
    <row r="241" spans="1:13" ht="12.75">
      <c r="A241" s="279"/>
      <c r="B241" s="95"/>
      <c r="C241" s="95"/>
      <c r="D241" s="95"/>
      <c r="E241" s="279"/>
      <c r="F241" s="279"/>
      <c r="H241" s="280"/>
      <c r="I241" s="280"/>
      <c r="J241" s="280"/>
      <c r="K241" s="280"/>
      <c r="L241" s="280"/>
      <c r="M241" s="280"/>
    </row>
    <row r="242" spans="1:13" ht="12.75">
      <c r="A242" s="279"/>
      <c r="B242" s="95"/>
      <c r="C242" s="95"/>
      <c r="D242" s="95"/>
      <c r="E242" s="279"/>
      <c r="F242" s="279"/>
      <c r="H242" s="280"/>
      <c r="I242" s="280"/>
      <c r="J242" s="280"/>
      <c r="K242" s="280"/>
      <c r="L242" s="280"/>
      <c r="M242" s="280"/>
    </row>
    <row r="243" spans="1:13" ht="12.75">
      <c r="A243" s="279"/>
      <c r="B243" s="95"/>
      <c r="C243" s="95"/>
      <c r="D243" s="95"/>
      <c r="E243" s="279"/>
      <c r="F243" s="279"/>
      <c r="H243" s="280"/>
      <c r="I243" s="280"/>
      <c r="J243" s="280"/>
      <c r="K243" s="280"/>
      <c r="L243" s="280"/>
      <c r="M243" s="280"/>
    </row>
    <row r="244" spans="1:13" ht="12.75">
      <c r="A244" s="279"/>
      <c r="B244" s="95"/>
      <c r="C244" s="95"/>
      <c r="D244" s="95"/>
      <c r="E244" s="279"/>
      <c r="F244" s="279"/>
      <c r="H244" s="280"/>
      <c r="I244" s="280"/>
      <c r="J244" s="280"/>
      <c r="K244" s="280"/>
      <c r="L244" s="280"/>
      <c r="M244" s="280"/>
    </row>
  </sheetData>
  <mergeCells count="8">
    <mergeCell ref="G197:K197"/>
    <mergeCell ref="A198:B198"/>
    <mergeCell ref="A200:B200"/>
    <mergeCell ref="G2:L2"/>
    <mergeCell ref="A4:F4"/>
    <mergeCell ref="G4:L4"/>
    <mergeCell ref="A5:F5"/>
    <mergeCell ref="G5:L5"/>
  </mergeCells>
  <printOptions/>
  <pageMargins left="0.75" right="0.19" top="0.81" bottom="0.37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G317"/>
  <sheetViews>
    <sheetView workbookViewId="0" topLeftCell="H69">
      <selection activeCell="I79" sqref="I79"/>
    </sheetView>
  </sheetViews>
  <sheetFormatPr defaultColWidth="9.140625" defaultRowHeight="12.75"/>
  <cols>
    <col min="1" max="1" width="35.421875" style="6" customWidth="1"/>
    <col min="2" max="2" width="13.28125" style="359" customWidth="1"/>
    <col min="3" max="3" width="14.421875" style="359" customWidth="1"/>
    <col min="4" max="4" width="14.00390625" style="359" customWidth="1"/>
    <col min="5" max="6" width="12.28125" style="6" customWidth="1"/>
    <col min="7" max="7" width="13.140625" style="6" customWidth="1"/>
    <col min="8" max="8" width="35.421875" style="6" customWidth="1"/>
    <col min="9" max="9" width="12.28125" style="6" customWidth="1"/>
    <col min="10" max="10" width="12.140625" style="6" customWidth="1"/>
    <col min="11" max="11" width="9.57421875" style="6" customWidth="1"/>
    <col min="12" max="12" width="9.28125" style="6" customWidth="1"/>
    <col min="13" max="13" width="12.421875" style="6" customWidth="1"/>
    <col min="14" max="14" width="10.7109375" style="6" customWidth="1"/>
    <col min="15" max="16384" width="7.8515625" style="6" customWidth="1"/>
  </cols>
  <sheetData>
    <row r="1" spans="1:14" ht="21" customHeight="1">
      <c r="A1" s="321" t="s">
        <v>257</v>
      </c>
      <c r="B1" s="358"/>
      <c r="C1" s="358"/>
      <c r="D1" s="358"/>
      <c r="E1" s="321"/>
      <c r="F1" s="321"/>
      <c r="G1" s="6" t="s">
        <v>506</v>
      </c>
      <c r="H1" s="321" t="s">
        <v>505</v>
      </c>
      <c r="I1" s="321"/>
      <c r="J1" s="321"/>
      <c r="K1" s="321"/>
      <c r="L1" s="321"/>
      <c r="M1" s="321"/>
      <c r="N1" s="322" t="s">
        <v>506</v>
      </c>
    </row>
    <row r="2" ht="0.75" customHeight="1" hidden="1"/>
    <row r="3" ht="20.25" customHeight="1"/>
    <row r="4" spans="1:14" ht="18.75" customHeight="1">
      <c r="A4" s="323"/>
      <c r="B4" s="360" t="s">
        <v>528</v>
      </c>
      <c r="C4" s="360"/>
      <c r="D4" s="360"/>
      <c r="E4" s="323"/>
      <c r="F4" s="323"/>
      <c r="G4" s="323"/>
      <c r="H4" s="281"/>
      <c r="I4" s="281"/>
      <c r="J4" s="281" t="s">
        <v>507</v>
      </c>
      <c r="K4" s="281"/>
      <c r="L4" s="281"/>
      <c r="M4" s="101"/>
      <c r="N4" s="323"/>
    </row>
    <row r="5" spans="1:14" ht="20.25" customHeight="1">
      <c r="A5" s="323"/>
      <c r="B5" s="360" t="s">
        <v>352</v>
      </c>
      <c r="C5" s="360"/>
      <c r="D5" s="360"/>
      <c r="E5" s="323"/>
      <c r="F5" s="323"/>
      <c r="G5" s="323"/>
      <c r="H5" s="281"/>
      <c r="I5" s="281"/>
      <c r="J5" s="281" t="s">
        <v>352</v>
      </c>
      <c r="K5" s="281"/>
      <c r="L5" s="281"/>
      <c r="M5" s="101"/>
      <c r="N5" s="323"/>
    </row>
    <row r="6" spans="1:14" ht="18" customHeight="1">
      <c r="A6" s="281"/>
      <c r="B6" s="361" t="s">
        <v>98</v>
      </c>
      <c r="C6" s="360"/>
      <c r="D6" s="360"/>
      <c r="E6" s="323"/>
      <c r="F6" s="323"/>
      <c r="G6" s="323"/>
      <c r="H6" s="281"/>
      <c r="I6" s="281"/>
      <c r="J6" s="281" t="s">
        <v>508</v>
      </c>
      <c r="K6" s="281"/>
      <c r="L6" s="281"/>
      <c r="M6" s="101"/>
      <c r="N6" s="323"/>
    </row>
    <row r="7" spans="7:14" ht="36" customHeight="1">
      <c r="G7" s="6" t="s">
        <v>529</v>
      </c>
      <c r="N7" s="322" t="s">
        <v>185</v>
      </c>
    </row>
    <row r="8" spans="1:14" s="4" customFormat="1" ht="95.25" customHeight="1">
      <c r="A8" s="133" t="s">
        <v>101</v>
      </c>
      <c r="B8" s="362" t="s">
        <v>102</v>
      </c>
      <c r="C8" s="362" t="s">
        <v>354</v>
      </c>
      <c r="D8" s="362" t="s">
        <v>104</v>
      </c>
      <c r="E8" s="133" t="s">
        <v>355</v>
      </c>
      <c r="F8" s="133" t="s">
        <v>509</v>
      </c>
      <c r="G8" s="133" t="s">
        <v>357</v>
      </c>
      <c r="H8" s="133" t="s">
        <v>101</v>
      </c>
      <c r="I8" s="133" t="s">
        <v>102</v>
      </c>
      <c r="J8" s="133" t="s">
        <v>354</v>
      </c>
      <c r="K8" s="133" t="s">
        <v>104</v>
      </c>
      <c r="L8" s="133" t="s">
        <v>355</v>
      </c>
      <c r="M8" s="133" t="s">
        <v>509</v>
      </c>
      <c r="N8" s="133" t="str">
        <f>G8</f>
        <v>Novembra  izpilde</v>
      </c>
    </row>
    <row r="9" spans="1:14" ht="14.25">
      <c r="A9" s="324">
        <v>1</v>
      </c>
      <c r="B9" s="363">
        <v>2</v>
      </c>
      <c r="C9" s="363">
        <v>3</v>
      </c>
      <c r="D9" s="363">
        <v>4</v>
      </c>
      <c r="E9" s="324">
        <v>5</v>
      </c>
      <c r="F9" s="324">
        <v>6</v>
      </c>
      <c r="G9" s="364">
        <v>7</v>
      </c>
      <c r="H9" s="324">
        <v>1</v>
      </c>
      <c r="I9" s="324">
        <v>2</v>
      </c>
      <c r="J9" s="324">
        <v>3</v>
      </c>
      <c r="K9" s="324">
        <v>4</v>
      </c>
      <c r="L9" s="324">
        <v>5</v>
      </c>
      <c r="M9" s="324">
        <v>6</v>
      </c>
      <c r="N9" s="324">
        <v>7</v>
      </c>
    </row>
    <row r="10" spans="1:14" ht="18.75" customHeight="1">
      <c r="A10" s="325" t="s">
        <v>510</v>
      </c>
      <c r="B10" s="365">
        <f>SUM(B11:B12:B13)</f>
        <v>692932778</v>
      </c>
      <c r="C10" s="365">
        <f>SUM(C11:C13)</f>
        <v>627925758</v>
      </c>
      <c r="D10" s="365">
        <f>SUM(D11:D13)</f>
        <v>619759919</v>
      </c>
      <c r="E10" s="366">
        <f>IF(ISERROR(D10/B10)," ",(D10/B10))</f>
        <v>0.8944012156399967</v>
      </c>
      <c r="F10" s="366">
        <f>IF(ISERROR(D10/C10)," ",(D10/C10))</f>
        <v>0.9869955342714257</v>
      </c>
      <c r="G10" s="367">
        <f>SUM(G11:G13)</f>
        <v>21782662</v>
      </c>
      <c r="H10" s="325" t="s">
        <v>510</v>
      </c>
      <c r="I10" s="326">
        <f>SUM(I11:I12:I13)</f>
        <v>692933</v>
      </c>
      <c r="J10" s="326">
        <f>SUM(J11:J13)</f>
        <v>627926</v>
      </c>
      <c r="K10" s="326">
        <f>SUM(K11:K13)</f>
        <v>619760</v>
      </c>
      <c r="L10" s="327">
        <f>IF(ISERROR(ROUND(K10,0)/ROUND(I10,0))," ",(ROUND(K10,)/ROUND(I10,)))*100</f>
        <v>89.44010459885732</v>
      </c>
      <c r="M10" s="327">
        <f aca="true" t="shared" si="0" ref="M10:M16">IF(ISERROR(ROUND(K10,0)/ROUND(J10,0))," ",(ROUND(K10,)/ROUND(J10,)))*100</f>
        <v>98.69952828836519</v>
      </c>
      <c r="N10" s="326">
        <f>SUM(N11:N13)</f>
        <v>56049</v>
      </c>
    </row>
    <row r="11" spans="1:14" ht="26.25" customHeight="1">
      <c r="A11" s="368" t="s">
        <v>511</v>
      </c>
      <c r="B11" s="369">
        <v>687847124</v>
      </c>
      <c r="C11" s="370">
        <f>189029277+36421481+35990428+38712123+39570361+39034797+40114787+44401932+40480748+39432831+40001232+38548525</f>
        <v>621738522</v>
      </c>
      <c r="D11" s="370">
        <v>615970681</v>
      </c>
      <c r="E11" s="371">
        <f aca="true" t="shared" si="1" ref="E11:E17">IF(ISERROR(D11/B11)," ",(D11/B11))</f>
        <v>0.8955052067645194</v>
      </c>
      <c r="F11" s="371">
        <f aca="true" t="shared" si="2" ref="F11:F17">IF(ISERROR(D11/C11)," ",(D11/C11))</f>
        <v>0.9907230438586206</v>
      </c>
      <c r="G11" s="372">
        <f>SUM('[8]Novembris'!$F$22,'[8]Novembris'!$F$29,'[8]Novembris'!$F$35,'[8]Novembris'!$F$44,'[8]Novembris'!$F$51,'[8]Novembris'!$F$63,'[8]Novembris'!$F$72:$F$74,'[8]Novembris'!$F$84,'[8]Novembris'!$F$91,'[8]Novembris'!$F$99:$F$100,'[8]Novembris'!$F$109,'[8]Novembris'!$F$166:$F$167,'[8]Novembris'!$F$173,'[8]Novembris'!$F$179)</f>
        <v>21650618</v>
      </c>
      <c r="H11" s="114" t="s">
        <v>511</v>
      </c>
      <c r="I11" s="247">
        <f aca="true" t="shared" si="3" ref="I11:K13">ROUND(B11/1000,0)</f>
        <v>687847</v>
      </c>
      <c r="J11" s="247">
        <f t="shared" si="3"/>
        <v>621739</v>
      </c>
      <c r="K11" s="247">
        <f t="shared" si="3"/>
        <v>615971</v>
      </c>
      <c r="L11" s="327">
        <f>IF(ISERROR(ROUND(K11,0)/ROUND(I11,0))," ",(ROUND(K11,)/ROUND(I11,)))*100</f>
        <v>89.55058319655389</v>
      </c>
      <c r="M11" s="327">
        <f t="shared" si="0"/>
        <v>99.07227952565304</v>
      </c>
      <c r="N11" s="247">
        <f>K11-'[10]Oktobris'!K11-1</f>
        <v>55917</v>
      </c>
    </row>
    <row r="12" spans="1:14" ht="27.75" customHeight="1">
      <c r="A12" s="368" t="s">
        <v>512</v>
      </c>
      <c r="B12" s="369">
        <v>2975801</v>
      </c>
      <c r="C12" s="370">
        <v>4077383</v>
      </c>
      <c r="D12" s="370">
        <v>2655361</v>
      </c>
      <c r="E12" s="371">
        <f t="shared" si="1"/>
        <v>0.8923180683116916</v>
      </c>
      <c r="F12" s="371">
        <f t="shared" si="2"/>
        <v>0.6512414948509865</v>
      </c>
      <c r="G12" s="372">
        <f>D12-'[10]Oktobris'!D12</f>
        <v>12148</v>
      </c>
      <c r="H12" s="114" t="s">
        <v>512</v>
      </c>
      <c r="I12" s="247">
        <f t="shared" si="3"/>
        <v>2976</v>
      </c>
      <c r="J12" s="247">
        <f t="shared" si="3"/>
        <v>4077</v>
      </c>
      <c r="K12" s="247">
        <f t="shared" si="3"/>
        <v>2655</v>
      </c>
      <c r="L12" s="328">
        <f aca="true" t="shared" si="4" ref="L12:L45">IF(ISERROR(ROUND(K12,0)/ROUND(I12,0))," ",(ROUND(K12,)/ROUND(I12,)))*100</f>
        <v>89.21370967741935</v>
      </c>
      <c r="M12" s="327">
        <f t="shared" si="0"/>
        <v>65.12141280353201</v>
      </c>
      <c r="N12" s="247">
        <f>K12-'[10]Oktobris'!K12</f>
        <v>12</v>
      </c>
    </row>
    <row r="13" spans="1:14" ht="15.75" customHeight="1">
      <c r="A13" s="368" t="s">
        <v>109</v>
      </c>
      <c r="B13" s="369">
        <v>2109853</v>
      </c>
      <c r="C13" s="370">
        <v>2109853</v>
      </c>
      <c r="D13" s="370">
        <v>1133877</v>
      </c>
      <c r="E13" s="371">
        <f t="shared" si="1"/>
        <v>0.5374199055574014</v>
      </c>
      <c r="F13" s="371">
        <f t="shared" si="2"/>
        <v>0.5374199055574014</v>
      </c>
      <c r="G13" s="372">
        <f>D13-'[10]Oktobris'!D13</f>
        <v>119896</v>
      </c>
      <c r="H13" s="114" t="s">
        <v>109</v>
      </c>
      <c r="I13" s="247">
        <f t="shared" si="3"/>
        <v>2110</v>
      </c>
      <c r="J13" s="247">
        <f t="shared" si="3"/>
        <v>2110</v>
      </c>
      <c r="K13" s="247">
        <f t="shared" si="3"/>
        <v>1134</v>
      </c>
      <c r="L13" s="328">
        <f t="shared" si="4"/>
        <v>53.74407582938389</v>
      </c>
      <c r="M13" s="327">
        <f t="shared" si="0"/>
        <v>53.74407582938389</v>
      </c>
      <c r="N13" s="247">
        <f>K13-'[10]Oktobris'!K13</f>
        <v>120</v>
      </c>
    </row>
    <row r="14" spans="1:14" ht="21.75" customHeight="1">
      <c r="A14" s="325" t="s">
        <v>366</v>
      </c>
      <c r="B14" s="329">
        <f>SUM(B15,B36)</f>
        <v>737587665</v>
      </c>
      <c r="C14" s="329">
        <f>SUM(C15,C36)</f>
        <v>698421647</v>
      </c>
      <c r="D14" s="329">
        <f>SUM(D15,D36)</f>
        <v>656151544</v>
      </c>
      <c r="E14" s="366">
        <f t="shared" si="1"/>
        <v>0.889591265059998</v>
      </c>
      <c r="F14" s="366">
        <f t="shared" si="2"/>
        <v>0.9394776734347124</v>
      </c>
      <c r="G14" s="373">
        <f>SUM(G15,G36)</f>
        <v>61359887</v>
      </c>
      <c r="H14" s="325" t="s">
        <v>366</v>
      </c>
      <c r="I14" s="329">
        <f>SUM(I15,I36)</f>
        <v>737587</v>
      </c>
      <c r="J14" s="329">
        <f>SUM(J15,J36)</f>
        <v>698421</v>
      </c>
      <c r="K14" s="329">
        <f>SUM(K15,K36)</f>
        <v>656152</v>
      </c>
      <c r="L14" s="330">
        <f t="shared" si="4"/>
        <v>88.95926853374586</v>
      </c>
      <c r="M14" s="328">
        <f t="shared" si="0"/>
        <v>93.94791966450036</v>
      </c>
      <c r="N14" s="243">
        <f>K14-'[10]Oktobris'!K14-1</f>
        <v>61359</v>
      </c>
    </row>
    <row r="15" spans="1:14" ht="20.25" customHeight="1">
      <c r="A15" s="331" t="s">
        <v>513</v>
      </c>
      <c r="B15" s="332">
        <f>SUM(B16,B21,B24)</f>
        <v>705943293</v>
      </c>
      <c r="C15" s="332">
        <f>SUM(C16,C21,C24)</f>
        <v>666814354</v>
      </c>
      <c r="D15" s="332">
        <f>SUM(D16,D21,D24)</f>
        <v>632246228</v>
      </c>
      <c r="E15" s="366">
        <f t="shared" si="1"/>
        <v>0.8956048372004294</v>
      </c>
      <c r="F15" s="366">
        <f t="shared" si="2"/>
        <v>0.9481592953231478</v>
      </c>
      <c r="G15" s="374">
        <f>SUM(G16,G21,G24)</f>
        <v>59286303</v>
      </c>
      <c r="H15" s="331" t="s">
        <v>513</v>
      </c>
      <c r="I15" s="332">
        <f>SUM(I16,I21,I24)</f>
        <v>705943</v>
      </c>
      <c r="J15" s="332">
        <f>SUM(J16,J21,J24)</f>
        <v>666814</v>
      </c>
      <c r="K15" s="332">
        <f>SUM(K16,K21,K24)</f>
        <v>632247</v>
      </c>
      <c r="L15" s="330">
        <f t="shared" si="4"/>
        <v>89.56063024918443</v>
      </c>
      <c r="M15" s="328">
        <f t="shared" si="0"/>
        <v>94.81609564286293</v>
      </c>
      <c r="N15" s="243">
        <f>K15-'[10]Oktobris'!K15-2</f>
        <v>59285</v>
      </c>
    </row>
    <row r="16" spans="1:14" ht="18.75" customHeight="1">
      <c r="A16" s="331" t="s">
        <v>368</v>
      </c>
      <c r="B16" s="332">
        <v>25706206</v>
      </c>
      <c r="C16" s="332">
        <v>24622075</v>
      </c>
      <c r="D16" s="332">
        <f>SUM(D17,D18,D19,D20)</f>
        <v>22931478</v>
      </c>
      <c r="E16" s="366">
        <f t="shared" si="1"/>
        <v>0.8920599951622578</v>
      </c>
      <c r="F16" s="366">
        <f t="shared" si="2"/>
        <v>0.9313381589488294</v>
      </c>
      <c r="G16" s="374">
        <f>SUM(G17,G18,G19,G20)</f>
        <v>2034780</v>
      </c>
      <c r="H16" s="331" t="s">
        <v>368</v>
      </c>
      <c r="I16" s="332">
        <f>ROUND(B16/1000,0)</f>
        <v>25706</v>
      </c>
      <c r="J16" s="332">
        <f>ROUND(C16/1000,0)</f>
        <v>24622</v>
      </c>
      <c r="K16" s="332">
        <f>SUM(K17,K18,K19,K20)+1</f>
        <v>22932</v>
      </c>
      <c r="L16" s="330">
        <f t="shared" si="4"/>
        <v>89.20874504006846</v>
      </c>
      <c r="M16" s="328">
        <f t="shared" si="0"/>
        <v>93.13621964097149</v>
      </c>
      <c r="N16" s="243">
        <f>K16-'[10]Oktobris'!K16</f>
        <v>2036</v>
      </c>
    </row>
    <row r="17" spans="1:14" ht="14.25">
      <c r="A17" s="375" t="s">
        <v>369</v>
      </c>
      <c r="B17" s="376">
        <v>1262850</v>
      </c>
      <c r="C17" s="376">
        <v>1407781</v>
      </c>
      <c r="D17" s="376">
        <f>'[7]Novembris'!$Z$10</f>
        <v>1070057</v>
      </c>
      <c r="E17" s="371">
        <f t="shared" si="1"/>
        <v>0.8473349962386665</v>
      </c>
      <c r="F17" s="371">
        <f t="shared" si="2"/>
        <v>0.7601018908480793</v>
      </c>
      <c r="G17" s="377">
        <f>D17-'[10]Oktobris'!D17</f>
        <v>95802</v>
      </c>
      <c r="H17" s="291" t="s">
        <v>369</v>
      </c>
      <c r="I17" s="333">
        <f>ROUND(B17/1000,0)</f>
        <v>1263</v>
      </c>
      <c r="J17" s="333">
        <f>ROUND(C17/1000,0)</f>
        <v>1408</v>
      </c>
      <c r="K17" s="247">
        <f>ROUND(D17/1000,0)</f>
        <v>1070</v>
      </c>
      <c r="L17" s="328">
        <f t="shared" si="4"/>
        <v>84.71892319873318</v>
      </c>
      <c r="M17" s="328"/>
      <c r="N17" s="247">
        <f>K17-'[10]Oktobris'!K17</f>
        <v>96</v>
      </c>
    </row>
    <row r="18" spans="1:14" ht="28.5">
      <c r="A18" s="368" t="s">
        <v>370</v>
      </c>
      <c r="B18" s="342" t="s">
        <v>146</v>
      </c>
      <c r="C18" s="342" t="s">
        <v>146</v>
      </c>
      <c r="D18" s="376">
        <f>'[7]Novembris'!$Z$11</f>
        <v>299425</v>
      </c>
      <c r="E18" s="378" t="s">
        <v>146</v>
      </c>
      <c r="F18" s="343" t="s">
        <v>146</v>
      </c>
      <c r="G18" s="377">
        <f>D18-'[10]Oktobris'!D18</f>
        <v>27716</v>
      </c>
      <c r="H18" s="114" t="s">
        <v>370</v>
      </c>
      <c r="I18" s="249" t="s">
        <v>146</v>
      </c>
      <c r="J18" s="249" t="s">
        <v>146</v>
      </c>
      <c r="K18" s="247">
        <f>ROUND(D18/1000,0)</f>
        <v>299</v>
      </c>
      <c r="L18" s="334" t="s">
        <v>146</v>
      </c>
      <c r="M18" s="271" t="s">
        <v>146</v>
      </c>
      <c r="N18" s="247">
        <f>K18-'[10]Oktobris'!K18</f>
        <v>27</v>
      </c>
    </row>
    <row r="19" spans="1:14" ht="14.25">
      <c r="A19" s="368" t="s">
        <v>371</v>
      </c>
      <c r="B19" s="342" t="s">
        <v>146</v>
      </c>
      <c r="C19" s="342" t="s">
        <v>146</v>
      </c>
      <c r="D19" s="376">
        <f>'[7]Novembris'!$Z$12</f>
        <v>18592853</v>
      </c>
      <c r="E19" s="378" t="s">
        <v>146</v>
      </c>
      <c r="F19" s="343" t="s">
        <v>146</v>
      </c>
      <c r="G19" s="377">
        <f>D19-'[10]Oktobris'!D19</f>
        <v>1532754</v>
      </c>
      <c r="H19" s="114" t="s">
        <v>371</v>
      </c>
      <c r="I19" s="249" t="s">
        <v>146</v>
      </c>
      <c r="J19" s="249" t="s">
        <v>146</v>
      </c>
      <c r="K19" s="247">
        <f>ROUND(D19/1000,0)</f>
        <v>18593</v>
      </c>
      <c r="L19" s="334" t="s">
        <v>146</v>
      </c>
      <c r="M19" s="271" t="s">
        <v>146</v>
      </c>
      <c r="N19" s="247">
        <f>K19-'[10]Oktobris'!K19</f>
        <v>1533</v>
      </c>
    </row>
    <row r="20" spans="1:14" ht="14.25">
      <c r="A20" s="368" t="s">
        <v>514</v>
      </c>
      <c r="B20" s="376">
        <v>2967682</v>
      </c>
      <c r="C20" s="342" t="s">
        <v>146</v>
      </c>
      <c r="D20" s="376">
        <f>'[7]Novembris'!$Z$15</f>
        <v>2969143</v>
      </c>
      <c r="E20" s="378" t="s">
        <v>146</v>
      </c>
      <c r="F20" s="343" t="s">
        <v>146</v>
      </c>
      <c r="G20" s="377">
        <f>D20-'[10]Oktobris'!D20</f>
        <v>378508</v>
      </c>
      <c r="H20" s="114" t="s">
        <v>514</v>
      </c>
      <c r="I20" s="249" t="s">
        <v>146</v>
      </c>
      <c r="J20" s="249" t="s">
        <v>146</v>
      </c>
      <c r="K20" s="247">
        <f>ROUND(D20/1000,0)</f>
        <v>2969</v>
      </c>
      <c r="L20" s="334" t="s">
        <v>146</v>
      </c>
      <c r="M20" s="271" t="s">
        <v>146</v>
      </c>
      <c r="N20" s="247">
        <f>K20-'[10]Oktobris'!K20</f>
        <v>378</v>
      </c>
    </row>
    <row r="21" spans="1:14" ht="30.75" customHeight="1">
      <c r="A21" s="335" t="s">
        <v>373</v>
      </c>
      <c r="B21" s="376">
        <v>5905794</v>
      </c>
      <c r="C21" s="376">
        <f>3743142+134664+296329+352329+413329+544329+489329+450329+297329+543329+422329+206375</f>
        <v>7893142</v>
      </c>
      <c r="D21" s="376">
        <f>SUM(D22:D23)</f>
        <v>5525966</v>
      </c>
      <c r="E21" s="371">
        <f>IF(ISERROR(D21/B21)," ",(D21/B21))</f>
        <v>0.9356855318692118</v>
      </c>
      <c r="F21" s="371">
        <f>IF(ISERROR(D21/C21)," ",(D21/C21))</f>
        <v>0.7000971222866635</v>
      </c>
      <c r="G21" s="377">
        <f>SUM(G22:G23)</f>
        <v>194343</v>
      </c>
      <c r="H21" s="335" t="s">
        <v>373</v>
      </c>
      <c r="I21" s="326">
        <f>ROUND(B21/1000,0)</f>
        <v>5906</v>
      </c>
      <c r="J21" s="326">
        <f>ROUND(C21/1000,0)</f>
        <v>7893</v>
      </c>
      <c r="K21" s="336">
        <f>SUM(K22:K23)</f>
        <v>5526</v>
      </c>
      <c r="L21" s="328">
        <f t="shared" si="4"/>
        <v>93.56586522180834</v>
      </c>
      <c r="M21" s="328">
        <f>IF(ISERROR(ROUND(K21,0)/ROUND(J21,0))," ",(ROUND(K21,)/ROUND(J21,)))*100</f>
        <v>70.01140250855188</v>
      </c>
      <c r="N21" s="243">
        <f>K21-'[10]Oktobris'!K21</f>
        <v>194</v>
      </c>
    </row>
    <row r="22" spans="1:14" ht="27.75" customHeight="1">
      <c r="A22" s="368" t="s">
        <v>515</v>
      </c>
      <c r="B22" s="342" t="s">
        <v>146</v>
      </c>
      <c r="C22" s="342" t="s">
        <v>146</v>
      </c>
      <c r="D22" s="376">
        <f>'[7]Novembris'!$Z$17</f>
        <v>3648116</v>
      </c>
      <c r="E22" s="378" t="s">
        <v>146</v>
      </c>
      <c r="F22" s="343" t="s">
        <v>146</v>
      </c>
      <c r="G22" s="377">
        <f>D22-'[10]Oktobris'!D22</f>
        <v>104322</v>
      </c>
      <c r="H22" s="114" t="s">
        <v>515</v>
      </c>
      <c r="I22" s="249" t="s">
        <v>146</v>
      </c>
      <c r="J22" s="249" t="s">
        <v>146</v>
      </c>
      <c r="K22" s="247">
        <f>ROUND(D22/1000,0)</f>
        <v>3648</v>
      </c>
      <c r="L22" s="271" t="s">
        <v>146</v>
      </c>
      <c r="M22" s="271" t="s">
        <v>146</v>
      </c>
      <c r="N22" s="247">
        <f>K22-'[10]Oktobris'!K22</f>
        <v>104</v>
      </c>
    </row>
    <row r="23" spans="1:14" ht="27" customHeight="1">
      <c r="A23" s="368" t="s">
        <v>516</v>
      </c>
      <c r="B23" s="342" t="s">
        <v>146</v>
      </c>
      <c r="C23" s="342" t="s">
        <v>146</v>
      </c>
      <c r="D23" s="376">
        <f>'[7]Novembris'!$Z$18</f>
        <v>1877850</v>
      </c>
      <c r="E23" s="378" t="s">
        <v>146</v>
      </c>
      <c r="F23" s="343" t="s">
        <v>146</v>
      </c>
      <c r="G23" s="377">
        <f>D23-'[10]Oktobris'!D23</f>
        <v>90021</v>
      </c>
      <c r="H23" s="114" t="s">
        <v>516</v>
      </c>
      <c r="I23" s="249" t="s">
        <v>146</v>
      </c>
      <c r="J23" s="249" t="s">
        <v>146</v>
      </c>
      <c r="K23" s="247">
        <f>ROUND(D23/1000,0)</f>
        <v>1878</v>
      </c>
      <c r="L23" s="271" t="s">
        <v>146</v>
      </c>
      <c r="M23" s="271" t="s">
        <v>146</v>
      </c>
      <c r="N23" s="247">
        <f>K23-'[10]Oktobris'!K23</f>
        <v>90</v>
      </c>
    </row>
    <row r="24" spans="1:14" ht="16.5" customHeight="1">
      <c r="A24" s="379" t="s">
        <v>378</v>
      </c>
      <c r="B24" s="376">
        <v>674331293</v>
      </c>
      <c r="C24" s="376">
        <f>147361210+354854737+39924982+44491261+47666947</f>
        <v>634299137</v>
      </c>
      <c r="D24" s="376">
        <f>SUM(D25,D26,D28,D27,D29,D34,D35)</f>
        <v>603788784</v>
      </c>
      <c r="E24" s="371">
        <f>IF(ISERROR(D24/B24)," ",(D24/B24))</f>
        <v>0.8953889434877524</v>
      </c>
      <c r="F24" s="371">
        <f>IF(ISERROR(D24/C24)," ",(D24/C24))</f>
        <v>0.9518991100251174</v>
      </c>
      <c r="G24" s="377">
        <f>SUM(G25,G26,G28,G27,G29,G34,G35)</f>
        <v>57057180</v>
      </c>
      <c r="H24" s="85" t="s">
        <v>378</v>
      </c>
      <c r="I24" s="243">
        <f>ROUND(B24/1000,0)</f>
        <v>674331</v>
      </c>
      <c r="J24" s="243">
        <f>ROUND(C24/1000,0)</f>
        <v>634299</v>
      </c>
      <c r="K24" s="287">
        <f>SUM(K25,K26,K27,K28,K29,K34,K35)</f>
        <v>603789</v>
      </c>
      <c r="L24" s="328">
        <f t="shared" si="4"/>
        <v>89.53896528559416</v>
      </c>
      <c r="M24" s="328">
        <f>IF(ISERROR(ROUND(K24,0)/ROUND(J24,0))," ",(ROUND(K24,)/ROUND(J24,)))*100</f>
        <v>95.18996561558508</v>
      </c>
      <c r="N24" s="243">
        <f>K24-'[10]Oktobris'!K24</f>
        <v>57057</v>
      </c>
    </row>
    <row r="25" spans="1:14" ht="15.75" customHeight="1">
      <c r="A25" s="375" t="s">
        <v>379</v>
      </c>
      <c r="B25" s="342" t="s">
        <v>146</v>
      </c>
      <c r="C25" s="342" t="s">
        <v>146</v>
      </c>
      <c r="D25" s="376">
        <f>'[7]Novembris'!$Z$20</f>
        <v>1944031</v>
      </c>
      <c r="E25" s="378" t="s">
        <v>146</v>
      </c>
      <c r="F25" s="343" t="s">
        <v>146</v>
      </c>
      <c r="G25" s="377">
        <f>D25-'[10]Oktobris'!D25</f>
        <v>220188</v>
      </c>
      <c r="H25" s="291" t="s">
        <v>379</v>
      </c>
      <c r="I25" s="249" t="s">
        <v>146</v>
      </c>
      <c r="J25" s="249" t="s">
        <v>146</v>
      </c>
      <c r="K25" s="247">
        <f>ROUND(D25/1000,0)</f>
        <v>1944</v>
      </c>
      <c r="L25" s="271" t="s">
        <v>146</v>
      </c>
      <c r="M25" s="271" t="s">
        <v>146</v>
      </c>
      <c r="N25" s="247">
        <f>K25-'[10]Oktobris'!K25</f>
        <v>220</v>
      </c>
    </row>
    <row r="26" spans="1:14" ht="14.25">
      <c r="A26" s="375" t="s">
        <v>380</v>
      </c>
      <c r="B26" s="342" t="s">
        <v>146</v>
      </c>
      <c r="C26" s="342" t="s">
        <v>146</v>
      </c>
      <c r="D26" s="376">
        <f>'[7]Novembris'!$Z$21</f>
        <v>16406300</v>
      </c>
      <c r="E26" s="378" t="s">
        <v>146</v>
      </c>
      <c r="F26" s="343" t="s">
        <v>146</v>
      </c>
      <c r="G26" s="377">
        <f>D26-'[10]Oktobris'!D26</f>
        <v>1661406</v>
      </c>
      <c r="H26" s="291" t="s">
        <v>517</v>
      </c>
      <c r="I26" s="249" t="s">
        <v>146</v>
      </c>
      <c r="J26" s="249" t="s">
        <v>146</v>
      </c>
      <c r="K26" s="247">
        <f>ROUND(D26/1000,0)</f>
        <v>16406</v>
      </c>
      <c r="L26" s="271" t="s">
        <v>146</v>
      </c>
      <c r="M26" s="271" t="s">
        <v>146</v>
      </c>
      <c r="N26" s="247">
        <f>K26-'[10]Oktobris'!K26</f>
        <v>1661</v>
      </c>
    </row>
    <row r="27" spans="1:14" ht="14.25">
      <c r="A27" s="375" t="s">
        <v>381</v>
      </c>
      <c r="B27" s="342" t="s">
        <v>146</v>
      </c>
      <c r="C27" s="342" t="s">
        <v>146</v>
      </c>
      <c r="D27" s="376"/>
      <c r="E27" s="343" t="s">
        <v>146</v>
      </c>
      <c r="F27" s="343" t="s">
        <v>146</v>
      </c>
      <c r="G27" s="377">
        <f>D27-'[10]Oktobris'!D27</f>
        <v>-1199842</v>
      </c>
      <c r="H27" s="291" t="s">
        <v>381</v>
      </c>
      <c r="I27" s="271" t="s">
        <v>146</v>
      </c>
      <c r="J27" s="271" t="s">
        <v>146</v>
      </c>
      <c r="K27" s="247">
        <f>ROUND(D27/1000,0)</f>
        <v>0</v>
      </c>
      <c r="L27" s="271" t="s">
        <v>146</v>
      </c>
      <c r="M27" s="271" t="s">
        <v>146</v>
      </c>
      <c r="N27" s="247">
        <f>K27-'[10]Oktobris'!K27</f>
        <v>-1200</v>
      </c>
    </row>
    <row r="28" spans="1:14" ht="28.5">
      <c r="A28" s="368" t="s">
        <v>382</v>
      </c>
      <c r="B28" s="342" t="s">
        <v>146</v>
      </c>
      <c r="C28" s="342" t="s">
        <v>146</v>
      </c>
      <c r="D28" s="376">
        <f>'[7]Novembris'!$Z$23-D35</f>
        <v>135536572</v>
      </c>
      <c r="E28" s="378" t="s">
        <v>146</v>
      </c>
      <c r="F28" s="343" t="s">
        <v>146</v>
      </c>
      <c r="G28" s="377">
        <f>D28-'[10]Oktobris'!D28</f>
        <v>15727181</v>
      </c>
      <c r="H28" s="114" t="s">
        <v>382</v>
      </c>
      <c r="I28" s="249" t="s">
        <v>146</v>
      </c>
      <c r="J28" s="249" t="s">
        <v>146</v>
      </c>
      <c r="K28" s="247">
        <f>ROUND(D28/1000,0)</f>
        <v>135537</v>
      </c>
      <c r="L28" s="271" t="s">
        <v>146</v>
      </c>
      <c r="M28" s="271" t="s">
        <v>146</v>
      </c>
      <c r="N28" s="247">
        <f>K28-'[10]Oktobris'!K28</f>
        <v>15728</v>
      </c>
    </row>
    <row r="29" spans="1:14" ht="15" customHeight="1">
      <c r="A29" s="368" t="s">
        <v>530</v>
      </c>
      <c r="B29" s="342" t="s">
        <v>146</v>
      </c>
      <c r="C29" s="342" t="s">
        <v>146</v>
      </c>
      <c r="D29" s="376">
        <f>SUM(D30:D33)</f>
        <v>448744954</v>
      </c>
      <c r="E29" s="378" t="s">
        <v>146</v>
      </c>
      <c r="F29" s="343" t="s">
        <v>146</v>
      </c>
      <c r="G29" s="377">
        <f>SUM(G30:G33)</f>
        <v>40548047</v>
      </c>
      <c r="H29" s="114" t="s">
        <v>387</v>
      </c>
      <c r="I29" s="249" t="s">
        <v>146</v>
      </c>
      <c r="J29" s="249" t="s">
        <v>146</v>
      </c>
      <c r="K29" s="296">
        <f>SUM(K30:K33)</f>
        <v>448745</v>
      </c>
      <c r="L29" s="271" t="s">
        <v>146</v>
      </c>
      <c r="M29" s="271" t="s">
        <v>146</v>
      </c>
      <c r="N29" s="247">
        <f>K29-'[10]Oktobris'!K29</f>
        <v>40548</v>
      </c>
    </row>
    <row r="30" spans="1:14" s="385" customFormat="1" ht="15" customHeight="1">
      <c r="A30" s="380" t="s">
        <v>518</v>
      </c>
      <c r="B30" s="381" t="s">
        <v>146</v>
      </c>
      <c r="C30" s="381" t="s">
        <v>146</v>
      </c>
      <c r="D30" s="382">
        <v>410638084</v>
      </c>
      <c r="E30" s="383" t="s">
        <v>146</v>
      </c>
      <c r="F30" s="384" t="s">
        <v>146</v>
      </c>
      <c r="G30" s="377">
        <f>D30-'[10]Oktobris'!D30</f>
        <v>37494978</v>
      </c>
      <c r="H30" s="268" t="s">
        <v>518</v>
      </c>
      <c r="I30" s="265" t="s">
        <v>146</v>
      </c>
      <c r="J30" s="265" t="s">
        <v>146</v>
      </c>
      <c r="K30" s="247">
        <f aca="true" t="shared" si="5" ref="K30:K35">ROUND(D30/1000,0)</f>
        <v>410638</v>
      </c>
      <c r="L30" s="271" t="s">
        <v>146</v>
      </c>
      <c r="M30" s="337" t="s">
        <v>146</v>
      </c>
      <c r="N30" s="247">
        <f>K30-'[10]Oktobris'!K30</f>
        <v>37495</v>
      </c>
    </row>
    <row r="31" spans="1:14" s="385" customFormat="1" ht="15" customHeight="1">
      <c r="A31" s="380" t="s">
        <v>519</v>
      </c>
      <c r="B31" s="381" t="s">
        <v>146</v>
      </c>
      <c r="C31" s="381" t="s">
        <v>146</v>
      </c>
      <c r="D31" s="382">
        <v>37134215</v>
      </c>
      <c r="E31" s="383" t="s">
        <v>146</v>
      </c>
      <c r="F31" s="384" t="s">
        <v>146</v>
      </c>
      <c r="G31" s="377">
        <f>D31-'[10]Oktobris'!D31</f>
        <v>2950208</v>
      </c>
      <c r="H31" s="268" t="s">
        <v>519</v>
      </c>
      <c r="I31" s="265" t="s">
        <v>146</v>
      </c>
      <c r="J31" s="265" t="s">
        <v>146</v>
      </c>
      <c r="K31" s="247">
        <f t="shared" si="5"/>
        <v>37134</v>
      </c>
      <c r="L31" s="271" t="s">
        <v>146</v>
      </c>
      <c r="M31" s="337" t="s">
        <v>146</v>
      </c>
      <c r="N31" s="247">
        <f>K31-'[10]Oktobris'!K31</f>
        <v>2950</v>
      </c>
    </row>
    <row r="32" spans="1:14" s="385" customFormat="1" ht="15" customHeight="1">
      <c r="A32" s="380" t="s">
        <v>520</v>
      </c>
      <c r="B32" s="381" t="s">
        <v>146</v>
      </c>
      <c r="C32" s="381" t="s">
        <v>146</v>
      </c>
      <c r="D32" s="382">
        <v>572482</v>
      </c>
      <c r="E32" s="383" t="s">
        <v>146</v>
      </c>
      <c r="F32" s="384" t="s">
        <v>146</v>
      </c>
      <c r="G32" s="377">
        <f>D32-'[10]Oktobris'!D32</f>
        <v>44684</v>
      </c>
      <c r="H32" s="268" t="s">
        <v>520</v>
      </c>
      <c r="I32" s="265" t="s">
        <v>146</v>
      </c>
      <c r="J32" s="265" t="s">
        <v>146</v>
      </c>
      <c r="K32" s="247">
        <f>ROUND(D32/1000,0)+1</f>
        <v>573</v>
      </c>
      <c r="L32" s="271" t="s">
        <v>146</v>
      </c>
      <c r="M32" s="337" t="s">
        <v>146</v>
      </c>
      <c r="N32" s="247">
        <f>K32-'[10]Oktobris'!K32</f>
        <v>45</v>
      </c>
    </row>
    <row r="33" spans="1:14" s="385" customFormat="1" ht="15" customHeight="1">
      <c r="A33" s="380" t="s">
        <v>521</v>
      </c>
      <c r="B33" s="381" t="s">
        <v>146</v>
      </c>
      <c r="C33" s="381" t="s">
        <v>146</v>
      </c>
      <c r="D33" s="382">
        <f>386962+13211</f>
        <v>400173</v>
      </c>
      <c r="E33" s="383" t="s">
        <v>146</v>
      </c>
      <c r="F33" s="384" t="s">
        <v>146</v>
      </c>
      <c r="G33" s="377">
        <f>D33-'[10]Oktobris'!D33</f>
        <v>58177</v>
      </c>
      <c r="H33" s="268" t="s">
        <v>521</v>
      </c>
      <c r="I33" s="265" t="s">
        <v>146</v>
      </c>
      <c r="J33" s="265" t="s">
        <v>146</v>
      </c>
      <c r="K33" s="338">
        <f t="shared" si="5"/>
        <v>400</v>
      </c>
      <c r="L33" s="271" t="s">
        <v>146</v>
      </c>
      <c r="M33" s="337" t="s">
        <v>146</v>
      </c>
      <c r="N33" s="247">
        <f>K33-'[10]Oktobris'!K33</f>
        <v>58</v>
      </c>
    </row>
    <row r="34" spans="1:14" ht="28.5">
      <c r="A34" s="368" t="s">
        <v>522</v>
      </c>
      <c r="B34" s="381">
        <v>55765</v>
      </c>
      <c r="C34" s="381">
        <v>55765</v>
      </c>
      <c r="D34" s="376">
        <f>'[7]Novembris'!$Z$29</f>
        <v>55827</v>
      </c>
      <c r="E34" s="371">
        <f>IF(ISERROR(D34/B34)," ",(D34/B34))</f>
        <v>1.0011118084820227</v>
      </c>
      <c r="F34" s="371">
        <f>IF(ISERROR(D34/C34)," ",(D34/C34))</f>
        <v>1.0011118084820227</v>
      </c>
      <c r="G34" s="377">
        <f>D34-'[10]Oktobris'!D34</f>
        <v>0</v>
      </c>
      <c r="H34" s="114" t="s">
        <v>522</v>
      </c>
      <c r="I34" s="244">
        <f>ROUND(B34/1000,0)</f>
        <v>56</v>
      </c>
      <c r="J34" s="244">
        <f>ROUND(C34/1000,0)</f>
        <v>56</v>
      </c>
      <c r="K34" s="247">
        <f t="shared" si="5"/>
        <v>56</v>
      </c>
      <c r="L34" s="328">
        <f t="shared" si="4"/>
        <v>100</v>
      </c>
      <c r="M34" s="328"/>
      <c r="N34" s="247">
        <v>0</v>
      </c>
    </row>
    <row r="35" spans="1:14" ht="42.75">
      <c r="A35" s="368" t="s">
        <v>523</v>
      </c>
      <c r="B35" s="381">
        <v>1201200</v>
      </c>
      <c r="C35" s="381" t="s">
        <v>146</v>
      </c>
      <c r="D35" s="376">
        <f>'[7]Novembris'!$C$24</f>
        <v>1101100</v>
      </c>
      <c r="E35" s="371">
        <f>IF(ISERROR(D35/B35)," ",(D35/B35))</f>
        <v>0.9166666666666666</v>
      </c>
      <c r="F35" s="384" t="s">
        <v>146</v>
      </c>
      <c r="G35" s="377">
        <f>D35-'[10]Oktobris'!D35</f>
        <v>100200</v>
      </c>
      <c r="H35" s="114" t="s">
        <v>523</v>
      </c>
      <c r="I35" s="244">
        <f>ROUND(B35/1000,0)</f>
        <v>1201</v>
      </c>
      <c r="J35" s="265" t="s">
        <v>146</v>
      </c>
      <c r="K35" s="247">
        <f t="shared" si="5"/>
        <v>1101</v>
      </c>
      <c r="L35" s="328">
        <f t="shared" si="4"/>
        <v>91.67360532889259</v>
      </c>
      <c r="M35" s="337" t="s">
        <v>146</v>
      </c>
      <c r="N35" s="247">
        <f>K35-'[10]Oktobris'!K35</f>
        <v>100</v>
      </c>
    </row>
    <row r="36" spans="1:14" ht="32.25" customHeight="1">
      <c r="A36" s="339" t="s">
        <v>397</v>
      </c>
      <c r="B36" s="340">
        <f>SUM(B37:B38)</f>
        <v>31644372</v>
      </c>
      <c r="C36" s="340">
        <f>SUM(C37:C38)</f>
        <v>31607293</v>
      </c>
      <c r="D36" s="340">
        <f>SUM(D37:D38)</f>
        <v>23905316</v>
      </c>
      <c r="E36" s="366">
        <f>IF(ISERROR(D36/B36)," ",(D36/B36))</f>
        <v>0.7554365749460915</v>
      </c>
      <c r="F36" s="366">
        <f>IF(ISERROR(D36/C36)," ",(D36/C36))</f>
        <v>0.7563227891740049</v>
      </c>
      <c r="G36" s="386">
        <f>SUM(G37:G38)</f>
        <v>2073584</v>
      </c>
      <c r="H36" s="339" t="s">
        <v>397</v>
      </c>
      <c r="I36" s="340">
        <f>SUM(I37:I38)</f>
        <v>31644</v>
      </c>
      <c r="J36" s="340">
        <f>SUM(J37:J38)</f>
        <v>31607</v>
      </c>
      <c r="K36" s="340">
        <f>SUM(K37:K38)</f>
        <v>23905</v>
      </c>
      <c r="L36" s="327">
        <f t="shared" si="4"/>
        <v>75.5435469599292</v>
      </c>
      <c r="M36" s="341">
        <f>IF(ISERROR(ROUND(K36,0)/ROUND(J36,0))," ",(ROUND(K36,)/ROUND(J36,)))*100</f>
        <v>75.63198025753789</v>
      </c>
      <c r="N36" s="243">
        <f>K36-'[10]Oktobris'!K36+1</f>
        <v>2074</v>
      </c>
    </row>
    <row r="37" spans="1:14" ht="18" customHeight="1">
      <c r="A37" s="368" t="s">
        <v>399</v>
      </c>
      <c r="B37" s="387">
        <v>11036396</v>
      </c>
      <c r="C37" s="387">
        <v>10772304</v>
      </c>
      <c r="D37" s="376">
        <f>'[7]Novembris'!$Z$31</f>
        <v>8987457</v>
      </c>
      <c r="E37" s="371">
        <f>IF(ISERROR(D37/B37)," ",(D37/B37))</f>
        <v>0.8143470930184092</v>
      </c>
      <c r="F37" s="371">
        <f>IF(ISERROR(D37/C37)," ",(D37/C37))</f>
        <v>0.8343114899096795</v>
      </c>
      <c r="G37" s="377">
        <f>D37-'[10]Oktobris'!D37</f>
        <v>750633</v>
      </c>
      <c r="H37" s="114" t="s">
        <v>399</v>
      </c>
      <c r="I37" s="333">
        <f aca="true" t="shared" si="6" ref="I37:K38">ROUND(B37/1000,0)</f>
        <v>11036</v>
      </c>
      <c r="J37" s="333">
        <f t="shared" si="6"/>
        <v>10772</v>
      </c>
      <c r="K37" s="247">
        <f t="shared" si="6"/>
        <v>8987</v>
      </c>
      <c r="L37" s="328">
        <f t="shared" si="4"/>
        <v>81.43349039507068</v>
      </c>
      <c r="M37" s="328"/>
      <c r="N37" s="247">
        <f>K37-'[10]Oktobris'!K37</f>
        <v>750</v>
      </c>
    </row>
    <row r="38" spans="1:14" ht="14.25">
      <c r="A38" s="368" t="s">
        <v>401</v>
      </c>
      <c r="B38" s="387">
        <v>20607976</v>
      </c>
      <c r="C38" s="387">
        <f>16833989+162741+426941+417131+681591+253440+536050+180000+291000+608000+189000+255106</f>
        <v>20834989</v>
      </c>
      <c r="D38" s="382">
        <f>'[7]Novembris'!$Z$32</f>
        <v>14917859</v>
      </c>
      <c r="E38" s="371">
        <f>IF(ISERROR(D38/B38)," ",(D38/B38))</f>
        <v>0.7238876345741085</v>
      </c>
      <c r="F38" s="371">
        <f>IF(ISERROR(D38/C38)," ",(D38/C38))</f>
        <v>0.7160003300217725</v>
      </c>
      <c r="G38" s="377">
        <f>D38-'[10]Oktobris'!D38</f>
        <v>1322951</v>
      </c>
      <c r="H38" s="114" t="s">
        <v>401</v>
      </c>
      <c r="I38" s="333">
        <f t="shared" si="6"/>
        <v>20608</v>
      </c>
      <c r="J38" s="333">
        <f t="shared" si="6"/>
        <v>20835</v>
      </c>
      <c r="K38" s="247">
        <f t="shared" si="6"/>
        <v>14918</v>
      </c>
      <c r="L38" s="328">
        <f t="shared" si="4"/>
        <v>72.38936335403726</v>
      </c>
      <c r="M38" s="328">
        <f>IF(ISERROR(ROUND(K38,0)/ROUND(J38,0))," ",(ROUND(K38,)/ROUND(J38,)))*100</f>
        <v>71.6006719462443</v>
      </c>
      <c r="N38" s="247">
        <f>K38-'[10]Oktobris'!K38+1</f>
        <v>1324</v>
      </c>
    </row>
    <row r="39" spans="1:14" ht="30.75" customHeight="1">
      <c r="A39" s="335" t="s">
        <v>524</v>
      </c>
      <c r="B39" s="332">
        <f>SUM(B40-B41)</f>
        <v>6739620</v>
      </c>
      <c r="C39" s="342" t="s">
        <v>146</v>
      </c>
      <c r="D39" s="332">
        <f>SUM(D40-D41)</f>
        <v>4684751</v>
      </c>
      <c r="E39" s="378" t="s">
        <v>146</v>
      </c>
      <c r="F39" s="343" t="s">
        <v>146</v>
      </c>
      <c r="G39" s="374">
        <f>SUM(G40-G41)</f>
        <v>817945</v>
      </c>
      <c r="H39" s="335" t="s">
        <v>524</v>
      </c>
      <c r="I39" s="332">
        <f>ROUND(B39/1000,0)</f>
        <v>6740</v>
      </c>
      <c r="J39" s="342" t="s">
        <v>146</v>
      </c>
      <c r="K39" s="332">
        <f>SUM(K40-K41)</f>
        <v>4684</v>
      </c>
      <c r="L39" s="343" t="s">
        <v>146</v>
      </c>
      <c r="M39" s="343" t="s">
        <v>146</v>
      </c>
      <c r="N39" s="243">
        <f>K39-'[10]Oktobris'!K39</f>
        <v>818</v>
      </c>
    </row>
    <row r="40" spans="1:14" ht="19.5" customHeight="1">
      <c r="A40" s="375" t="s">
        <v>405</v>
      </c>
      <c r="B40" s="387">
        <v>6756000</v>
      </c>
      <c r="C40" s="342">
        <v>6427900</v>
      </c>
      <c r="D40" s="376">
        <f>'[7]Novembris'!$Z$34</f>
        <v>4736481</v>
      </c>
      <c r="E40" s="371">
        <f aca="true" t="shared" si="7" ref="E40:E45">IF(ISERROR(D40/B40)," ",(D40/B40))</f>
        <v>0.7010777087033748</v>
      </c>
      <c r="F40" s="371">
        <f>IF(ISERROR(D40/C40)," ",(D40/C40))</f>
        <v>0.7368628945689883</v>
      </c>
      <c r="G40" s="377">
        <f>D40-'[10]Oktobris'!D40</f>
        <v>824012</v>
      </c>
      <c r="H40" s="291" t="s">
        <v>405</v>
      </c>
      <c r="I40" s="247">
        <f>ROUND(B40/1000,0)</f>
        <v>6756</v>
      </c>
      <c r="J40" s="247">
        <f>ROUND(C40/1000,0)</f>
        <v>6428</v>
      </c>
      <c r="K40" s="247">
        <f>ROUND(D40/1000,0)</f>
        <v>4736</v>
      </c>
      <c r="L40" s="328">
        <f t="shared" si="4"/>
        <v>70.10065127294257</v>
      </c>
      <c r="M40" s="328"/>
      <c r="N40" s="247">
        <f>K40-'[10]Oktobris'!K40</f>
        <v>824</v>
      </c>
    </row>
    <row r="41" spans="1:14" ht="27.75" customHeight="1">
      <c r="A41" s="388" t="s">
        <v>407</v>
      </c>
      <c r="B41" s="387">
        <v>16380</v>
      </c>
      <c r="C41" s="342">
        <v>13095</v>
      </c>
      <c r="D41" s="376">
        <f>-'[7]Novembris'!$Z$35</f>
        <v>51730</v>
      </c>
      <c r="E41" s="371">
        <f t="shared" si="7"/>
        <v>3.158119658119658</v>
      </c>
      <c r="F41" s="371">
        <f>IF(ISERROR(D41/C41)," ",(D41/C41))</f>
        <v>3.9503627338678884</v>
      </c>
      <c r="G41" s="377">
        <f>D41-'[10]Oktobris'!D41</f>
        <v>6067</v>
      </c>
      <c r="H41" s="216" t="s">
        <v>407</v>
      </c>
      <c r="I41" s="247">
        <f>ROUND(B41/1000,0)</f>
        <v>16</v>
      </c>
      <c r="J41" s="247">
        <f>ROUND(C41/1000,0)</f>
        <v>13</v>
      </c>
      <c r="K41" s="247">
        <f>ROUND(D41/1000,0)</f>
        <v>52</v>
      </c>
      <c r="L41" s="328">
        <f t="shared" si="4"/>
        <v>325</v>
      </c>
      <c r="M41" s="271" t="s">
        <v>146</v>
      </c>
      <c r="N41" s="247">
        <f>K41-'[10]Oktobris'!K41</f>
        <v>6</v>
      </c>
    </row>
    <row r="42" spans="1:163" s="389" customFormat="1" ht="21.75" customHeight="1">
      <c r="A42" s="335" t="s">
        <v>525</v>
      </c>
      <c r="B42" s="340">
        <f>SUM(B10-B14-B39)</f>
        <v>-51394507</v>
      </c>
      <c r="C42" s="342" t="s">
        <v>146</v>
      </c>
      <c r="D42" s="340">
        <f>SUM(D10-D14-D39)</f>
        <v>-41076376</v>
      </c>
      <c r="E42" s="366">
        <f t="shared" si="7"/>
        <v>0.7992366966376387</v>
      </c>
      <c r="F42" s="343" t="s">
        <v>146</v>
      </c>
      <c r="G42" s="386">
        <f>SUM(G10-G14-G39)</f>
        <v>-40395170</v>
      </c>
      <c r="H42" s="335" t="s">
        <v>525</v>
      </c>
      <c r="I42" s="340">
        <f>ROUND(B42/1000,0)+1</f>
        <v>-51394</v>
      </c>
      <c r="J42" s="342" t="s">
        <v>146</v>
      </c>
      <c r="K42" s="340">
        <f>SUM(K10-K14-K39)</f>
        <v>-41076</v>
      </c>
      <c r="L42" s="327">
        <f t="shared" si="4"/>
        <v>79.9237265050395</v>
      </c>
      <c r="M42" s="343" t="s">
        <v>146</v>
      </c>
      <c r="N42" s="243">
        <f>K42-'[10]Oktobris'!K42</f>
        <v>-6128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</row>
    <row r="43" spans="1:163" s="389" customFormat="1" ht="18" customHeight="1">
      <c r="A43" s="335" t="s">
        <v>411</v>
      </c>
      <c r="B43" s="332">
        <f>SUM(B44:B45)</f>
        <v>51394507</v>
      </c>
      <c r="C43" s="342" t="s">
        <v>146</v>
      </c>
      <c r="D43" s="332">
        <f>SUM(D44:D45)</f>
        <v>41076376</v>
      </c>
      <c r="E43" s="371">
        <f t="shared" si="7"/>
        <v>0.7992366966376387</v>
      </c>
      <c r="F43" s="343" t="s">
        <v>146</v>
      </c>
      <c r="G43" s="374">
        <f>SUM(G44:G45)</f>
        <v>6128364</v>
      </c>
      <c r="H43" s="335" t="s">
        <v>411</v>
      </c>
      <c r="I43" s="332">
        <f>ROUND(B43/1000,0)-1</f>
        <v>51394</v>
      </c>
      <c r="J43" s="342" t="s">
        <v>146</v>
      </c>
      <c r="K43" s="332">
        <f>K44+K45</f>
        <v>41076</v>
      </c>
      <c r="L43" s="328">
        <f t="shared" si="4"/>
        <v>79.9237265050395</v>
      </c>
      <c r="M43" s="343" t="s">
        <v>146</v>
      </c>
      <c r="N43" s="243">
        <f>K43-'[10]Oktobris'!K43</f>
        <v>6128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</row>
    <row r="44" spans="1:163" s="389" customFormat="1" ht="30" customHeight="1">
      <c r="A44" s="368" t="s">
        <v>531</v>
      </c>
      <c r="B44" s="387">
        <v>50694324</v>
      </c>
      <c r="C44" s="342" t="s">
        <v>146</v>
      </c>
      <c r="D44" s="376">
        <f>53746121-6993993</f>
        <v>46752128</v>
      </c>
      <c r="E44" s="371">
        <f t="shared" si="7"/>
        <v>0.9222359489397669</v>
      </c>
      <c r="F44" s="343" t="s">
        <v>146</v>
      </c>
      <c r="G44" s="377">
        <f>D44-'[10]Oktobris'!D44</f>
        <v>1530863</v>
      </c>
      <c r="H44" s="114" t="s">
        <v>526</v>
      </c>
      <c r="I44" s="247">
        <f>ROUND(B44/1000,0)</f>
        <v>50694</v>
      </c>
      <c r="J44" s="249" t="s">
        <v>146</v>
      </c>
      <c r="K44" s="247">
        <f>ROUND(D44/1000,0)</f>
        <v>46752</v>
      </c>
      <c r="L44" s="328">
        <f t="shared" si="4"/>
        <v>92.22393182625163</v>
      </c>
      <c r="M44" s="271" t="s">
        <v>146</v>
      </c>
      <c r="N44" s="247">
        <f>K44-'[10]Oktobris'!K44</f>
        <v>1531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</row>
    <row r="45" spans="1:163" s="389" customFormat="1" ht="42.75" customHeight="1">
      <c r="A45" s="368" t="s">
        <v>527</v>
      </c>
      <c r="B45" s="387">
        <v>700183</v>
      </c>
      <c r="C45" s="342" t="s">
        <v>146</v>
      </c>
      <c r="D45" s="376">
        <f>-(D42+D44)</f>
        <v>-5675752</v>
      </c>
      <c r="E45" s="371">
        <f t="shared" si="7"/>
        <v>-8.106097977243092</v>
      </c>
      <c r="F45" s="343" t="s">
        <v>146</v>
      </c>
      <c r="G45" s="377">
        <f>D45-'[10]Oktobris'!D45</f>
        <v>4597501</v>
      </c>
      <c r="H45" s="114" t="s">
        <v>527</v>
      </c>
      <c r="I45" s="247">
        <f>ROUND(B45/1000,0)</f>
        <v>700</v>
      </c>
      <c r="J45" s="249" t="s">
        <v>146</v>
      </c>
      <c r="K45" s="247">
        <f>ROUND(D45/1000,0)</f>
        <v>-5676</v>
      </c>
      <c r="L45" s="328">
        <f t="shared" si="4"/>
        <v>-810.8571428571429</v>
      </c>
      <c r="M45" s="271" t="s">
        <v>146</v>
      </c>
      <c r="N45" s="247">
        <f>K45-'[10]Oktobris'!K45</f>
        <v>4597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</row>
    <row r="46" spans="1:14" s="347" customFormat="1" ht="14.25">
      <c r="A46" s="357"/>
      <c r="B46" s="390"/>
      <c r="C46" s="390"/>
      <c r="D46" s="391"/>
      <c r="E46" s="392"/>
      <c r="F46" s="393"/>
      <c r="H46" s="218"/>
      <c r="I46" s="344"/>
      <c r="J46" s="344"/>
      <c r="K46" s="219"/>
      <c r="L46" s="345"/>
      <c r="M46" s="346"/>
      <c r="N46" s="40"/>
    </row>
    <row r="47" spans="1:14" s="347" customFormat="1" ht="14.25">
      <c r="A47" s="357"/>
      <c r="B47" s="390"/>
      <c r="C47" s="390"/>
      <c r="D47" s="391"/>
      <c r="E47" s="392"/>
      <c r="F47" s="393"/>
      <c r="I47" s="344"/>
      <c r="J47" s="344"/>
      <c r="K47" s="219"/>
      <c r="L47" s="345"/>
      <c r="M47" s="346"/>
      <c r="N47" s="40"/>
    </row>
    <row r="48" spans="1:14" s="347" customFormat="1" ht="14.25">
      <c r="A48" s="357"/>
      <c r="B48" s="390"/>
      <c r="C48" s="390"/>
      <c r="D48" s="391"/>
      <c r="E48" s="392"/>
      <c r="F48" s="393"/>
      <c r="H48" s="218"/>
      <c r="I48" s="344"/>
      <c r="J48" s="344"/>
      <c r="K48" s="219"/>
      <c r="L48" s="345"/>
      <c r="M48" s="346"/>
      <c r="N48" s="40"/>
    </row>
    <row r="49" spans="1:14" s="347" customFormat="1" ht="14.25">
      <c r="A49" s="357"/>
      <c r="B49" s="390"/>
      <c r="C49" s="390"/>
      <c r="D49" s="391"/>
      <c r="E49" s="392"/>
      <c r="F49" s="393"/>
      <c r="I49" s="344"/>
      <c r="J49" s="344"/>
      <c r="K49" s="219"/>
      <c r="L49" s="345"/>
      <c r="M49" s="346"/>
      <c r="N49" s="40"/>
    </row>
    <row r="50" spans="1:14" s="347" customFormat="1" ht="14.25">
      <c r="A50" s="394" t="s">
        <v>416</v>
      </c>
      <c r="B50" s="390"/>
      <c r="C50" s="390"/>
      <c r="D50" s="391"/>
      <c r="E50" s="392"/>
      <c r="F50" s="393"/>
      <c r="I50" s="344"/>
      <c r="J50" s="344"/>
      <c r="K50" s="219"/>
      <c r="L50" s="345"/>
      <c r="M50" s="346"/>
      <c r="N50" s="40"/>
    </row>
    <row r="51" spans="1:14" s="347" customFormat="1" ht="14.25">
      <c r="A51" s="357"/>
      <c r="B51" s="390"/>
      <c r="C51" s="390"/>
      <c r="D51" s="391"/>
      <c r="E51" s="392"/>
      <c r="F51" s="393"/>
      <c r="H51" s="40"/>
      <c r="I51" s="344"/>
      <c r="J51" s="344"/>
      <c r="K51" s="219"/>
      <c r="L51" s="345"/>
      <c r="M51" s="346"/>
      <c r="N51" s="40"/>
    </row>
    <row r="52" spans="1:14" ht="14.25">
      <c r="A52" s="357"/>
      <c r="B52" s="355"/>
      <c r="C52" s="355"/>
      <c r="E52" s="392"/>
      <c r="F52" s="395"/>
      <c r="H52" s="3"/>
      <c r="I52" s="348"/>
      <c r="J52" s="348"/>
      <c r="K52" s="89"/>
      <c r="L52" s="345"/>
      <c r="M52" s="349"/>
      <c r="N52" s="3"/>
    </row>
    <row r="53" spans="2:14" ht="15">
      <c r="B53" s="355"/>
      <c r="C53" s="355"/>
      <c r="E53" s="396"/>
      <c r="F53" s="395"/>
      <c r="I53" s="348"/>
      <c r="J53" s="348"/>
      <c r="K53" s="89"/>
      <c r="L53" s="350"/>
      <c r="M53" s="349"/>
      <c r="N53" s="3"/>
    </row>
    <row r="54" spans="2:14" ht="14.25">
      <c r="B54" s="358"/>
      <c r="C54" s="358"/>
      <c r="D54" s="358"/>
      <c r="E54" s="397"/>
      <c r="F54" s="398"/>
      <c r="H54" s="94" t="s">
        <v>417</v>
      </c>
      <c r="I54" s="3"/>
      <c r="J54" s="3"/>
      <c r="K54" s="3"/>
      <c r="L54" s="224"/>
      <c r="M54" s="227"/>
      <c r="N54" s="3"/>
    </row>
    <row r="55" spans="2:14" ht="14.25">
      <c r="B55" s="355"/>
      <c r="C55" s="355"/>
      <c r="E55" s="352"/>
      <c r="F55" s="395"/>
      <c r="I55" s="348"/>
      <c r="J55" s="351"/>
      <c r="K55" s="89"/>
      <c r="L55" s="7"/>
      <c r="M55" s="349"/>
      <c r="N55" s="3"/>
    </row>
    <row r="56" spans="2:13" ht="14.25">
      <c r="B56" s="355"/>
      <c r="C56" s="355"/>
      <c r="E56" s="352"/>
      <c r="F56" s="353"/>
      <c r="I56" s="352"/>
      <c r="J56" s="352"/>
      <c r="L56" s="352"/>
      <c r="M56" s="353"/>
    </row>
    <row r="57" spans="2:13" ht="14.25">
      <c r="B57" s="355"/>
      <c r="C57" s="355"/>
      <c r="E57" s="352"/>
      <c r="F57" s="353"/>
      <c r="I57" s="352"/>
      <c r="J57" s="352"/>
      <c r="L57" s="352"/>
      <c r="M57" s="353"/>
    </row>
    <row r="58" spans="2:13" ht="14.25">
      <c r="B58" s="355"/>
      <c r="C58" s="355"/>
      <c r="E58" s="352"/>
      <c r="F58" s="353"/>
      <c r="I58" s="354"/>
      <c r="J58" s="355"/>
      <c r="K58" s="356"/>
      <c r="L58" s="352"/>
      <c r="M58" s="353"/>
    </row>
    <row r="59" spans="2:13" ht="14.25">
      <c r="B59" s="355"/>
      <c r="C59" s="355"/>
      <c r="E59" s="352"/>
      <c r="F59" s="353"/>
      <c r="I59" s="354"/>
      <c r="J59" s="355"/>
      <c r="K59" s="356"/>
      <c r="L59" s="352"/>
      <c r="M59" s="353"/>
    </row>
    <row r="60" spans="2:13" ht="14.25">
      <c r="B60" s="355"/>
      <c r="C60" s="355"/>
      <c r="E60" s="352"/>
      <c r="F60" s="353"/>
      <c r="I60" s="354"/>
      <c r="J60" s="355"/>
      <c r="K60" s="356"/>
      <c r="L60" s="352"/>
      <c r="M60" s="353"/>
    </row>
    <row r="61" spans="2:13" ht="14.25">
      <c r="B61" s="355"/>
      <c r="C61" s="355"/>
      <c r="E61" s="352"/>
      <c r="F61" s="352"/>
      <c r="I61" s="352"/>
      <c r="J61" s="352"/>
      <c r="L61" s="352"/>
      <c r="M61" s="352"/>
    </row>
    <row r="62" spans="2:13" ht="14.25">
      <c r="B62" s="355"/>
      <c r="C62" s="355"/>
      <c r="E62" s="352"/>
      <c r="F62" s="352"/>
      <c r="I62" s="352"/>
      <c r="J62" s="352"/>
      <c r="L62" s="352"/>
      <c r="M62" s="352"/>
    </row>
    <row r="63" spans="2:13" ht="14.25">
      <c r="B63" s="355"/>
      <c r="C63" s="355"/>
      <c r="E63" s="352"/>
      <c r="F63" s="352"/>
      <c r="L63" s="352"/>
      <c r="M63" s="352"/>
    </row>
    <row r="64" spans="5:13" ht="14.25">
      <c r="E64" s="352"/>
      <c r="F64" s="352"/>
      <c r="H64" s="357"/>
      <c r="L64" s="352"/>
      <c r="M64" s="352"/>
    </row>
    <row r="65" spans="5:13" ht="14.25">
      <c r="E65" s="352"/>
      <c r="F65" s="352"/>
      <c r="L65" s="352"/>
      <c r="M65" s="352"/>
    </row>
    <row r="66" spans="5:13" ht="14.25">
      <c r="E66" s="352"/>
      <c r="F66" s="352"/>
      <c r="L66" s="352"/>
      <c r="M66" s="352"/>
    </row>
    <row r="67" spans="5:6" ht="14.25">
      <c r="E67" s="352"/>
      <c r="F67" s="352"/>
    </row>
    <row r="68" spans="5:6" ht="14.25">
      <c r="E68" s="352"/>
      <c r="F68" s="352"/>
    </row>
    <row r="69" spans="5:6" ht="14.25">
      <c r="E69" s="352"/>
      <c r="F69" s="352"/>
    </row>
    <row r="70" spans="5:6" ht="14.25">
      <c r="E70" s="352"/>
      <c r="F70" s="352"/>
    </row>
    <row r="71" spans="5:6" ht="14.25">
      <c r="E71" s="352"/>
      <c r="F71" s="352"/>
    </row>
    <row r="72" spans="5:6" ht="14.25">
      <c r="E72" s="352"/>
      <c r="F72" s="352"/>
    </row>
    <row r="73" spans="5:6" ht="14.25">
      <c r="E73" s="352"/>
      <c r="F73" s="352"/>
    </row>
    <row r="74" spans="5:6" ht="14.25">
      <c r="E74" s="352"/>
      <c r="F74" s="352"/>
    </row>
    <row r="75" spans="5:6" ht="14.25">
      <c r="E75" s="352"/>
      <c r="F75" s="352"/>
    </row>
    <row r="76" spans="5:6" ht="14.25">
      <c r="E76" s="352"/>
      <c r="F76" s="352"/>
    </row>
    <row r="77" spans="5:6" ht="14.25">
      <c r="E77" s="352"/>
      <c r="F77" s="352"/>
    </row>
    <row r="78" spans="5:6" ht="14.25">
      <c r="E78" s="352"/>
      <c r="F78" s="352"/>
    </row>
    <row r="79" spans="5:6" ht="14.25">
      <c r="E79" s="352"/>
      <c r="F79" s="352"/>
    </row>
    <row r="80" spans="5:6" ht="14.25">
      <c r="E80" s="352"/>
      <c r="F80" s="352"/>
    </row>
    <row r="81" spans="5:6" ht="14.25">
      <c r="E81" s="352"/>
      <c r="F81" s="352"/>
    </row>
    <row r="82" spans="5:6" ht="14.25">
      <c r="E82" s="352"/>
      <c r="F82" s="352"/>
    </row>
    <row r="83" spans="5:6" ht="14.25">
      <c r="E83" s="352"/>
      <c r="F83" s="352"/>
    </row>
    <row r="84" spans="5:6" ht="14.25">
      <c r="E84" s="352"/>
      <c r="F84" s="352"/>
    </row>
    <row r="85" spans="5:6" ht="14.25">
      <c r="E85" s="352"/>
      <c r="F85" s="352"/>
    </row>
    <row r="86" spans="5:6" ht="14.25">
      <c r="E86" s="352"/>
      <c r="F86" s="352"/>
    </row>
    <row r="87" spans="5:6" ht="14.25">
      <c r="E87" s="352"/>
      <c r="F87" s="352"/>
    </row>
    <row r="88" spans="5:6" ht="14.25">
      <c r="E88" s="352"/>
      <c r="F88" s="352"/>
    </row>
    <row r="89" spans="5:8" ht="14.25">
      <c r="E89" s="352"/>
      <c r="F89" s="352"/>
      <c r="H89" s="4" t="s">
        <v>137</v>
      </c>
    </row>
    <row r="90" spans="5:8" ht="14.25">
      <c r="E90" s="352"/>
      <c r="F90" s="352"/>
      <c r="H90" s="4" t="s">
        <v>180</v>
      </c>
    </row>
    <row r="91" spans="5:6" ht="14.25">
      <c r="E91" s="352"/>
      <c r="F91" s="352"/>
    </row>
    <row r="92" spans="5:6" ht="14.25">
      <c r="E92" s="352"/>
      <c r="F92" s="352"/>
    </row>
    <row r="93" spans="5:6" ht="14.25">
      <c r="E93" s="352"/>
      <c r="F93" s="352"/>
    </row>
    <row r="94" spans="5:6" ht="14.25">
      <c r="E94" s="352"/>
      <c r="F94" s="352"/>
    </row>
    <row r="95" spans="5:6" ht="14.25">
      <c r="E95" s="352"/>
      <c r="F95" s="352"/>
    </row>
    <row r="96" spans="5:6" ht="14.25">
      <c r="E96" s="352"/>
      <c r="F96" s="352"/>
    </row>
    <row r="97" spans="5:6" ht="14.25">
      <c r="E97" s="352"/>
      <c r="F97" s="352"/>
    </row>
    <row r="98" spans="1:6" ht="14.25">
      <c r="A98" s="6" t="s">
        <v>137</v>
      </c>
      <c r="E98" s="352"/>
      <c r="F98" s="352"/>
    </row>
    <row r="99" spans="1:6" ht="14.25">
      <c r="A99" s="6" t="s">
        <v>180</v>
      </c>
      <c r="E99" s="352"/>
      <c r="F99" s="352"/>
    </row>
    <row r="100" spans="5:6" ht="14.25">
      <c r="E100" s="352"/>
      <c r="F100" s="352"/>
    </row>
    <row r="101" spans="5:6" ht="14.25">
      <c r="E101" s="352"/>
      <c r="F101" s="352"/>
    </row>
    <row r="102" spans="5:6" ht="14.25">
      <c r="E102" s="352"/>
      <c r="F102" s="352"/>
    </row>
    <row r="103" spans="5:6" ht="14.25">
      <c r="E103" s="352"/>
      <c r="F103" s="352"/>
    </row>
    <row r="104" spans="5:6" ht="14.25">
      <c r="E104" s="352"/>
      <c r="F104" s="352"/>
    </row>
    <row r="105" spans="5:6" ht="14.25">
      <c r="E105" s="352"/>
      <c r="F105" s="352"/>
    </row>
    <row r="106" spans="5:6" ht="14.25">
      <c r="E106" s="352"/>
      <c r="F106" s="352"/>
    </row>
    <row r="107" spans="5:6" ht="14.25">
      <c r="E107" s="352"/>
      <c r="F107" s="352"/>
    </row>
    <row r="108" spans="5:6" ht="14.25">
      <c r="E108" s="352"/>
      <c r="F108" s="352"/>
    </row>
    <row r="109" spans="5:6" ht="14.25">
      <c r="E109" s="352"/>
      <c r="F109" s="352"/>
    </row>
    <row r="110" spans="5:6" ht="14.25">
      <c r="E110" s="352"/>
      <c r="F110" s="352"/>
    </row>
    <row r="111" spans="5:6" ht="14.25">
      <c r="E111" s="352"/>
      <c r="F111" s="352"/>
    </row>
    <row r="112" spans="5:6" ht="14.25">
      <c r="E112" s="352"/>
      <c r="F112" s="352"/>
    </row>
    <row r="113" spans="5:6" ht="14.25">
      <c r="E113" s="352"/>
      <c r="F113" s="352"/>
    </row>
    <row r="114" spans="5:6" ht="14.25">
      <c r="E114" s="352"/>
      <c r="F114" s="352"/>
    </row>
    <row r="115" spans="5:6" ht="14.25">
      <c r="E115" s="352"/>
      <c r="F115" s="352"/>
    </row>
    <row r="116" spans="5:6" ht="14.25">
      <c r="E116" s="352"/>
      <c r="F116" s="352"/>
    </row>
    <row r="117" spans="5:6" ht="14.25">
      <c r="E117" s="352"/>
      <c r="F117" s="352"/>
    </row>
    <row r="118" spans="5:6" ht="14.25">
      <c r="E118" s="352"/>
      <c r="F118" s="352"/>
    </row>
    <row r="119" spans="5:6" ht="14.25">
      <c r="E119" s="352"/>
      <c r="F119" s="352"/>
    </row>
    <row r="120" spans="5:6" ht="14.25">
      <c r="E120" s="352"/>
      <c r="F120" s="352"/>
    </row>
    <row r="121" spans="5:6" ht="14.25">
      <c r="E121" s="352"/>
      <c r="F121" s="352"/>
    </row>
    <row r="122" spans="5:6" ht="14.25">
      <c r="E122" s="352"/>
      <c r="F122" s="352"/>
    </row>
    <row r="123" spans="5:6" ht="14.25">
      <c r="E123" s="352"/>
      <c r="F123" s="352"/>
    </row>
    <row r="124" spans="5:6" ht="14.25">
      <c r="E124" s="352"/>
      <c r="F124" s="352"/>
    </row>
    <row r="125" spans="5:6" ht="14.25">
      <c r="E125" s="352"/>
      <c r="F125" s="352"/>
    </row>
    <row r="126" spans="5:6" ht="14.25">
      <c r="E126" s="352"/>
      <c r="F126" s="352"/>
    </row>
    <row r="127" spans="5:6" ht="14.25">
      <c r="E127" s="352"/>
      <c r="F127" s="352"/>
    </row>
    <row r="128" spans="5:6" ht="14.25">
      <c r="E128" s="352"/>
      <c r="F128" s="352"/>
    </row>
    <row r="129" spans="5:6" ht="14.25">
      <c r="E129" s="352"/>
      <c r="F129" s="352"/>
    </row>
    <row r="130" spans="5:6" ht="14.25">
      <c r="E130" s="352"/>
      <c r="F130" s="352"/>
    </row>
    <row r="131" spans="5:6" ht="14.25">
      <c r="E131" s="352"/>
      <c r="F131" s="352"/>
    </row>
    <row r="132" spans="5:6" ht="14.25">
      <c r="E132" s="352"/>
      <c r="F132" s="352"/>
    </row>
    <row r="133" spans="5:6" ht="14.25">
      <c r="E133" s="352"/>
      <c r="F133" s="352"/>
    </row>
    <row r="134" spans="5:6" ht="14.25">
      <c r="E134" s="352"/>
      <c r="F134" s="352"/>
    </row>
    <row r="135" spans="5:6" ht="14.25">
      <c r="E135" s="352"/>
      <c r="F135" s="352"/>
    </row>
    <row r="136" spans="5:6" ht="14.25">
      <c r="E136" s="352"/>
      <c r="F136" s="352"/>
    </row>
    <row r="137" spans="5:6" ht="14.25">
      <c r="E137" s="352"/>
      <c r="F137" s="352"/>
    </row>
    <row r="138" spans="5:6" ht="14.25">
      <c r="E138" s="352"/>
      <c r="F138" s="352"/>
    </row>
    <row r="139" spans="5:6" ht="14.25">
      <c r="E139" s="352"/>
      <c r="F139" s="352"/>
    </row>
    <row r="140" spans="5:6" ht="14.25">
      <c r="E140" s="352"/>
      <c r="F140" s="352"/>
    </row>
    <row r="141" spans="5:6" ht="14.25">
      <c r="E141" s="352"/>
      <c r="F141" s="352"/>
    </row>
    <row r="142" spans="5:6" ht="14.25">
      <c r="E142" s="352"/>
      <c r="F142" s="352"/>
    </row>
    <row r="143" spans="5:6" ht="14.25">
      <c r="E143" s="352"/>
      <c r="F143" s="352"/>
    </row>
    <row r="144" spans="5:6" ht="14.25">
      <c r="E144" s="352"/>
      <c r="F144" s="352"/>
    </row>
    <row r="145" spans="5:6" ht="14.25">
      <c r="E145" s="352"/>
      <c r="F145" s="352"/>
    </row>
    <row r="146" spans="5:6" ht="14.25">
      <c r="E146" s="352"/>
      <c r="F146" s="352"/>
    </row>
    <row r="147" spans="5:6" ht="14.25">
      <c r="E147" s="352"/>
      <c r="F147" s="352"/>
    </row>
    <row r="148" spans="5:6" ht="14.25">
      <c r="E148" s="352"/>
      <c r="F148" s="352"/>
    </row>
    <row r="149" spans="5:6" ht="14.25">
      <c r="E149" s="352"/>
      <c r="F149" s="352"/>
    </row>
    <row r="150" spans="5:6" ht="14.25">
      <c r="E150" s="352"/>
      <c r="F150" s="352"/>
    </row>
    <row r="151" spans="5:6" ht="14.25">
      <c r="E151" s="352"/>
      <c r="F151" s="352"/>
    </row>
    <row r="152" spans="5:6" ht="14.25">
      <c r="E152" s="352"/>
      <c r="F152" s="352"/>
    </row>
    <row r="153" spans="5:6" ht="14.25">
      <c r="E153" s="352"/>
      <c r="F153" s="352"/>
    </row>
    <row r="154" spans="5:6" ht="14.25">
      <c r="E154" s="352"/>
      <c r="F154" s="352"/>
    </row>
    <row r="155" spans="5:6" ht="14.25">
      <c r="E155" s="352"/>
      <c r="F155" s="352"/>
    </row>
    <row r="156" spans="5:6" ht="14.25">
      <c r="E156" s="352"/>
      <c r="F156" s="352"/>
    </row>
    <row r="157" spans="5:6" ht="14.25">
      <c r="E157" s="352"/>
      <c r="F157" s="352"/>
    </row>
    <row r="158" spans="5:6" ht="14.25">
      <c r="E158" s="352"/>
      <c r="F158" s="352"/>
    </row>
    <row r="159" spans="5:6" ht="14.25">
      <c r="E159" s="352"/>
      <c r="F159" s="352"/>
    </row>
    <row r="160" spans="5:6" ht="14.25">
      <c r="E160" s="352"/>
      <c r="F160" s="352"/>
    </row>
    <row r="161" spans="5:6" ht="14.25">
      <c r="E161" s="352"/>
      <c r="F161" s="352"/>
    </row>
    <row r="162" spans="5:6" ht="14.25">
      <c r="E162" s="352"/>
      <c r="F162" s="352"/>
    </row>
    <row r="163" spans="5:6" ht="14.25">
      <c r="E163" s="352"/>
      <c r="F163" s="352"/>
    </row>
    <row r="164" spans="5:6" ht="14.25">
      <c r="E164" s="352"/>
      <c r="F164" s="352"/>
    </row>
    <row r="165" spans="5:6" ht="14.25">
      <c r="E165" s="352"/>
      <c r="F165" s="352"/>
    </row>
    <row r="166" spans="5:6" ht="14.25">
      <c r="E166" s="352"/>
      <c r="F166" s="352"/>
    </row>
    <row r="167" spans="5:6" ht="14.25">
      <c r="E167" s="352"/>
      <c r="F167" s="352"/>
    </row>
    <row r="168" spans="5:6" ht="14.25">
      <c r="E168" s="352"/>
      <c r="F168" s="352"/>
    </row>
    <row r="169" spans="5:6" ht="14.25">
      <c r="E169" s="352"/>
      <c r="F169" s="352"/>
    </row>
    <row r="170" spans="5:6" ht="14.25">
      <c r="E170" s="352"/>
      <c r="F170" s="352"/>
    </row>
    <row r="171" spans="5:6" ht="14.25">
      <c r="E171" s="352"/>
      <c r="F171" s="352"/>
    </row>
    <row r="172" spans="5:6" ht="14.25">
      <c r="E172" s="352"/>
      <c r="F172" s="352"/>
    </row>
    <row r="173" spans="5:6" ht="14.25">
      <c r="E173" s="352"/>
      <c r="F173" s="352"/>
    </row>
    <row r="174" spans="5:6" ht="14.25">
      <c r="E174" s="352"/>
      <c r="F174" s="352"/>
    </row>
    <row r="175" spans="5:6" ht="14.25">
      <c r="E175" s="352"/>
      <c r="F175" s="352"/>
    </row>
    <row r="176" spans="5:6" ht="14.25">
      <c r="E176" s="352"/>
      <c r="F176" s="352"/>
    </row>
    <row r="177" spans="5:6" ht="14.25">
      <c r="E177" s="352"/>
      <c r="F177" s="352"/>
    </row>
    <row r="178" spans="5:6" ht="14.25">
      <c r="E178" s="352"/>
      <c r="F178" s="352"/>
    </row>
    <row r="179" spans="5:6" ht="14.25">
      <c r="E179" s="352"/>
      <c r="F179" s="352"/>
    </row>
    <row r="180" spans="5:6" ht="14.25">
      <c r="E180" s="352"/>
      <c r="F180" s="352"/>
    </row>
    <row r="181" spans="5:6" ht="14.25">
      <c r="E181" s="352"/>
      <c r="F181" s="352"/>
    </row>
    <row r="182" spans="5:6" ht="14.25">
      <c r="E182" s="352"/>
      <c r="F182" s="352"/>
    </row>
    <row r="183" spans="5:6" ht="14.25">
      <c r="E183" s="352"/>
      <c r="F183" s="352"/>
    </row>
    <row r="184" spans="5:6" ht="14.25">
      <c r="E184" s="352"/>
      <c r="F184" s="352"/>
    </row>
    <row r="185" spans="5:6" ht="14.25">
      <c r="E185" s="352"/>
      <c r="F185" s="352"/>
    </row>
    <row r="186" spans="5:6" ht="14.25">
      <c r="E186" s="352"/>
      <c r="F186" s="352"/>
    </row>
    <row r="187" spans="5:6" ht="14.25">
      <c r="E187" s="352"/>
      <c r="F187" s="352"/>
    </row>
    <row r="188" spans="5:6" ht="14.25">
      <c r="E188" s="352"/>
      <c r="F188" s="352"/>
    </row>
    <row r="189" spans="5:6" ht="14.25">
      <c r="E189" s="352"/>
      <c r="F189" s="352"/>
    </row>
    <row r="190" spans="5:6" ht="14.25">
      <c r="E190" s="352"/>
      <c r="F190" s="352"/>
    </row>
    <row r="191" spans="5:6" ht="14.25">
      <c r="E191" s="352"/>
      <c r="F191" s="352"/>
    </row>
    <row r="192" spans="5:6" ht="14.25">
      <c r="E192" s="352"/>
      <c r="F192" s="352"/>
    </row>
    <row r="193" spans="5:6" ht="14.25">
      <c r="E193" s="352"/>
      <c r="F193" s="352"/>
    </row>
    <row r="194" spans="5:6" ht="14.25">
      <c r="E194" s="352"/>
      <c r="F194" s="352"/>
    </row>
    <row r="195" spans="5:6" ht="14.25">
      <c r="E195" s="352"/>
      <c r="F195" s="352"/>
    </row>
    <row r="196" spans="5:6" ht="14.25">
      <c r="E196" s="352"/>
      <c r="F196" s="352"/>
    </row>
    <row r="197" spans="5:6" ht="14.25">
      <c r="E197" s="352"/>
      <c r="F197" s="352"/>
    </row>
    <row r="198" spans="5:6" ht="14.25">
      <c r="E198" s="352"/>
      <c r="F198" s="352"/>
    </row>
    <row r="199" spans="5:6" ht="14.25">
      <c r="E199" s="352"/>
      <c r="F199" s="352"/>
    </row>
    <row r="200" spans="5:6" ht="14.25">
      <c r="E200" s="352"/>
      <c r="F200" s="352"/>
    </row>
    <row r="201" spans="5:6" ht="14.25">
      <c r="E201" s="352"/>
      <c r="F201" s="352"/>
    </row>
    <row r="202" spans="5:6" ht="14.25">
      <c r="E202" s="352"/>
      <c r="F202" s="352"/>
    </row>
    <row r="203" spans="5:6" ht="14.25">
      <c r="E203" s="352"/>
      <c r="F203" s="352"/>
    </row>
    <row r="204" spans="5:6" ht="14.25">
      <c r="E204" s="352"/>
      <c r="F204" s="352"/>
    </row>
    <row r="205" spans="5:6" ht="14.25">
      <c r="E205" s="352"/>
      <c r="F205" s="352"/>
    </row>
    <row r="206" spans="5:6" ht="14.25">
      <c r="E206" s="352"/>
      <c r="F206" s="352"/>
    </row>
    <row r="207" spans="5:6" ht="14.25">
      <c r="E207" s="352"/>
      <c r="F207" s="352"/>
    </row>
    <row r="208" spans="5:6" ht="14.25">
      <c r="E208" s="352"/>
      <c r="F208" s="352"/>
    </row>
    <row r="209" spans="5:6" ht="14.25">
      <c r="E209" s="352"/>
      <c r="F209" s="352"/>
    </row>
    <row r="210" spans="5:6" ht="14.25">
      <c r="E210" s="352"/>
      <c r="F210" s="352"/>
    </row>
    <row r="211" spans="5:6" ht="14.25">
      <c r="E211" s="352"/>
      <c r="F211" s="352"/>
    </row>
    <row r="212" spans="5:6" ht="14.25">
      <c r="E212" s="352"/>
      <c r="F212" s="352"/>
    </row>
    <row r="213" spans="5:6" ht="14.25">
      <c r="E213" s="352"/>
      <c r="F213" s="352"/>
    </row>
    <row r="214" spans="5:6" ht="14.25">
      <c r="E214" s="352"/>
      <c r="F214" s="352"/>
    </row>
    <row r="215" spans="5:6" ht="14.25">
      <c r="E215" s="352"/>
      <c r="F215" s="352"/>
    </row>
    <row r="216" spans="5:6" ht="14.25">
      <c r="E216" s="352"/>
      <c r="F216" s="352"/>
    </row>
    <row r="217" spans="5:6" ht="14.25">
      <c r="E217" s="352"/>
      <c r="F217" s="352"/>
    </row>
    <row r="218" spans="5:6" ht="14.25">
      <c r="E218" s="352"/>
      <c r="F218" s="352"/>
    </row>
    <row r="219" spans="5:6" ht="14.25">
      <c r="E219" s="352"/>
      <c r="F219" s="352"/>
    </row>
    <row r="220" spans="5:6" ht="14.25">
      <c r="E220" s="352"/>
      <c r="F220" s="352"/>
    </row>
    <row r="221" spans="5:6" ht="14.25">
      <c r="E221" s="352"/>
      <c r="F221" s="352"/>
    </row>
    <row r="222" spans="5:6" ht="14.25">
      <c r="E222" s="352"/>
      <c r="F222" s="352"/>
    </row>
    <row r="223" spans="5:6" ht="14.25">
      <c r="E223" s="352"/>
      <c r="F223" s="352"/>
    </row>
    <row r="224" spans="5:6" ht="14.25">
      <c r="E224" s="352"/>
      <c r="F224" s="352"/>
    </row>
    <row r="225" spans="5:6" ht="14.25">
      <c r="E225" s="352"/>
      <c r="F225" s="352"/>
    </row>
    <row r="226" spans="5:6" ht="14.25">
      <c r="E226" s="352"/>
      <c r="F226" s="352"/>
    </row>
    <row r="227" spans="5:6" ht="14.25">
      <c r="E227" s="352"/>
      <c r="F227" s="352"/>
    </row>
    <row r="228" spans="5:6" ht="14.25">
      <c r="E228" s="352"/>
      <c r="F228" s="352"/>
    </row>
    <row r="229" spans="5:6" ht="14.25">
      <c r="E229" s="352"/>
      <c r="F229" s="352"/>
    </row>
    <row r="230" spans="5:6" ht="14.25">
      <c r="E230" s="352"/>
      <c r="F230" s="352"/>
    </row>
    <row r="231" spans="5:6" ht="14.25">
      <c r="E231" s="352"/>
      <c r="F231" s="352"/>
    </row>
    <row r="232" spans="5:6" ht="14.25">
      <c r="E232" s="352"/>
      <c r="F232" s="352"/>
    </row>
    <row r="233" spans="5:6" ht="14.25">
      <c r="E233" s="352"/>
      <c r="F233" s="352"/>
    </row>
    <row r="234" spans="5:6" ht="14.25">
      <c r="E234" s="352"/>
      <c r="F234" s="352"/>
    </row>
    <row r="235" spans="5:6" ht="14.25">
      <c r="E235" s="352"/>
      <c r="F235" s="352"/>
    </row>
    <row r="236" spans="5:6" ht="14.25">
      <c r="E236" s="352"/>
      <c r="F236" s="352"/>
    </row>
    <row r="237" spans="5:6" ht="14.25">
      <c r="E237" s="352"/>
      <c r="F237" s="352"/>
    </row>
    <row r="238" spans="5:6" ht="14.25">
      <c r="E238" s="352"/>
      <c r="F238" s="352"/>
    </row>
    <row r="239" spans="5:6" ht="14.25">
      <c r="E239" s="352"/>
      <c r="F239" s="352"/>
    </row>
    <row r="240" spans="5:6" ht="14.25">
      <c r="E240" s="352"/>
      <c r="F240" s="352"/>
    </row>
    <row r="241" spans="5:6" ht="14.25">
      <c r="E241" s="352"/>
      <c r="F241" s="352"/>
    </row>
    <row r="242" spans="5:6" ht="14.25">
      <c r="E242" s="352"/>
      <c r="F242" s="352"/>
    </row>
    <row r="243" spans="5:6" ht="14.25">
      <c r="E243" s="352"/>
      <c r="F243" s="352"/>
    </row>
    <row r="244" spans="5:6" ht="14.25">
      <c r="E244" s="352"/>
      <c r="F244" s="352"/>
    </row>
    <row r="245" spans="5:6" ht="14.25">
      <c r="E245" s="352"/>
      <c r="F245" s="352"/>
    </row>
    <row r="246" spans="5:6" ht="14.25">
      <c r="E246" s="352"/>
      <c r="F246" s="352"/>
    </row>
    <row r="247" spans="5:6" ht="14.25">
      <c r="E247" s="352"/>
      <c r="F247" s="352"/>
    </row>
    <row r="248" spans="5:6" ht="14.25">
      <c r="E248" s="352"/>
      <c r="F248" s="352"/>
    </row>
    <row r="249" spans="5:6" ht="14.25">
      <c r="E249" s="352"/>
      <c r="F249" s="352"/>
    </row>
    <row r="250" spans="5:6" ht="14.25">
      <c r="E250" s="352"/>
      <c r="F250" s="352"/>
    </row>
    <row r="251" spans="5:6" ht="14.25">
      <c r="E251" s="352"/>
      <c r="F251" s="352"/>
    </row>
    <row r="252" spans="5:6" ht="14.25">
      <c r="E252" s="352"/>
      <c r="F252" s="352"/>
    </row>
    <row r="253" spans="5:6" ht="14.25">
      <c r="E253" s="352"/>
      <c r="F253" s="352"/>
    </row>
    <row r="254" spans="5:6" ht="14.25">
      <c r="E254" s="352"/>
      <c r="F254" s="352"/>
    </row>
    <row r="255" spans="5:6" ht="14.25">
      <c r="E255" s="352"/>
      <c r="F255" s="352"/>
    </row>
    <row r="256" spans="5:6" ht="14.25">
      <c r="E256" s="352"/>
      <c r="F256" s="352"/>
    </row>
    <row r="257" spans="5:6" ht="14.25">
      <c r="E257" s="352"/>
      <c r="F257" s="352"/>
    </row>
    <row r="258" spans="5:6" ht="14.25">
      <c r="E258" s="352"/>
      <c r="F258" s="352"/>
    </row>
    <row r="259" spans="5:6" ht="14.25">
      <c r="E259" s="352"/>
      <c r="F259" s="352"/>
    </row>
    <row r="260" spans="5:6" ht="14.25">
      <c r="E260" s="352"/>
      <c r="F260" s="352"/>
    </row>
    <row r="261" spans="5:6" ht="14.25">
      <c r="E261" s="352"/>
      <c r="F261" s="352"/>
    </row>
    <row r="262" spans="5:6" ht="14.25">
      <c r="E262" s="352"/>
      <c r="F262" s="352"/>
    </row>
    <row r="263" spans="5:6" ht="14.25">
      <c r="E263" s="352"/>
      <c r="F263" s="352"/>
    </row>
    <row r="264" spans="5:6" ht="14.25">
      <c r="E264" s="352"/>
      <c r="F264" s="352"/>
    </row>
    <row r="265" spans="5:6" ht="14.25">
      <c r="E265" s="352"/>
      <c r="F265" s="352"/>
    </row>
    <row r="266" spans="5:6" ht="14.25">
      <c r="E266" s="352"/>
      <c r="F266" s="352"/>
    </row>
    <row r="267" spans="5:6" ht="14.25">
      <c r="E267" s="352"/>
      <c r="F267" s="352"/>
    </row>
    <row r="268" spans="5:6" ht="14.25">
      <c r="E268" s="352"/>
      <c r="F268" s="352"/>
    </row>
    <row r="269" spans="5:6" ht="14.25">
      <c r="E269" s="352"/>
      <c r="F269" s="352"/>
    </row>
    <row r="270" spans="5:6" ht="14.25">
      <c r="E270" s="352"/>
      <c r="F270" s="352"/>
    </row>
    <row r="271" spans="5:6" ht="14.25">
      <c r="E271" s="352"/>
      <c r="F271" s="352"/>
    </row>
    <row r="272" spans="5:6" ht="14.25">
      <c r="E272" s="352"/>
      <c r="F272" s="352"/>
    </row>
    <row r="273" spans="5:6" ht="14.25">
      <c r="E273" s="352"/>
      <c r="F273" s="352"/>
    </row>
    <row r="274" spans="5:6" ht="14.25">
      <c r="E274" s="352"/>
      <c r="F274" s="352"/>
    </row>
    <row r="275" spans="5:6" ht="14.25">
      <c r="E275" s="352"/>
      <c r="F275" s="352"/>
    </row>
    <row r="276" spans="5:6" ht="14.25">
      <c r="E276" s="352"/>
      <c r="F276" s="352"/>
    </row>
    <row r="277" spans="5:6" ht="14.25">
      <c r="E277" s="352"/>
      <c r="F277" s="352"/>
    </row>
    <row r="278" spans="5:6" ht="14.25">
      <c r="E278" s="352"/>
      <c r="F278" s="352"/>
    </row>
    <row r="279" spans="5:6" ht="14.25">
      <c r="E279" s="352"/>
      <c r="F279" s="352"/>
    </row>
    <row r="280" spans="5:6" ht="14.25">
      <c r="E280" s="352"/>
      <c r="F280" s="352"/>
    </row>
    <row r="281" spans="5:6" ht="14.25">
      <c r="E281" s="352"/>
      <c r="F281" s="352"/>
    </row>
    <row r="282" spans="5:6" ht="14.25">
      <c r="E282" s="352"/>
      <c r="F282" s="352"/>
    </row>
    <row r="283" spans="5:6" ht="14.25">
      <c r="E283" s="352"/>
      <c r="F283" s="352"/>
    </row>
    <row r="284" spans="5:6" ht="14.25">
      <c r="E284" s="352"/>
      <c r="F284" s="352"/>
    </row>
    <row r="285" spans="5:6" ht="14.25">
      <c r="E285" s="352"/>
      <c r="F285" s="352"/>
    </row>
    <row r="286" spans="5:6" ht="14.25">
      <c r="E286" s="352"/>
      <c r="F286" s="352"/>
    </row>
    <row r="287" spans="5:6" ht="14.25">
      <c r="E287" s="352"/>
      <c r="F287" s="352"/>
    </row>
    <row r="288" spans="5:6" ht="14.25">
      <c r="E288" s="352"/>
      <c r="F288" s="352"/>
    </row>
    <row r="289" spans="5:6" ht="14.25">
      <c r="E289" s="352"/>
      <c r="F289" s="352"/>
    </row>
    <row r="290" spans="5:6" ht="14.25">
      <c r="E290" s="352"/>
      <c r="F290" s="352"/>
    </row>
    <row r="291" spans="5:6" ht="14.25">
      <c r="E291" s="352"/>
      <c r="F291" s="352"/>
    </row>
    <row r="292" spans="5:6" ht="14.25">
      <c r="E292" s="352"/>
      <c r="F292" s="352"/>
    </row>
    <row r="293" spans="5:6" ht="14.25">
      <c r="E293" s="352"/>
      <c r="F293" s="352"/>
    </row>
    <row r="294" spans="5:6" ht="14.25">
      <c r="E294" s="352"/>
      <c r="F294" s="352"/>
    </row>
    <row r="295" spans="5:6" ht="14.25">
      <c r="E295" s="352"/>
      <c r="F295" s="352"/>
    </row>
    <row r="296" spans="5:6" ht="14.25">
      <c r="E296" s="352"/>
      <c r="F296" s="352"/>
    </row>
    <row r="297" spans="5:6" ht="14.25">
      <c r="E297" s="352"/>
      <c r="F297" s="352"/>
    </row>
    <row r="298" spans="5:6" ht="14.25">
      <c r="E298" s="352"/>
      <c r="F298" s="352"/>
    </row>
    <row r="299" spans="5:6" ht="14.25">
      <c r="E299" s="352"/>
      <c r="F299" s="352"/>
    </row>
    <row r="300" spans="5:6" ht="14.25">
      <c r="E300" s="352"/>
      <c r="F300" s="352"/>
    </row>
    <row r="301" spans="5:6" ht="14.25">
      <c r="E301" s="352"/>
      <c r="F301" s="352"/>
    </row>
    <row r="302" spans="5:6" ht="14.25">
      <c r="E302" s="352"/>
      <c r="F302" s="352"/>
    </row>
    <row r="303" spans="5:6" ht="14.25">
      <c r="E303" s="352"/>
      <c r="F303" s="352"/>
    </row>
    <row r="304" spans="5:6" ht="14.25">
      <c r="E304" s="352"/>
      <c r="F304" s="352"/>
    </row>
    <row r="305" spans="5:6" ht="14.25">
      <c r="E305" s="352"/>
      <c r="F305" s="352"/>
    </row>
    <row r="306" spans="5:6" ht="14.25">
      <c r="E306" s="352"/>
      <c r="F306" s="352"/>
    </row>
    <row r="307" spans="5:6" ht="14.25">
      <c r="E307" s="352"/>
      <c r="F307" s="352"/>
    </row>
    <row r="308" spans="5:6" ht="14.25">
      <c r="E308" s="352"/>
      <c r="F308" s="352"/>
    </row>
    <row r="309" spans="5:6" ht="14.25">
      <c r="E309" s="352"/>
      <c r="F309" s="352"/>
    </row>
    <row r="310" spans="5:6" ht="14.25">
      <c r="E310" s="352"/>
      <c r="F310" s="352"/>
    </row>
    <row r="311" spans="5:6" ht="14.25">
      <c r="E311" s="352"/>
      <c r="F311" s="352"/>
    </row>
    <row r="312" spans="5:6" ht="14.25">
      <c r="E312" s="352"/>
      <c r="F312" s="352"/>
    </row>
    <row r="313" spans="5:6" ht="14.25">
      <c r="E313" s="352"/>
      <c r="F313" s="352"/>
    </row>
    <row r="314" spans="5:6" ht="14.25">
      <c r="E314" s="352"/>
      <c r="F314" s="352"/>
    </row>
    <row r="315" spans="5:6" ht="14.25">
      <c r="E315" s="352"/>
      <c r="F315" s="352"/>
    </row>
    <row r="316" spans="5:6" ht="14.25">
      <c r="E316" s="352"/>
      <c r="F316" s="352"/>
    </row>
    <row r="317" spans="5:6" ht="14.25">
      <c r="E317" s="352"/>
      <c r="F317" s="352"/>
    </row>
  </sheetData>
  <printOptions/>
  <pageMargins left="0.75" right="0.19" top="0.55" bottom="0.63" header="0.74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43"/>
  <sheetViews>
    <sheetView workbookViewId="0" topLeftCell="G36">
      <selection activeCell="I47" sqref="I47"/>
    </sheetView>
  </sheetViews>
  <sheetFormatPr defaultColWidth="9.140625" defaultRowHeight="12.75"/>
  <cols>
    <col min="1" max="1" width="31.00390625" style="279" hidden="1" customWidth="1"/>
    <col min="2" max="2" width="12.28125" style="95" hidden="1" customWidth="1"/>
    <col min="3" max="3" width="11.8515625" style="95" hidden="1" customWidth="1"/>
    <col min="4" max="4" width="11.8515625" style="279" hidden="1" customWidth="1"/>
    <col min="5" max="5" width="15.140625" style="95" hidden="1" customWidth="1"/>
    <col min="6" max="6" width="34.7109375" style="279" customWidth="1"/>
    <col min="7" max="7" width="13.00390625" style="279" customWidth="1"/>
    <col min="8" max="8" width="9.7109375" style="95" customWidth="1"/>
    <col min="9" max="9" width="13.57421875" style="7" customWidth="1"/>
    <col min="10" max="10" width="10.28125" style="95" customWidth="1"/>
    <col min="11" max="56" width="7.8515625" style="0" customWidth="1"/>
    <col min="57" max="16384" width="7.8515625" style="279" customWidth="1"/>
  </cols>
  <sheetData>
    <row r="1" spans="1:10" ht="17.25" customHeight="1">
      <c r="A1" s="1" t="s">
        <v>532</v>
      </c>
      <c r="B1" s="93"/>
      <c r="C1" s="93"/>
      <c r="D1" s="1"/>
      <c r="E1" s="95" t="s">
        <v>533</v>
      </c>
      <c r="F1" s="279" t="s">
        <v>534</v>
      </c>
      <c r="G1" s="1"/>
      <c r="H1" s="93"/>
      <c r="J1" s="399" t="s">
        <v>533</v>
      </c>
    </row>
    <row r="2" ht="1.5" customHeight="1" hidden="1"/>
    <row r="3" ht="15.75" customHeight="1"/>
    <row r="4" spans="1:10" ht="15.75">
      <c r="A4" s="400" t="s">
        <v>535</v>
      </c>
      <c r="B4" s="401"/>
      <c r="C4" s="401"/>
      <c r="D4" s="5"/>
      <c r="E4" s="401"/>
      <c r="F4" s="733" t="s">
        <v>535</v>
      </c>
      <c r="G4" s="733"/>
      <c r="H4" s="733"/>
      <c r="I4" s="733"/>
      <c r="J4" s="733"/>
    </row>
    <row r="5" spans="1:10" ht="19.5" customHeight="1">
      <c r="A5" s="402" t="s">
        <v>536</v>
      </c>
      <c r="B5" s="403"/>
      <c r="C5" s="403"/>
      <c r="D5" s="404"/>
      <c r="E5" s="403"/>
      <c r="F5" s="404" t="str">
        <f>A5</f>
        <v>                                              (2000.gada janvāris -novembris)</v>
      </c>
      <c r="G5" s="404"/>
      <c r="H5" s="403"/>
      <c r="I5" s="101"/>
      <c r="J5" s="403"/>
    </row>
    <row r="6" spans="5:10" ht="17.25" customHeight="1">
      <c r="E6" s="399" t="s">
        <v>423</v>
      </c>
      <c r="J6" s="399" t="s">
        <v>185</v>
      </c>
    </row>
    <row r="7" spans="1:10" ht="51">
      <c r="A7" s="283" t="s">
        <v>101</v>
      </c>
      <c r="B7" s="283" t="s">
        <v>354</v>
      </c>
      <c r="C7" s="283" t="s">
        <v>104</v>
      </c>
      <c r="D7" s="131" t="s">
        <v>537</v>
      </c>
      <c r="E7" s="283" t="s">
        <v>107</v>
      </c>
      <c r="F7" s="131" t="s">
        <v>101</v>
      </c>
      <c r="G7" s="131" t="s">
        <v>103</v>
      </c>
      <c r="H7" s="283" t="s">
        <v>538</v>
      </c>
      <c r="I7" s="131" t="s">
        <v>537</v>
      </c>
      <c r="J7" s="283" t="s">
        <v>539</v>
      </c>
    </row>
    <row r="8" spans="1:10" ht="12.75">
      <c r="A8" s="139">
        <v>1</v>
      </c>
      <c r="B8" s="284">
        <v>2</v>
      </c>
      <c r="C8" s="284">
        <v>3</v>
      </c>
      <c r="D8" s="139">
        <v>4</v>
      </c>
      <c r="E8" s="405">
        <v>5</v>
      </c>
      <c r="F8" s="139">
        <v>1</v>
      </c>
      <c r="G8" s="139">
        <v>2</v>
      </c>
      <c r="H8" s="284">
        <v>3</v>
      </c>
      <c r="I8" s="139">
        <v>4</v>
      </c>
      <c r="J8" s="284">
        <v>5</v>
      </c>
    </row>
    <row r="9" spans="1:10" ht="25.5">
      <c r="A9" s="140" t="s">
        <v>540</v>
      </c>
      <c r="B9" s="238" t="s">
        <v>146</v>
      </c>
      <c r="C9" s="406">
        <f>SUM(C10:C11)</f>
        <v>10932723</v>
      </c>
      <c r="D9" s="286" t="str">
        <f>IF(ISERROR(C9/B9)," ",(C9/B9))</f>
        <v> </v>
      </c>
      <c r="E9" s="407">
        <f>SUM(E10:E11)</f>
        <v>-4986109</v>
      </c>
      <c r="F9" s="140" t="s">
        <v>540</v>
      </c>
      <c r="G9" s="139" t="s">
        <v>146</v>
      </c>
      <c r="H9" s="406">
        <f>SUM(H10:H11)</f>
        <v>10933</v>
      </c>
      <c r="I9" s="408" t="str">
        <f>IF(ISERROR(H9/G9)," ",(H9/G9))</f>
        <v> </v>
      </c>
      <c r="J9" s="406">
        <f>SUM(J10:J11)</f>
        <v>-4986</v>
      </c>
    </row>
    <row r="10" spans="1:10" ht="25.5">
      <c r="A10" s="114" t="s">
        <v>541</v>
      </c>
      <c r="B10" s="238" t="s">
        <v>146</v>
      </c>
      <c r="C10" s="409">
        <v>3758005</v>
      </c>
      <c r="D10" s="410" t="str">
        <f aca="true" t="shared" si="0" ref="D10:D17">IF(ISERROR(C10/B10)," ",(C10/B10))</f>
        <v> </v>
      </c>
      <c r="E10" s="411">
        <f>C10-'[11]Oktobris'!C10</f>
        <v>249740</v>
      </c>
      <c r="F10" s="114" t="s">
        <v>541</v>
      </c>
      <c r="G10" s="139" t="s">
        <v>146</v>
      </c>
      <c r="H10" s="409">
        <f>ROUND(C10/1000,0)</f>
        <v>3758</v>
      </c>
      <c r="I10" s="408" t="str">
        <f>IF(ISERROR(H10/G10)," ",(H10/G10))</f>
        <v> </v>
      </c>
      <c r="J10" s="409">
        <f>H10-'[11]Oktobris'!H10</f>
        <v>250</v>
      </c>
    </row>
    <row r="11" spans="1:10" ht="26.25" customHeight="1">
      <c r="A11" s="114" t="s">
        <v>542</v>
      </c>
      <c r="B11" s="238" t="s">
        <v>146</v>
      </c>
      <c r="C11" s="409">
        <f>'[12]Sheet1'!$P$13+1314990</f>
        <v>7174718</v>
      </c>
      <c r="D11" s="410" t="str">
        <f t="shared" si="0"/>
        <v> </v>
      </c>
      <c r="E11" s="411">
        <f>C11-'[11]Oktobris'!C11</f>
        <v>-5235849</v>
      </c>
      <c r="F11" s="114" t="s">
        <v>543</v>
      </c>
      <c r="G11" s="139" t="s">
        <v>146</v>
      </c>
      <c r="H11" s="409">
        <f>ROUND(C11/1000,0)</f>
        <v>7175</v>
      </c>
      <c r="I11" s="408" t="str">
        <f>IF(ISERROR(H11/G11)," ",(H11/G11))</f>
        <v> </v>
      </c>
      <c r="J11" s="409">
        <f>ROUND(E11/1000,0)</f>
        <v>-5236</v>
      </c>
    </row>
    <row r="12" spans="1:10" ht="12.75">
      <c r="A12" s="140" t="s">
        <v>544</v>
      </c>
      <c r="B12" s="141">
        <f>SUM(B13,B30)</f>
        <v>9456817</v>
      </c>
      <c r="C12" s="141">
        <f>SUM(C13,C30)</f>
        <v>5848223</v>
      </c>
      <c r="D12" s="286">
        <f t="shared" si="0"/>
        <v>0.6184134682948819</v>
      </c>
      <c r="E12" s="412">
        <f>SUM(E13,E30)</f>
        <v>-7528482.16</v>
      </c>
      <c r="F12" s="140" t="s">
        <v>545</v>
      </c>
      <c r="G12" s="66">
        <f>SUM(G13,G30)</f>
        <v>9456</v>
      </c>
      <c r="H12" s="141">
        <f>SUM(H13,H30)</f>
        <v>5848</v>
      </c>
      <c r="I12" s="413">
        <f>IF(ISERROR(H12/G12)," ",(H12/G12))*100</f>
        <v>61.844331641285955</v>
      </c>
      <c r="J12" s="141">
        <f>SUM(J13,J30)</f>
        <v>-7527</v>
      </c>
    </row>
    <row r="13" spans="1:10" ht="16.5" customHeight="1">
      <c r="A13" s="147" t="s">
        <v>513</v>
      </c>
      <c r="B13" s="141">
        <f>SUM(B14,B21,B24)</f>
        <v>7614333</v>
      </c>
      <c r="C13" s="141">
        <f>SUM(C14,C21,C24)</f>
        <v>4397544</v>
      </c>
      <c r="D13" s="286">
        <f t="shared" si="0"/>
        <v>0.5775350250639156</v>
      </c>
      <c r="E13" s="412">
        <f>SUM(E14,E21,E24)</f>
        <v>-4385093.16</v>
      </c>
      <c r="F13" s="147" t="s">
        <v>513</v>
      </c>
      <c r="G13" s="66">
        <f>SUM(G14,G21,G24)</f>
        <v>7614</v>
      </c>
      <c r="H13" s="141">
        <f>SUM(H14,H21,H24)</f>
        <v>4398</v>
      </c>
      <c r="I13" s="413">
        <f>IF(ISERROR(H13/G13)," ",(H13/G13))*100</f>
        <v>57.762017336485414</v>
      </c>
      <c r="J13" s="141">
        <f>SUM(J14,J21,J24)</f>
        <v>-4384</v>
      </c>
    </row>
    <row r="14" spans="1:10" ht="12.75">
      <c r="A14" s="147" t="s">
        <v>368</v>
      </c>
      <c r="B14" s="141">
        <f>SUM(B15:B17)</f>
        <v>6798385</v>
      </c>
      <c r="C14" s="414">
        <f>SUM(C15,C16,C17,C20)</f>
        <v>3791681</v>
      </c>
      <c r="D14" s="286">
        <f t="shared" si="0"/>
        <v>0.5577326085533549</v>
      </c>
      <c r="E14" s="415">
        <f>SUM(E15,E16,E17,E20)</f>
        <v>-4400742.16</v>
      </c>
      <c r="F14" s="147" t="s">
        <v>368</v>
      </c>
      <c r="G14" s="416">
        <f>ROUND(B14/1000,0)</f>
        <v>6798</v>
      </c>
      <c r="H14" s="414">
        <f>SUM(H15,H16,H17,H20)</f>
        <v>3792</v>
      </c>
      <c r="I14" s="413">
        <f>IF(ISERROR(H14/G14)," ",(H14/G14))*100</f>
        <v>55.781112091791705</v>
      </c>
      <c r="J14" s="414">
        <f>SUM(J15,J16,J17,J20)</f>
        <v>-4400</v>
      </c>
    </row>
    <row r="15" spans="1:10" ht="12.75">
      <c r="A15" s="291" t="s">
        <v>369</v>
      </c>
      <c r="B15" s="161">
        <v>619316</v>
      </c>
      <c r="C15" s="161">
        <v>395517</v>
      </c>
      <c r="D15" s="417">
        <f t="shared" si="0"/>
        <v>0.6386352039992508</v>
      </c>
      <c r="E15" s="411">
        <f>C15-'[11]Oktobris'!C15</f>
        <v>50917</v>
      </c>
      <c r="F15" s="291" t="s">
        <v>369</v>
      </c>
      <c r="G15" s="418">
        <f>ROUND(B15/1000,0)</f>
        <v>619</v>
      </c>
      <c r="H15" s="409">
        <f>ROUND(C15/1000,0)</f>
        <v>396</v>
      </c>
      <c r="I15" s="413">
        <f>IF(ISERROR(H15/G15)," ",(H15/G15))*100</f>
        <v>63.97415185783522</v>
      </c>
      <c r="J15" s="409">
        <f>H15-'[11]Oktobris'!H15</f>
        <v>51</v>
      </c>
    </row>
    <row r="16" spans="1:10" ht="25.5">
      <c r="A16" s="114" t="s">
        <v>546</v>
      </c>
      <c r="B16" s="238" t="s">
        <v>146</v>
      </c>
      <c r="C16" s="161">
        <v>96653</v>
      </c>
      <c r="D16" s="271" t="s">
        <v>146</v>
      </c>
      <c r="E16" s="411">
        <f>C16-'[11]Oktobris'!C16</f>
        <v>12514</v>
      </c>
      <c r="F16" s="114" t="s">
        <v>546</v>
      </c>
      <c r="G16" s="271" t="s">
        <v>146</v>
      </c>
      <c r="H16" s="409">
        <f>ROUND(C16/1000,0)</f>
        <v>97</v>
      </c>
      <c r="I16" s="271" t="s">
        <v>146</v>
      </c>
      <c r="J16" s="409">
        <f>H16-'[11]Oktobris'!H16</f>
        <v>13</v>
      </c>
    </row>
    <row r="17" spans="1:10" ht="12.75">
      <c r="A17" s="114" t="s">
        <v>371</v>
      </c>
      <c r="B17" s="299">
        <f>3730202+'[1]Novembris'!$D$97+1314990</f>
        <v>6179069</v>
      </c>
      <c r="C17" s="161">
        <f>SUM(C18:C19)</f>
        <v>3299511</v>
      </c>
      <c r="D17" s="417">
        <f t="shared" si="0"/>
        <v>0.5339818992149141</v>
      </c>
      <c r="E17" s="419">
        <f>SUM(E18:E19)</f>
        <v>-4464173.16</v>
      </c>
      <c r="F17" s="114" t="s">
        <v>371</v>
      </c>
      <c r="G17" s="271" t="s">
        <v>146</v>
      </c>
      <c r="H17" s="299">
        <f>SUM(H18:H19)</f>
        <v>3299</v>
      </c>
      <c r="I17" s="271" t="s">
        <v>146</v>
      </c>
      <c r="J17" s="299">
        <f>SUM(J18:J19)</f>
        <v>-4464</v>
      </c>
    </row>
    <row r="18" spans="1:56" s="422" customFormat="1" ht="25.5">
      <c r="A18" s="268" t="s">
        <v>547</v>
      </c>
      <c r="B18" s="420" t="s">
        <v>146</v>
      </c>
      <c r="C18" s="305">
        <f>1595779+1314990+29150</f>
        <v>2939919</v>
      </c>
      <c r="D18" s="337" t="s">
        <v>146</v>
      </c>
      <c r="E18" s="411">
        <f>C18-'[11]Oktobris'!C18</f>
        <v>-4487332.16</v>
      </c>
      <c r="F18" s="268" t="s">
        <v>548</v>
      </c>
      <c r="G18" s="337" t="s">
        <v>146</v>
      </c>
      <c r="H18" s="421">
        <f>ROUND(C18/1000,0)</f>
        <v>2940</v>
      </c>
      <c r="I18" s="337" t="s">
        <v>146</v>
      </c>
      <c r="J18" s="421">
        <f>ROUND(E18/1000,0)</f>
        <v>-4487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</row>
    <row r="19" spans="1:56" s="422" customFormat="1" ht="12.75">
      <c r="A19" s="178" t="s">
        <v>549</v>
      </c>
      <c r="B19" s="420" t="s">
        <v>146</v>
      </c>
      <c r="C19" s="305">
        <f>345318+14274</f>
        <v>359592</v>
      </c>
      <c r="D19" s="337" t="s">
        <v>146</v>
      </c>
      <c r="E19" s="411">
        <f>C19-'[11]Oktobris'!C19</f>
        <v>23159</v>
      </c>
      <c r="F19" s="268" t="s">
        <v>550</v>
      </c>
      <c r="G19" s="337" t="s">
        <v>146</v>
      </c>
      <c r="H19" s="421">
        <f>ROUND(C19/1000,0)-1</f>
        <v>359</v>
      </c>
      <c r="I19" s="337" t="s">
        <v>146</v>
      </c>
      <c r="J19" s="409">
        <f>H19-'[11]Oktobris'!H19+1</f>
        <v>23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</row>
    <row r="20" spans="1:10" ht="12.75">
      <c r="A20" s="114" t="s">
        <v>514</v>
      </c>
      <c r="B20" s="238" t="s">
        <v>146</v>
      </c>
      <c r="C20" s="161"/>
      <c r="D20" s="271" t="s">
        <v>146</v>
      </c>
      <c r="E20" s="411">
        <f>C20-'[11]Oktobris'!C20</f>
        <v>0</v>
      </c>
      <c r="F20" s="114" t="s">
        <v>514</v>
      </c>
      <c r="G20" s="271" t="s">
        <v>146</v>
      </c>
      <c r="H20" s="409">
        <f>ROUND(C20/1000,0)</f>
        <v>0</v>
      </c>
      <c r="I20" s="271" t="s">
        <v>146</v>
      </c>
      <c r="J20" s="409">
        <f>H20-'[11]Oktobris'!H20</f>
        <v>0</v>
      </c>
    </row>
    <row r="21" spans="1:10" ht="25.5">
      <c r="A21" s="121" t="s">
        <v>373</v>
      </c>
      <c r="B21" s="238" t="s">
        <v>146</v>
      </c>
      <c r="C21" s="414">
        <f>SUM(C22:C23)</f>
        <v>0</v>
      </c>
      <c r="D21" s="286" t="str">
        <f>IF(ISERROR(C21/B21)," ",(C21/B21))</f>
        <v> </v>
      </c>
      <c r="E21" s="415">
        <f>SUM(E22:E23)</f>
        <v>0</v>
      </c>
      <c r="F21" s="121" t="s">
        <v>373</v>
      </c>
      <c r="G21" s="271" t="s">
        <v>146</v>
      </c>
      <c r="H21" s="414">
        <f>SUM(H22:H23)</f>
        <v>0</v>
      </c>
      <c r="I21" s="423" t="str">
        <f>IF(ISERROR(ROUND(H21,0)/ROUND(g,0))," ",(ROUND(H21,)/ROUND(G21,)))</f>
        <v> </v>
      </c>
      <c r="J21" s="414">
        <f>SUM(J22:J23)</f>
        <v>0</v>
      </c>
    </row>
    <row r="22" spans="1:10" ht="25.5">
      <c r="A22" s="114" t="s">
        <v>551</v>
      </c>
      <c r="B22" s="238" t="s">
        <v>146</v>
      </c>
      <c r="C22" s="161"/>
      <c r="D22" s="271" t="s">
        <v>146</v>
      </c>
      <c r="E22" s="411">
        <f>C22-'[11]Oktobris'!C22</f>
        <v>0</v>
      </c>
      <c r="F22" s="114" t="s">
        <v>551</v>
      </c>
      <c r="G22" s="271" t="s">
        <v>146</v>
      </c>
      <c r="H22" s="409">
        <f>ROUND(C22/1000,0)</f>
        <v>0</v>
      </c>
      <c r="I22" s="271" t="s">
        <v>146</v>
      </c>
      <c r="J22" s="409">
        <f>H22-'[11]Oktobris'!H22</f>
        <v>0</v>
      </c>
    </row>
    <row r="23" spans="1:10" ht="25.5">
      <c r="A23" s="114" t="s">
        <v>552</v>
      </c>
      <c r="B23" s="238" t="s">
        <v>146</v>
      </c>
      <c r="C23" s="161"/>
      <c r="D23" s="271" t="s">
        <v>146</v>
      </c>
      <c r="E23" s="411">
        <f>C23-'[11]Oktobris'!C23</f>
        <v>0</v>
      </c>
      <c r="F23" s="114" t="s">
        <v>552</v>
      </c>
      <c r="G23" s="271" t="s">
        <v>146</v>
      </c>
      <c r="H23" s="409">
        <f>ROUND(C23/1000,0)</f>
        <v>0</v>
      </c>
      <c r="I23" s="271" t="s">
        <v>146</v>
      </c>
      <c r="J23" s="409">
        <f>H23-'[11]Oktobris'!H23</f>
        <v>0</v>
      </c>
    </row>
    <row r="24" spans="1:10" ht="17.25" customHeight="1">
      <c r="A24" s="85" t="s">
        <v>378</v>
      </c>
      <c r="B24" s="141">
        <f>SUM(B28:B29)+B25</f>
        <v>815948</v>
      </c>
      <c r="C24" s="414">
        <f>SUM(C25:C29)</f>
        <v>605863</v>
      </c>
      <c r="D24" s="286">
        <f>IF(ISERROR(C24/B24)," ",(C24/B24))</f>
        <v>0.742526484530877</v>
      </c>
      <c r="E24" s="415">
        <f>SUM(E25:E29)</f>
        <v>15649</v>
      </c>
      <c r="F24" s="85" t="s">
        <v>378</v>
      </c>
      <c r="G24" s="418">
        <f>ROUND(B24/1000,0)</f>
        <v>816</v>
      </c>
      <c r="H24" s="414">
        <f>SUM(H25:H29)</f>
        <v>606</v>
      </c>
      <c r="I24" s="413">
        <f>IF(ISERROR(H24/G24)," ",(H24/G24))*100</f>
        <v>74.26470588235294</v>
      </c>
      <c r="J24" s="414">
        <f>SUM(J25:J29)</f>
        <v>16</v>
      </c>
    </row>
    <row r="25" spans="1:10" ht="15.75" customHeight="1">
      <c r="A25" s="291" t="s">
        <v>379</v>
      </c>
      <c r="B25" s="299">
        <f>22271+39209</f>
        <v>61480</v>
      </c>
      <c r="C25" s="161">
        <f>2189+17706</f>
        <v>19895</v>
      </c>
      <c r="D25" s="417">
        <f>IF(ISERROR(C25/B25)," ",(C25/B25))</f>
        <v>0.32360117111255693</v>
      </c>
      <c r="E25" s="411">
        <f>C25-'[11]Oktobris'!C25</f>
        <v>0</v>
      </c>
      <c r="F25" s="291" t="s">
        <v>379</v>
      </c>
      <c r="G25" s="271" t="s">
        <v>146</v>
      </c>
      <c r="H25" s="409">
        <f>ROUND(C25/1000,0)</f>
        <v>20</v>
      </c>
      <c r="I25" s="271" t="s">
        <v>146</v>
      </c>
      <c r="J25" s="409">
        <f>H25-'[11]Oktobris'!H25</f>
        <v>0</v>
      </c>
    </row>
    <row r="26" spans="1:10" ht="15.75" customHeight="1">
      <c r="A26" s="291" t="s">
        <v>553</v>
      </c>
      <c r="B26" s="238" t="s">
        <v>146</v>
      </c>
      <c r="C26" s="161"/>
      <c r="D26" s="271" t="s">
        <v>146</v>
      </c>
      <c r="E26" s="411">
        <f>C26-'[11]Oktobris'!C26</f>
        <v>0</v>
      </c>
      <c r="F26" s="291" t="s">
        <v>380</v>
      </c>
      <c r="G26" s="271" t="s">
        <v>146</v>
      </c>
      <c r="H26" s="409">
        <f>ROUND(C26/1000,0)</f>
        <v>0</v>
      </c>
      <c r="I26" s="271" t="s">
        <v>146</v>
      </c>
      <c r="J26" s="409">
        <f>H26-'[11]Oktobris'!H26</f>
        <v>0</v>
      </c>
    </row>
    <row r="27" spans="1:10" ht="22.5" customHeight="1">
      <c r="A27" s="114" t="s">
        <v>554</v>
      </c>
      <c r="B27" s="238" t="s">
        <v>146</v>
      </c>
      <c r="D27" s="271" t="s">
        <v>146</v>
      </c>
      <c r="E27" s="411">
        <f>C27-'[11]Oktobris'!C27</f>
        <v>0</v>
      </c>
      <c r="F27" s="114" t="s">
        <v>381</v>
      </c>
      <c r="G27" s="271" t="s">
        <v>146</v>
      </c>
      <c r="H27" s="409">
        <f>ROUND(C26/1000,0)</f>
        <v>0</v>
      </c>
      <c r="I27" s="271" t="s">
        <v>146</v>
      </c>
      <c r="J27" s="409">
        <f>H27-'[11]Oktobris'!H27</f>
        <v>0</v>
      </c>
    </row>
    <row r="28" spans="1:10" ht="25.5">
      <c r="A28" s="114" t="s">
        <v>555</v>
      </c>
      <c r="B28" s="299">
        <v>418374</v>
      </c>
      <c r="C28" s="161">
        <v>422896</v>
      </c>
      <c r="D28" s="417">
        <f>IF(ISERROR(C28/B28)," ",(C28/B28))</f>
        <v>1.0108085110451415</v>
      </c>
      <c r="E28" s="411">
        <f>C28-'[11]Oktobris'!C28</f>
        <v>1472</v>
      </c>
      <c r="F28" s="114" t="s">
        <v>556</v>
      </c>
      <c r="G28" s="271" t="s">
        <v>146</v>
      </c>
      <c r="H28" s="409">
        <f>ROUND(C28/1000,0)</f>
        <v>423</v>
      </c>
      <c r="I28" s="271" t="s">
        <v>146</v>
      </c>
      <c r="J28" s="409">
        <f>H28-'[11]Oktobris'!H28</f>
        <v>2</v>
      </c>
    </row>
    <row r="29" spans="1:10" ht="15" customHeight="1">
      <c r="A29" s="114" t="s">
        <v>557</v>
      </c>
      <c r="B29" s="299">
        <v>336094</v>
      </c>
      <c r="C29" s="161">
        <v>163072</v>
      </c>
      <c r="D29" s="417">
        <f>IF(ISERROR(C29/B29)," ",(C29/B29))</f>
        <v>0.4851975935303814</v>
      </c>
      <c r="E29" s="411">
        <f>C29-'[11]Oktobris'!C29</f>
        <v>14177</v>
      </c>
      <c r="F29" s="114" t="s">
        <v>387</v>
      </c>
      <c r="G29" s="271" t="s">
        <v>146</v>
      </c>
      <c r="H29" s="409">
        <f>ROUND(C29/1000,0)</f>
        <v>163</v>
      </c>
      <c r="I29" s="271" t="s">
        <v>146</v>
      </c>
      <c r="J29" s="409">
        <f>H29-'[11]Oktobris'!H29</f>
        <v>14</v>
      </c>
    </row>
    <row r="30" spans="1:10" ht="23.25" customHeight="1">
      <c r="A30" s="179" t="s">
        <v>558</v>
      </c>
      <c r="B30" s="414">
        <f>SUM(B31:B32)</f>
        <v>1842484</v>
      </c>
      <c r="C30" s="414">
        <f>SUM(C31:C32)</f>
        <v>1450679</v>
      </c>
      <c r="D30" s="286">
        <f>IF(ISERROR(C30/B30)," ",(C30/B30))</f>
        <v>0.787349578069606</v>
      </c>
      <c r="E30" s="415">
        <f>SUM(E31:E32)</f>
        <v>-3143389</v>
      </c>
      <c r="F30" s="179" t="s">
        <v>558</v>
      </c>
      <c r="G30" s="27">
        <f>SUM(G31:G32)</f>
        <v>1842</v>
      </c>
      <c r="H30" s="414">
        <f>SUM(H31:H32)</f>
        <v>1450</v>
      </c>
      <c r="I30" s="413">
        <f>IF(ISERROR(H30/G30)," ",(H30/G30))*100</f>
        <v>78.71878393051031</v>
      </c>
      <c r="J30" s="414">
        <f>SUM(J31:J32)</f>
        <v>-3143</v>
      </c>
    </row>
    <row r="31" spans="1:10" ht="18.75" customHeight="1">
      <c r="A31" s="114" t="s">
        <v>399</v>
      </c>
      <c r="B31" s="161">
        <v>1784484</v>
      </c>
      <c r="C31" s="161">
        <f>1258413+14048+156805</f>
        <v>1429266</v>
      </c>
      <c r="D31" s="417">
        <f>IF(ISERROR(C31/B31)," ",(C31/B31))</f>
        <v>0.8009407761571412</v>
      </c>
      <c r="E31" s="411">
        <f>C31-'[11]Oktobris'!C31</f>
        <v>-3143389</v>
      </c>
      <c r="F31" s="114" t="s">
        <v>559</v>
      </c>
      <c r="G31" s="418">
        <f>ROUND(B31/1000,0)</f>
        <v>1784</v>
      </c>
      <c r="H31" s="409">
        <f>ROUND(C31/1000,0)</f>
        <v>1429</v>
      </c>
      <c r="I31" s="413">
        <f>IF(ISERROR(H31/G31)," ",(H31/G31))*100</f>
        <v>80.10089686098655</v>
      </c>
      <c r="J31" s="409">
        <f>ROUND(E31/1000,0)</f>
        <v>-3143</v>
      </c>
    </row>
    <row r="32" spans="1:10" ht="18" customHeight="1">
      <c r="A32" s="114" t="s">
        <v>401</v>
      </c>
      <c r="B32" s="161">
        <v>58000</v>
      </c>
      <c r="C32" s="305">
        <v>21413</v>
      </c>
      <c r="D32" s="417">
        <f>IF(ISERROR(C32/B32)," ",(C32/B32))</f>
        <v>0.3691896551724138</v>
      </c>
      <c r="E32" s="411">
        <f>C32-'[11]Oktobris'!C32</f>
        <v>0</v>
      </c>
      <c r="F32" s="114" t="s">
        <v>401</v>
      </c>
      <c r="G32" s="418">
        <f>ROUND(B32/1000,0)</f>
        <v>58</v>
      </c>
      <c r="H32" s="409">
        <f>ROUND(C32/1000,0)</f>
        <v>21</v>
      </c>
      <c r="I32" s="413">
        <f>IF(ISERROR(H32/G32)," ",(H32/G32))*100</f>
        <v>36.206896551724135</v>
      </c>
      <c r="J32" s="409">
        <f>H32-'[11]Oktobris'!H32</f>
        <v>0</v>
      </c>
    </row>
    <row r="33" spans="1:56" s="291" customFormat="1" ht="15.75" customHeight="1">
      <c r="A33" s="179" t="s">
        <v>560</v>
      </c>
      <c r="B33" s="238" t="s">
        <v>146</v>
      </c>
      <c r="C33" s="141">
        <f>SUM(C9-C12)</f>
        <v>5084500</v>
      </c>
      <c r="D33" s="271" t="s">
        <v>146</v>
      </c>
      <c r="E33" s="424" t="s">
        <v>146</v>
      </c>
      <c r="F33" s="179" t="s">
        <v>560</v>
      </c>
      <c r="G33" s="271"/>
      <c r="H33" s="414">
        <f>SUM(H9-H12)</f>
        <v>5085</v>
      </c>
      <c r="I33" s="271" t="s">
        <v>146</v>
      </c>
      <c r="J33" s="284" t="s">
        <v>146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</row>
    <row r="34" spans="1:56" s="291" customFormat="1" ht="16.5" customHeight="1">
      <c r="A34" s="179" t="s">
        <v>411</v>
      </c>
      <c r="B34" s="238" t="s">
        <v>146</v>
      </c>
      <c r="C34" s="161">
        <f>-(C33)</f>
        <v>-5084500</v>
      </c>
      <c r="D34" s="271" t="s">
        <v>146</v>
      </c>
      <c r="E34" s="424" t="s">
        <v>146</v>
      </c>
      <c r="F34" s="179" t="s">
        <v>411</v>
      </c>
      <c r="G34" s="152"/>
      <c r="H34" s="414">
        <f>ROUND(C34/1000,0)</f>
        <v>-5085</v>
      </c>
      <c r="I34" s="271" t="s">
        <v>146</v>
      </c>
      <c r="J34" s="284" t="s">
        <v>146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</row>
    <row r="35" spans="1:56" s="291" customFormat="1" ht="26.25" customHeight="1">
      <c r="A35" s="216" t="s">
        <v>561</v>
      </c>
      <c r="B35" s="238" t="s">
        <v>146</v>
      </c>
      <c r="C35" s="161">
        <f>-(C33)</f>
        <v>-5084500</v>
      </c>
      <c r="D35" s="271" t="s">
        <v>146</v>
      </c>
      <c r="E35" s="424" t="s">
        <v>146</v>
      </c>
      <c r="F35" s="216" t="s">
        <v>561</v>
      </c>
      <c r="G35" s="152"/>
      <c r="H35" s="409">
        <f>ROUND(C35/1000,0)</f>
        <v>-5085</v>
      </c>
      <c r="I35" s="271" t="s">
        <v>146</v>
      </c>
      <c r="J35" s="284" t="s">
        <v>146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</row>
    <row r="36" spans="1:56" s="125" customFormat="1" ht="27.75" customHeight="1">
      <c r="A36" s="478" t="s">
        <v>562</v>
      </c>
      <c r="B36" s="478"/>
      <c r="C36" s="478"/>
      <c r="D36" s="425">
        <f>'[12]Sheet1'!$P$13</f>
        <v>5859728</v>
      </c>
      <c r="E36" s="426"/>
      <c r="F36" s="735" t="s">
        <v>563</v>
      </c>
      <c r="G36" s="735"/>
      <c r="H36" s="735"/>
      <c r="I36" s="735"/>
      <c r="J36" s="735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</row>
    <row r="37" spans="1:56" s="125" customFormat="1" ht="27" customHeight="1">
      <c r="A37" s="125" t="s">
        <v>564</v>
      </c>
      <c r="C37" s="184"/>
      <c r="D37" s="426">
        <f>'[13]Sheet1'!$J$21</f>
        <v>185955</v>
      </c>
      <c r="E37" s="426"/>
      <c r="F37" s="736"/>
      <c r="G37" s="736"/>
      <c r="H37" s="736"/>
      <c r="I37" s="426"/>
      <c r="J37" s="184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</row>
    <row r="38" spans="1:56" s="125" customFormat="1" ht="16.5" customHeight="1">
      <c r="A38" s="427"/>
      <c r="B38" s="184"/>
      <c r="C38" s="426"/>
      <c r="D38" s="344"/>
      <c r="E38" s="426"/>
      <c r="G38" s="186"/>
      <c r="H38" s="426"/>
      <c r="I38" s="344"/>
      <c r="J38" s="426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</row>
    <row r="39" spans="1:56" s="125" customFormat="1" ht="16.5" customHeight="1">
      <c r="A39" s="477" t="s">
        <v>417</v>
      </c>
      <c r="B39" s="477"/>
      <c r="C39" s="477"/>
      <c r="D39" s="477"/>
      <c r="E39" s="477"/>
      <c r="H39" s="184"/>
      <c r="I39" s="46"/>
      <c r="J39" s="426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</row>
    <row r="40" spans="1:56" s="125" customFormat="1" ht="16.5" customHeight="1">
      <c r="A40" s="279"/>
      <c r="B40" s="95"/>
      <c r="C40" s="95"/>
      <c r="D40" s="428"/>
      <c r="E40" s="426"/>
      <c r="F40" s="94" t="s">
        <v>417</v>
      </c>
      <c r="H40" s="184"/>
      <c r="I40" s="46"/>
      <c r="J40" s="184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</row>
    <row r="41" spans="1:56" s="125" customFormat="1" ht="16.5" customHeight="1">
      <c r="A41" s="279"/>
      <c r="B41" s="95"/>
      <c r="C41" s="95"/>
      <c r="D41" s="428"/>
      <c r="E41" s="426"/>
      <c r="G41" s="186"/>
      <c r="H41" s="426"/>
      <c r="I41" s="344"/>
      <c r="J41" s="95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</row>
    <row r="42" spans="4:10" ht="16.5" customHeight="1">
      <c r="D42" s="428"/>
      <c r="E42" s="184"/>
      <c r="G42" s="92"/>
      <c r="H42" s="93"/>
      <c r="I42" s="349"/>
      <c r="J42" s="93"/>
    </row>
    <row r="43" spans="4:9" ht="12.75">
      <c r="D43" s="428"/>
      <c r="G43" s="95"/>
      <c r="I43" s="349"/>
    </row>
    <row r="44" ht="12.75"/>
    <row r="45" ht="12.75"/>
    <row r="46" ht="12.75"/>
    <row r="47" ht="12.75"/>
    <row r="48" ht="12.75"/>
    <row r="49" ht="12.75"/>
    <row r="50" ht="12" customHeight="1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</sheetData>
  <mergeCells count="5">
    <mergeCell ref="A39:E39"/>
    <mergeCell ref="F4:J4"/>
    <mergeCell ref="A36:C36"/>
    <mergeCell ref="F36:J36"/>
    <mergeCell ref="F37:H37"/>
  </mergeCells>
  <printOptions/>
  <pageMargins left="1.38" right="0.19" top="0.4" bottom="0.16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8"/>
  <sheetViews>
    <sheetView workbookViewId="0" topLeftCell="F1">
      <selection activeCell="A6" sqref="A6"/>
    </sheetView>
  </sheetViews>
  <sheetFormatPr defaultColWidth="9.140625" defaultRowHeight="12.75"/>
  <cols>
    <col min="1" max="1" width="35.28125" style="3" hidden="1" customWidth="1"/>
    <col min="2" max="2" width="8.8515625" style="3" hidden="1" customWidth="1"/>
    <col min="3" max="3" width="14.28125" style="3" hidden="1" customWidth="1"/>
    <col min="4" max="4" width="13.7109375" style="3" hidden="1" customWidth="1"/>
    <col min="5" max="5" width="11.7109375" style="3" hidden="1" customWidth="1"/>
    <col min="6" max="6" width="44.28125" style="3" customWidth="1"/>
    <col min="7" max="7" width="8.00390625" style="3" customWidth="1"/>
    <col min="8" max="8" width="11.7109375" style="3" customWidth="1"/>
    <col min="9" max="9" width="10.8515625" style="3" customWidth="1"/>
    <col min="10" max="10" width="10.7109375" style="3" customWidth="1"/>
    <col min="11" max="16384" width="7.8515625" style="3" customWidth="1"/>
  </cols>
  <sheetData>
    <row r="1" ht="12.75">
      <c r="H1" s="40"/>
    </row>
    <row r="2" spans="1:10" ht="12.75">
      <c r="A2" s="732" t="s">
        <v>565</v>
      </c>
      <c r="B2" s="732"/>
      <c r="C2" s="732"/>
      <c r="E2" s="94" t="s">
        <v>566</v>
      </c>
      <c r="F2" s="732" t="s">
        <v>567</v>
      </c>
      <c r="G2" s="732"/>
      <c r="H2" s="732"/>
      <c r="I2" s="732"/>
      <c r="J2" s="429" t="s">
        <v>566</v>
      </c>
    </row>
    <row r="3" ht="12.75">
      <c r="A3" s="430" t="s">
        <v>568</v>
      </c>
    </row>
    <row r="4" spans="1:10" ht="12.75">
      <c r="A4" s="737" t="s">
        <v>569</v>
      </c>
      <c r="B4" s="737"/>
      <c r="C4" s="737"/>
      <c r="D4" s="737"/>
      <c r="F4" s="737" t="s">
        <v>568</v>
      </c>
      <c r="G4" s="737"/>
      <c r="H4" s="737"/>
      <c r="I4" s="737"/>
      <c r="J4" s="737"/>
    </row>
    <row r="5" spans="6:10" ht="12.75">
      <c r="F5" s="737" t="s">
        <v>569</v>
      </c>
      <c r="G5" s="737"/>
      <c r="H5" s="737"/>
      <c r="I5" s="737"/>
      <c r="J5" s="234"/>
    </row>
    <row r="8" spans="5:10" ht="12.75">
      <c r="E8" s="94" t="s">
        <v>570</v>
      </c>
      <c r="J8" s="429" t="s">
        <v>185</v>
      </c>
    </row>
    <row r="9" spans="1:10" s="4" customFormat="1" ht="48">
      <c r="A9" s="431" t="s">
        <v>101</v>
      </c>
      <c r="B9" s="432" t="s">
        <v>571</v>
      </c>
      <c r="C9" s="432" t="s">
        <v>102</v>
      </c>
      <c r="D9" s="432" t="s">
        <v>104</v>
      </c>
      <c r="E9" s="432" t="s">
        <v>572</v>
      </c>
      <c r="F9" s="433" t="s">
        <v>101</v>
      </c>
      <c r="G9" s="133" t="s">
        <v>571</v>
      </c>
      <c r="H9" s="133" t="s">
        <v>102</v>
      </c>
      <c r="I9" s="133" t="s">
        <v>104</v>
      </c>
      <c r="J9" s="133" t="s">
        <v>572</v>
      </c>
    </row>
    <row r="10" spans="1:10" ht="12.75">
      <c r="A10" s="434">
        <v>1</v>
      </c>
      <c r="B10" s="434">
        <v>2</v>
      </c>
      <c r="C10" s="134">
        <v>3</v>
      </c>
      <c r="D10" s="134">
        <v>4</v>
      </c>
      <c r="E10" s="134">
        <v>5</v>
      </c>
      <c r="F10" s="137">
        <v>1</v>
      </c>
      <c r="G10" s="137">
        <v>2</v>
      </c>
      <c r="H10" s="131">
        <v>3</v>
      </c>
      <c r="I10" s="131">
        <v>4</v>
      </c>
      <c r="J10" s="131">
        <v>5</v>
      </c>
    </row>
    <row r="11" spans="1:10" ht="17.25" customHeight="1">
      <c r="A11" s="435" t="s">
        <v>428</v>
      </c>
      <c r="B11" s="182"/>
      <c r="C11" s="436">
        <f>SUM(C12:C25)</f>
        <v>705904702</v>
      </c>
      <c r="D11" s="436">
        <f>D12+D13+D14+D15+D16+D17+D18+D19+D20+D21+D22+D23+D24+D25</f>
        <v>722553114</v>
      </c>
      <c r="E11" s="437">
        <f>IF(ISERROR(D11/C11)," ",(D11/C11))</f>
        <v>1.0235845036204334</v>
      </c>
      <c r="F11" s="147" t="s">
        <v>428</v>
      </c>
      <c r="G11" s="142"/>
      <c r="H11" s="66">
        <f>SUM(H12:H25)</f>
        <v>705905</v>
      </c>
      <c r="I11" s="66">
        <f>SUM(I12:I25)</f>
        <v>722553</v>
      </c>
      <c r="J11" s="144">
        <f>IF(ISERROR(I11/H11)," ",(I11/H11))*100</f>
        <v>102.35839100162202</v>
      </c>
    </row>
    <row r="12" spans="1:10" ht="16.5" customHeight="1">
      <c r="A12" s="125" t="s">
        <v>573</v>
      </c>
      <c r="B12" s="438">
        <v>1</v>
      </c>
      <c r="C12" s="439">
        <v>78003116</v>
      </c>
      <c r="D12" s="439">
        <v>68679754</v>
      </c>
      <c r="E12" s="194">
        <f>IF(ISERROR(D12/C12)," ",(D12/C12))</f>
        <v>0.8804744928394912</v>
      </c>
      <c r="F12" s="291" t="s">
        <v>573</v>
      </c>
      <c r="G12" s="440">
        <v>1</v>
      </c>
      <c r="H12" s="152">
        <f>ROUND(C12/1000,)</f>
        <v>78003</v>
      </c>
      <c r="I12" s="152">
        <f>ROUND(D12/1000,)</f>
        <v>68680</v>
      </c>
      <c r="J12" s="153">
        <f aca="true" t="shared" si="0" ref="J12:J25">IF(ISERROR(I12/H12)," ",(I12/H12))*100</f>
        <v>88.04789559375922</v>
      </c>
    </row>
    <row r="13" spans="1:10" ht="18.75" customHeight="1">
      <c r="A13" s="40" t="s">
        <v>574</v>
      </c>
      <c r="B13" s="438">
        <v>2</v>
      </c>
      <c r="C13" s="439">
        <v>37677089</v>
      </c>
      <c r="D13" s="90">
        <v>35689640</v>
      </c>
      <c r="E13" s="194">
        <f aca="true" t="shared" si="1" ref="E13:E25">IF(ISERROR(D13/C13)," ",(D13/C13))</f>
        <v>0.9472504630068421</v>
      </c>
      <c r="F13" s="28" t="s">
        <v>574</v>
      </c>
      <c r="G13" s="440">
        <v>2</v>
      </c>
      <c r="H13" s="152">
        <f aca="true" t="shared" si="2" ref="H13:H23">ROUND(C13/1000,)</f>
        <v>37677</v>
      </c>
      <c r="I13" s="152">
        <f>ROUND(D13/1000,)-1</f>
        <v>35689</v>
      </c>
      <c r="J13" s="153">
        <f t="shared" si="0"/>
        <v>94.7235714096133</v>
      </c>
    </row>
    <row r="14" spans="1:10" ht="17.25" customHeight="1">
      <c r="A14" s="40" t="s">
        <v>575</v>
      </c>
      <c r="B14" s="438">
        <v>3</v>
      </c>
      <c r="C14" s="439">
        <v>97969852</v>
      </c>
      <c r="D14" s="439">
        <v>95550665</v>
      </c>
      <c r="E14" s="194">
        <f t="shared" si="1"/>
        <v>0.9753068219394677</v>
      </c>
      <c r="F14" s="28" t="s">
        <v>575</v>
      </c>
      <c r="G14" s="440">
        <v>3</v>
      </c>
      <c r="H14" s="152">
        <f t="shared" si="2"/>
        <v>97970</v>
      </c>
      <c r="I14" s="152">
        <f aca="true" t="shared" si="3" ref="I14:I24">ROUND(D14/1000,0)</f>
        <v>95551</v>
      </c>
      <c r="J14" s="153">
        <f t="shared" si="0"/>
        <v>97.5308767990201</v>
      </c>
    </row>
    <row r="15" spans="1:10" ht="18" customHeight="1">
      <c r="A15" s="40" t="s">
        <v>576</v>
      </c>
      <c r="B15" s="438">
        <v>4</v>
      </c>
      <c r="C15" s="439">
        <v>81589522</v>
      </c>
      <c r="D15" s="439">
        <v>76118772</v>
      </c>
      <c r="E15" s="194">
        <f t="shared" si="1"/>
        <v>0.9329478851463304</v>
      </c>
      <c r="F15" s="28" t="s">
        <v>576</v>
      </c>
      <c r="G15" s="440">
        <v>4</v>
      </c>
      <c r="H15" s="152">
        <f t="shared" si="2"/>
        <v>81590</v>
      </c>
      <c r="I15" s="152">
        <f t="shared" si="3"/>
        <v>76119</v>
      </c>
      <c r="J15" s="153">
        <f t="shared" si="0"/>
        <v>93.29452138742494</v>
      </c>
    </row>
    <row r="16" spans="1:10" ht="18" customHeight="1">
      <c r="A16" s="40" t="s">
        <v>577</v>
      </c>
      <c r="B16" s="438">
        <v>5</v>
      </c>
      <c r="C16" s="439">
        <v>63115647</v>
      </c>
      <c r="D16" s="439">
        <v>61839568</v>
      </c>
      <c r="E16" s="194">
        <f t="shared" si="1"/>
        <v>0.9797818914856407</v>
      </c>
      <c r="F16" s="28" t="s">
        <v>577</v>
      </c>
      <c r="G16" s="440">
        <v>5</v>
      </c>
      <c r="H16" s="152">
        <f t="shared" si="2"/>
        <v>63116</v>
      </c>
      <c r="I16" s="152">
        <f>ROUND(D16/1000,0)-1</f>
        <v>61839</v>
      </c>
      <c r="J16" s="153">
        <f t="shared" si="0"/>
        <v>97.97674123835478</v>
      </c>
    </row>
    <row r="17" spans="1:10" ht="20.25" customHeight="1">
      <c r="A17" s="40" t="s">
        <v>578</v>
      </c>
      <c r="B17" s="438">
        <v>6</v>
      </c>
      <c r="C17" s="439">
        <v>76255062</v>
      </c>
      <c r="D17" s="439">
        <v>75747089</v>
      </c>
      <c r="E17" s="194">
        <f t="shared" si="1"/>
        <v>0.9933385012525463</v>
      </c>
      <c r="F17" s="28" t="s">
        <v>578</v>
      </c>
      <c r="G17" s="440">
        <v>6</v>
      </c>
      <c r="H17" s="152">
        <f t="shared" si="2"/>
        <v>76255</v>
      </c>
      <c r="I17" s="152">
        <f t="shared" si="3"/>
        <v>75747</v>
      </c>
      <c r="J17" s="153">
        <f t="shared" si="0"/>
        <v>99.33381417611959</v>
      </c>
    </row>
    <row r="18" spans="1:10" ht="26.25" customHeight="1">
      <c r="A18" s="218" t="s">
        <v>579</v>
      </c>
      <c r="B18" s="438">
        <v>7</v>
      </c>
      <c r="C18" s="439">
        <v>11330828</v>
      </c>
      <c r="D18" s="439">
        <v>6710393</v>
      </c>
      <c r="E18" s="194">
        <f t="shared" si="1"/>
        <v>0.592224416432762</v>
      </c>
      <c r="F18" s="114" t="s">
        <v>579</v>
      </c>
      <c r="G18" s="440">
        <v>7</v>
      </c>
      <c r="H18" s="152">
        <f t="shared" si="2"/>
        <v>11331</v>
      </c>
      <c r="I18" s="152">
        <f t="shared" si="3"/>
        <v>6710</v>
      </c>
      <c r="J18" s="153">
        <f t="shared" si="0"/>
        <v>59.21807430941664</v>
      </c>
    </row>
    <row r="19" spans="1:10" ht="18.75" customHeight="1">
      <c r="A19" s="40" t="s">
        <v>580</v>
      </c>
      <c r="B19" s="438">
        <v>8</v>
      </c>
      <c r="C19" s="439">
        <v>22459910</v>
      </c>
      <c r="D19" s="439">
        <v>21551741</v>
      </c>
      <c r="E19" s="194">
        <f t="shared" si="1"/>
        <v>0.9595648869474543</v>
      </c>
      <c r="F19" s="28" t="s">
        <v>580</v>
      </c>
      <c r="G19" s="440">
        <v>8</v>
      </c>
      <c r="H19" s="152">
        <f t="shared" si="2"/>
        <v>22460</v>
      </c>
      <c r="I19" s="152">
        <f t="shared" si="3"/>
        <v>21552</v>
      </c>
      <c r="J19" s="153">
        <f t="shared" si="0"/>
        <v>95.95725734639359</v>
      </c>
    </row>
    <row r="20" spans="1:10" ht="19.5" customHeight="1">
      <c r="A20" s="40" t="s">
        <v>581</v>
      </c>
      <c r="B20" s="438">
        <v>9</v>
      </c>
      <c r="C20" s="439">
        <v>141886</v>
      </c>
      <c r="D20" s="439">
        <v>141693</v>
      </c>
      <c r="E20" s="194">
        <f t="shared" si="1"/>
        <v>0.9986397530411739</v>
      </c>
      <c r="F20" s="28" t="s">
        <v>581</v>
      </c>
      <c r="G20" s="440">
        <v>9</v>
      </c>
      <c r="H20" s="152">
        <f t="shared" si="2"/>
        <v>142</v>
      </c>
      <c r="I20" s="152">
        <f t="shared" si="3"/>
        <v>142</v>
      </c>
      <c r="J20" s="153">
        <f t="shared" si="0"/>
        <v>100</v>
      </c>
    </row>
    <row r="21" spans="1:12" ht="27.75" customHeight="1">
      <c r="A21" s="218" t="s">
        <v>582</v>
      </c>
      <c r="B21" s="438">
        <v>10</v>
      </c>
      <c r="C21" s="439">
        <v>58480491</v>
      </c>
      <c r="D21" s="439">
        <v>55356286</v>
      </c>
      <c r="E21" s="194">
        <f t="shared" si="1"/>
        <v>0.9465769704293352</v>
      </c>
      <c r="F21" s="114" t="s">
        <v>582</v>
      </c>
      <c r="G21" s="440">
        <v>10</v>
      </c>
      <c r="H21" s="152">
        <f t="shared" si="2"/>
        <v>58480</v>
      </c>
      <c r="I21" s="152">
        <f t="shared" si="3"/>
        <v>55356</v>
      </c>
      <c r="J21" s="153">
        <f t="shared" si="0"/>
        <v>94.6580027359781</v>
      </c>
      <c r="L21" s="441"/>
    </row>
    <row r="22" spans="1:10" ht="25.5" customHeight="1">
      <c r="A22" s="218" t="s">
        <v>583</v>
      </c>
      <c r="B22" s="438">
        <v>11</v>
      </c>
      <c r="C22" s="439">
        <v>782492</v>
      </c>
      <c r="D22" s="439">
        <v>668607</v>
      </c>
      <c r="E22" s="194">
        <f t="shared" si="1"/>
        <v>0.8544585759343226</v>
      </c>
      <c r="F22" s="114" t="s">
        <v>583</v>
      </c>
      <c r="G22" s="440">
        <v>11</v>
      </c>
      <c r="H22" s="152">
        <f t="shared" si="2"/>
        <v>782</v>
      </c>
      <c r="I22" s="152">
        <f t="shared" si="3"/>
        <v>669</v>
      </c>
      <c r="J22" s="153">
        <f t="shared" si="0"/>
        <v>85.54987212276215</v>
      </c>
    </row>
    <row r="23" spans="1:10" ht="19.5" customHeight="1">
      <c r="A23" s="40" t="s">
        <v>584</v>
      </c>
      <c r="B23" s="438">
        <v>12</v>
      </c>
      <c r="C23" s="439">
        <v>14096982</v>
      </c>
      <c r="D23" s="439">
        <v>12891905</v>
      </c>
      <c r="E23" s="194">
        <f t="shared" si="1"/>
        <v>0.9145152487248689</v>
      </c>
      <c r="F23" s="28" t="s">
        <v>584</v>
      </c>
      <c r="G23" s="440">
        <v>12</v>
      </c>
      <c r="H23" s="152">
        <f t="shared" si="2"/>
        <v>14097</v>
      </c>
      <c r="I23" s="152">
        <f t="shared" si="3"/>
        <v>12892</v>
      </c>
      <c r="J23" s="153">
        <f t="shared" si="0"/>
        <v>91.4520820032631</v>
      </c>
    </row>
    <row r="24" spans="1:10" ht="19.5" customHeight="1">
      <c r="A24" s="40" t="s">
        <v>585</v>
      </c>
      <c r="B24" s="438">
        <v>13</v>
      </c>
      <c r="C24" s="439">
        <v>24113813</v>
      </c>
      <c r="D24" s="439">
        <v>19315392</v>
      </c>
      <c r="E24" s="194">
        <f t="shared" si="1"/>
        <v>0.8010094463285421</v>
      </c>
      <c r="F24" s="28" t="s">
        <v>585</v>
      </c>
      <c r="G24" s="440">
        <v>13</v>
      </c>
      <c r="H24" s="152">
        <f>ROUND(C24/1000,)</f>
        <v>24114</v>
      </c>
      <c r="I24" s="152">
        <f t="shared" si="3"/>
        <v>19315</v>
      </c>
      <c r="J24" s="153">
        <f t="shared" si="0"/>
        <v>80.09869785187028</v>
      </c>
    </row>
    <row r="25" spans="1:10" ht="24.75" customHeight="1">
      <c r="A25" s="218" t="s">
        <v>586</v>
      </c>
      <c r="B25" s="438">
        <v>14</v>
      </c>
      <c r="C25" s="439">
        <v>139888012</v>
      </c>
      <c r="D25" s="439">
        <f>136141729+56149880</f>
        <v>192291609</v>
      </c>
      <c r="E25" s="194">
        <f t="shared" si="1"/>
        <v>1.3746110638844449</v>
      </c>
      <c r="F25" s="442" t="s">
        <v>587</v>
      </c>
      <c r="G25" s="443">
        <v>14</v>
      </c>
      <c r="H25" s="444">
        <f>ROUND(C25/1000,)</f>
        <v>139888</v>
      </c>
      <c r="I25" s="444">
        <f>ROUND(D25/1000,0)</f>
        <v>192292</v>
      </c>
      <c r="J25" s="153">
        <f t="shared" si="0"/>
        <v>137.46139768958022</v>
      </c>
    </row>
    <row r="26" spans="2:10" ht="12.75">
      <c r="B26" s="7"/>
      <c r="C26" s="89"/>
      <c r="D26" s="89"/>
      <c r="E26" s="203"/>
      <c r="G26" s="7"/>
      <c r="H26" s="89"/>
      <c r="I26" s="89"/>
      <c r="J26" s="203"/>
    </row>
    <row r="27" spans="1:10" ht="12.75">
      <c r="A27" s="3" t="s">
        <v>588</v>
      </c>
      <c r="B27" s="7"/>
      <c r="C27" s="89"/>
      <c r="D27" s="89"/>
      <c r="E27" s="203"/>
      <c r="F27" s="3" t="s">
        <v>588</v>
      </c>
      <c r="G27" s="7"/>
      <c r="H27" s="89"/>
      <c r="I27" s="89"/>
      <c r="J27" s="203"/>
    </row>
    <row r="28" spans="2:10" ht="12.75">
      <c r="B28" s="7"/>
      <c r="C28" s="89"/>
      <c r="D28" s="89"/>
      <c r="E28" s="203"/>
      <c r="G28" s="7"/>
      <c r="H28" s="89"/>
      <c r="I28" s="89"/>
      <c r="J28" s="203"/>
    </row>
    <row r="29" spans="2:10" ht="12.75">
      <c r="B29" s="7"/>
      <c r="C29" s="89"/>
      <c r="D29" s="89"/>
      <c r="E29" s="203"/>
      <c r="F29" s="441"/>
      <c r="G29" s="7"/>
      <c r="H29" s="89"/>
      <c r="I29" s="89"/>
      <c r="J29" s="203"/>
    </row>
    <row r="30" spans="2:10" ht="12.75">
      <c r="B30" s="7"/>
      <c r="C30" s="89"/>
      <c r="D30" s="89"/>
      <c r="E30" s="203"/>
      <c r="G30" s="7"/>
      <c r="H30" s="89"/>
      <c r="I30" s="89"/>
      <c r="J30" s="203"/>
    </row>
    <row r="31" spans="2:10" ht="12.75">
      <c r="B31" s="7"/>
      <c r="C31" s="89"/>
      <c r="D31" s="89"/>
      <c r="E31" s="203"/>
      <c r="I31" s="89"/>
      <c r="J31" s="203"/>
    </row>
    <row r="32" spans="2:10" ht="12.75">
      <c r="B32" s="7"/>
      <c r="C32" s="89"/>
      <c r="D32" s="89"/>
      <c r="E32" s="203"/>
      <c r="G32" s="7"/>
      <c r="H32" s="89"/>
      <c r="I32" s="89"/>
      <c r="J32" s="203"/>
    </row>
    <row r="33" spans="1:13" ht="12.75">
      <c r="A33" s="3" t="s">
        <v>589</v>
      </c>
      <c r="B33" s="7"/>
      <c r="C33" s="89" t="s">
        <v>590</v>
      </c>
      <c r="D33" s="89"/>
      <c r="E33" s="203"/>
      <c r="I33" s="89"/>
      <c r="J33" s="203"/>
      <c r="L33" s="7"/>
      <c r="M33" s="89"/>
    </row>
    <row r="34" spans="2:10" ht="12.75">
      <c r="B34" s="7"/>
      <c r="C34" s="89"/>
      <c r="D34" s="89"/>
      <c r="E34" s="203"/>
      <c r="G34" s="7"/>
      <c r="H34" s="89"/>
      <c r="I34" s="89"/>
      <c r="J34" s="203"/>
    </row>
    <row r="35" spans="2:9" ht="12.75">
      <c r="B35" s="7"/>
      <c r="C35" s="89"/>
      <c r="D35" s="89"/>
      <c r="E35" s="203"/>
      <c r="F35" s="3" t="s">
        <v>591</v>
      </c>
      <c r="G35" s="88"/>
      <c r="H35" s="128"/>
      <c r="I35" s="89"/>
    </row>
    <row r="36" spans="4:10" ht="12.75">
      <c r="D36" s="89"/>
      <c r="E36" s="203"/>
      <c r="I36" s="89"/>
      <c r="J36" s="203"/>
    </row>
    <row r="37" spans="2:10" ht="12.75">
      <c r="B37" s="7"/>
      <c r="C37" s="89"/>
      <c r="D37" s="89"/>
      <c r="E37" s="203"/>
      <c r="G37" s="7"/>
      <c r="H37" s="89"/>
      <c r="I37" s="89"/>
      <c r="J37" s="203"/>
    </row>
    <row r="38" spans="3:10" ht="12.75">
      <c r="C38" s="89"/>
      <c r="D38" s="89"/>
      <c r="E38" s="203"/>
      <c r="H38" s="89"/>
      <c r="I38" s="89"/>
      <c r="J38" s="203"/>
    </row>
    <row r="39" spans="3:10" ht="12.75">
      <c r="C39" s="89"/>
      <c r="D39" s="89"/>
      <c r="E39" s="203"/>
      <c r="H39" s="89"/>
      <c r="I39" s="89"/>
      <c r="J39" s="203"/>
    </row>
    <row r="40" spans="3:10" ht="12.75">
      <c r="C40" s="89"/>
      <c r="D40" s="89"/>
      <c r="E40" s="203"/>
      <c r="H40" s="89"/>
      <c r="I40" s="89"/>
      <c r="J40" s="203"/>
    </row>
    <row r="41" spans="3:10" ht="12.75">
      <c r="C41" s="89"/>
      <c r="D41" s="89"/>
      <c r="E41" s="203"/>
      <c r="H41" s="89"/>
      <c r="I41" s="89"/>
      <c r="J41" s="203"/>
    </row>
    <row r="42" spans="3:10" ht="12.75">
      <c r="C42" s="89"/>
      <c r="D42" s="89"/>
      <c r="E42" s="203"/>
      <c r="H42" s="89"/>
      <c r="I42" s="89"/>
      <c r="J42" s="203"/>
    </row>
    <row r="43" spans="3:10" ht="12.75">
      <c r="C43" s="89"/>
      <c r="D43" s="89"/>
      <c r="E43" s="203"/>
      <c r="F43" s="50"/>
      <c r="H43" s="89"/>
      <c r="I43" s="89"/>
      <c r="J43" s="203"/>
    </row>
    <row r="44" spans="3:10" ht="12.75">
      <c r="C44" s="89"/>
      <c r="D44" s="89"/>
      <c r="E44" s="203"/>
      <c r="F44" s="50" t="s">
        <v>592</v>
      </c>
      <c r="H44" s="89"/>
      <c r="I44" s="89"/>
      <c r="J44" s="203"/>
    </row>
    <row r="45" spans="3:10" ht="12.75">
      <c r="C45" s="89"/>
      <c r="D45" s="89"/>
      <c r="E45" s="203"/>
      <c r="F45" s="50" t="s">
        <v>180</v>
      </c>
      <c r="H45" s="89"/>
      <c r="I45" s="89"/>
      <c r="J45" s="203"/>
    </row>
    <row r="46" spans="3:10" ht="12.75">
      <c r="C46" s="89"/>
      <c r="D46" s="89"/>
      <c r="E46" s="203"/>
      <c r="H46" s="89"/>
      <c r="I46" s="89"/>
      <c r="J46" s="203"/>
    </row>
    <row r="47" spans="2:9" ht="12.75">
      <c r="B47" s="89"/>
      <c r="C47" s="89"/>
      <c r="D47" s="203"/>
      <c r="G47" s="89"/>
      <c r="H47" s="89"/>
      <c r="I47" s="203"/>
    </row>
    <row r="48" spans="2:9" ht="12.75">
      <c r="B48" s="89"/>
      <c r="C48" s="89"/>
      <c r="D48" s="203"/>
      <c r="G48" s="89"/>
      <c r="H48" s="89"/>
      <c r="I48" s="203"/>
    </row>
    <row r="49" spans="2:9" ht="12.75">
      <c r="B49" s="89"/>
      <c r="C49" s="89"/>
      <c r="D49" s="203"/>
      <c r="G49" s="89"/>
      <c r="H49" s="89"/>
      <c r="I49" s="203"/>
    </row>
    <row r="50" spans="2:9" ht="12.75">
      <c r="B50" s="89"/>
      <c r="C50" s="89"/>
      <c r="D50" s="203"/>
      <c r="G50" s="89"/>
      <c r="H50" s="89"/>
      <c r="I50" s="203"/>
    </row>
    <row r="51" spans="2:9" ht="12.75">
      <c r="B51" s="89"/>
      <c r="C51" s="89"/>
      <c r="D51" s="203"/>
      <c r="G51" s="89"/>
      <c r="H51" s="89"/>
      <c r="I51" s="203"/>
    </row>
    <row r="52" spans="2:9" ht="12.75">
      <c r="B52" s="89"/>
      <c r="C52" s="89"/>
      <c r="D52" s="203"/>
      <c r="G52" s="89"/>
      <c r="H52" s="89"/>
      <c r="I52" s="203"/>
    </row>
    <row r="53" spans="2:9" ht="12.75">
      <c r="B53" s="89"/>
      <c r="D53" s="203"/>
      <c r="G53" s="89"/>
      <c r="I53" s="203"/>
    </row>
    <row r="54" spans="2:9" ht="12.75">
      <c r="B54" s="89"/>
      <c r="D54" s="203"/>
      <c r="G54" s="89"/>
      <c r="I54" s="203"/>
    </row>
    <row r="55" spans="2:9" ht="12.75">
      <c r="B55" s="89"/>
      <c r="D55" s="203"/>
      <c r="G55" s="89"/>
      <c r="I55" s="203"/>
    </row>
    <row r="56" spans="2:9" ht="12.75">
      <c r="B56" s="89"/>
      <c r="D56" s="203"/>
      <c r="G56" s="89"/>
      <c r="I56" s="203"/>
    </row>
    <row r="57" spans="2:9" ht="12.75">
      <c r="B57" s="89"/>
      <c r="D57" s="203"/>
      <c r="G57" s="89"/>
      <c r="I57" s="203"/>
    </row>
    <row r="58" spans="2:9" ht="12.75">
      <c r="B58" s="89"/>
      <c r="D58" s="203"/>
      <c r="G58" s="89"/>
      <c r="I58" s="203"/>
    </row>
    <row r="59" spans="2:9" ht="12.75">
      <c r="B59" s="89"/>
      <c r="D59" s="203"/>
      <c r="G59" s="89"/>
      <c r="I59" s="203"/>
    </row>
    <row r="60" spans="2:9" ht="12.75">
      <c r="B60" s="89"/>
      <c r="D60" s="203"/>
      <c r="G60" s="89"/>
      <c r="I60" s="203"/>
    </row>
    <row r="61" spans="2:9" ht="12.75">
      <c r="B61" s="89"/>
      <c r="D61" s="203"/>
      <c r="G61" s="89"/>
      <c r="I61" s="203"/>
    </row>
    <row r="62" spans="2:9" ht="12.75">
      <c r="B62" s="89"/>
      <c r="D62" s="203"/>
      <c r="G62" s="89"/>
      <c r="I62" s="203"/>
    </row>
    <row r="63" spans="2:9" ht="12.75">
      <c r="B63" s="89"/>
      <c r="D63" s="203"/>
      <c r="G63" s="89"/>
      <c r="I63" s="203"/>
    </row>
    <row r="64" spans="2:9" ht="12.75">
      <c r="B64" s="89"/>
      <c r="D64" s="203"/>
      <c r="G64" s="89"/>
      <c r="I64" s="203"/>
    </row>
    <row r="65" spans="2:9" ht="12.75">
      <c r="B65" s="89"/>
      <c r="D65" s="203"/>
      <c r="G65" s="89"/>
      <c r="I65" s="203"/>
    </row>
    <row r="66" spans="2:9" ht="12.75">
      <c r="B66" s="89"/>
      <c r="D66" s="203"/>
      <c r="G66" s="89"/>
      <c r="I66" s="203"/>
    </row>
    <row r="67" spans="2:9" ht="12.75">
      <c r="B67" s="89"/>
      <c r="D67" s="203"/>
      <c r="G67" s="89"/>
      <c r="I67" s="203"/>
    </row>
    <row r="68" spans="2:9" ht="12.75">
      <c r="B68" s="89"/>
      <c r="D68" s="203"/>
      <c r="G68" s="89"/>
      <c r="I68" s="203"/>
    </row>
    <row r="69" spans="2:9" ht="12.75">
      <c r="B69" s="89"/>
      <c r="D69" s="203"/>
      <c r="G69" s="89"/>
      <c r="I69" s="203"/>
    </row>
    <row r="70" spans="2:9" ht="12.75">
      <c r="B70" s="89"/>
      <c r="D70" s="203"/>
      <c r="G70" s="89"/>
      <c r="I70" s="203"/>
    </row>
    <row r="71" spans="2:9" ht="12.75">
      <c r="B71" s="89"/>
      <c r="D71" s="203"/>
      <c r="G71" s="89"/>
      <c r="I71" s="203"/>
    </row>
    <row r="72" spans="2:9" ht="12.75">
      <c r="B72" s="89"/>
      <c r="D72" s="203"/>
      <c r="G72" s="89"/>
      <c r="I72" s="203"/>
    </row>
    <row r="73" spans="2:9" ht="12.75">
      <c r="B73" s="89"/>
      <c r="D73" s="203"/>
      <c r="G73" s="89"/>
      <c r="I73" s="203"/>
    </row>
    <row r="74" spans="2:9" ht="12.75">
      <c r="B74" s="89"/>
      <c r="D74" s="203"/>
      <c r="G74" s="89"/>
      <c r="I74" s="203"/>
    </row>
    <row r="75" spans="2:9" ht="12.75">
      <c r="B75" s="89"/>
      <c r="D75" s="203"/>
      <c r="G75" s="89"/>
      <c r="I75" s="203"/>
    </row>
    <row r="76" spans="2:9" ht="12.75">
      <c r="B76" s="89"/>
      <c r="D76" s="203"/>
      <c r="G76" s="89"/>
      <c r="I76" s="203"/>
    </row>
    <row r="77" spans="2:9" ht="12.75">
      <c r="B77" s="89"/>
      <c r="D77" s="203"/>
      <c r="G77" s="89"/>
      <c r="I77" s="203"/>
    </row>
    <row r="78" spans="2:9" ht="12.75">
      <c r="B78" s="89"/>
      <c r="D78" s="203"/>
      <c r="G78" s="89"/>
      <c r="I78" s="203"/>
    </row>
    <row r="79" spans="2:9" ht="12.75">
      <c r="B79" s="89"/>
      <c r="D79" s="203"/>
      <c r="G79" s="89"/>
      <c r="I79" s="203"/>
    </row>
    <row r="80" spans="2:9" ht="12.75">
      <c r="B80" s="89"/>
      <c r="D80" s="203"/>
      <c r="G80" s="89"/>
      <c r="I80" s="203"/>
    </row>
    <row r="81" spans="2:9" ht="12.75">
      <c r="B81" s="89"/>
      <c r="D81" s="203"/>
      <c r="G81" s="89"/>
      <c r="I81" s="203"/>
    </row>
    <row r="82" spans="2:9" ht="12.75">
      <c r="B82" s="89"/>
      <c r="D82" s="203"/>
      <c r="G82" s="89"/>
      <c r="I82" s="203"/>
    </row>
    <row r="83" spans="2:9" ht="12.75">
      <c r="B83" s="89"/>
      <c r="D83" s="203"/>
      <c r="G83" s="89"/>
      <c r="I83" s="203"/>
    </row>
    <row r="84" spans="2:9" ht="12.75">
      <c r="B84" s="89"/>
      <c r="D84" s="203"/>
      <c r="G84" s="89"/>
      <c r="I84" s="203"/>
    </row>
    <row r="85" spans="2:9" ht="12.75">
      <c r="B85" s="89"/>
      <c r="D85" s="203"/>
      <c r="G85" s="89"/>
      <c r="I85" s="203"/>
    </row>
    <row r="86" spans="2:9" ht="12.75">
      <c r="B86" s="89"/>
      <c r="D86" s="203"/>
      <c r="G86" s="89"/>
      <c r="I86" s="203"/>
    </row>
    <row r="87" spans="2:9" ht="12.75">
      <c r="B87" s="89"/>
      <c r="D87" s="203"/>
      <c r="G87" s="89"/>
      <c r="I87" s="203"/>
    </row>
    <row r="88" spans="2:9" ht="12.75">
      <c r="B88" s="89"/>
      <c r="D88" s="203"/>
      <c r="G88" s="89"/>
      <c r="I88" s="203"/>
    </row>
    <row r="89" spans="2:9" ht="12.75">
      <c r="B89" s="89"/>
      <c r="D89" s="203"/>
      <c r="G89" s="89"/>
      <c r="I89" s="203"/>
    </row>
    <row r="90" spans="2:9" ht="12.75">
      <c r="B90" s="89"/>
      <c r="D90" s="203"/>
      <c r="G90" s="89"/>
      <c r="I90" s="203"/>
    </row>
    <row r="91" spans="2:9" ht="12.75">
      <c r="B91" s="89"/>
      <c r="D91" s="203"/>
      <c r="G91" s="89"/>
      <c r="I91" s="203"/>
    </row>
    <row r="92" spans="2:9" ht="12.75">
      <c r="B92" s="89"/>
      <c r="D92" s="203"/>
      <c r="G92" s="89"/>
      <c r="I92" s="203"/>
    </row>
    <row r="93" spans="2:9" ht="12.75">
      <c r="B93" s="89"/>
      <c r="D93" s="203"/>
      <c r="G93" s="89"/>
      <c r="I93" s="203"/>
    </row>
    <row r="94" spans="2:9" ht="12.75">
      <c r="B94" s="89"/>
      <c r="D94" s="203"/>
      <c r="G94" s="89"/>
      <c r="I94" s="203"/>
    </row>
    <row r="95" spans="2:9" ht="12.75">
      <c r="B95" s="89"/>
      <c r="D95" s="203"/>
      <c r="G95" s="89"/>
      <c r="I95" s="203"/>
    </row>
    <row r="96" spans="2:9" ht="12.75">
      <c r="B96" s="89"/>
      <c r="D96" s="203"/>
      <c r="G96" s="89"/>
      <c r="I96" s="203"/>
    </row>
    <row r="97" spans="2:9" ht="12.75">
      <c r="B97" s="89"/>
      <c r="D97" s="203"/>
      <c r="G97" s="89"/>
      <c r="I97" s="203"/>
    </row>
    <row r="98" spans="2:9" ht="12.75">
      <c r="B98" s="89"/>
      <c r="D98" s="203"/>
      <c r="G98" s="89"/>
      <c r="I98" s="203"/>
    </row>
    <row r="99" spans="2:9" ht="12.75">
      <c r="B99" s="89"/>
      <c r="D99" s="203"/>
      <c r="G99" s="89"/>
      <c r="I99" s="203"/>
    </row>
    <row r="100" spans="2:7" ht="12.75">
      <c r="B100" s="89"/>
      <c r="G100" s="89"/>
    </row>
    <row r="101" spans="2:7" ht="12.75">
      <c r="B101" s="89"/>
      <c r="G101" s="89"/>
    </row>
    <row r="102" spans="2:7" ht="12.75">
      <c r="B102" s="89"/>
      <c r="G102" s="89"/>
    </row>
    <row r="103" spans="2:7" ht="12.75">
      <c r="B103" s="89"/>
      <c r="G103" s="89"/>
    </row>
    <row r="104" spans="2:7" ht="12.75">
      <c r="B104" s="89"/>
      <c r="G104" s="89"/>
    </row>
    <row r="105" spans="2:7" ht="12.75">
      <c r="B105" s="89"/>
      <c r="G105" s="89"/>
    </row>
    <row r="106" spans="2:7" ht="12.75">
      <c r="B106" s="89"/>
      <c r="G106" s="89"/>
    </row>
    <row r="107" spans="2:7" ht="12.75">
      <c r="B107" s="89"/>
      <c r="G107" s="89"/>
    </row>
    <row r="108" spans="2:7" ht="12.75">
      <c r="B108" s="89"/>
      <c r="G108" s="89"/>
    </row>
  </sheetData>
  <mergeCells count="5">
    <mergeCell ref="F5:I5"/>
    <mergeCell ref="A2:C2"/>
    <mergeCell ref="F2:I2"/>
    <mergeCell ref="A4:D4"/>
    <mergeCell ref="F4:J4"/>
  </mergeCells>
  <printOptions/>
  <pageMargins left="0.75" right="0.75" top="1" bottom="0.68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DaceL</dc:creator>
  <cp:keywords/>
  <dc:description/>
  <cp:lastModifiedBy>VinetaP</cp:lastModifiedBy>
  <cp:lastPrinted>2000-12-18T07:15:41Z</cp:lastPrinted>
  <dcterms:created xsi:type="dcterms:W3CDTF">2000-12-15T08:12:08Z</dcterms:created>
  <dcterms:modified xsi:type="dcterms:W3CDTF">2002-12-02T14:50:44Z</dcterms:modified>
  <cp:category/>
  <cp:version/>
  <cp:contentType/>
  <cp:contentStatus/>
</cp:coreProperties>
</file>