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7.tab." sheetId="27" r:id="rId27"/>
    <sheet name="28.tab." sheetId="28" r:id="rId28"/>
    <sheet name="29.tab." sheetId="29" r:id="rId29"/>
    <sheet name="32.tab.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Print_Titles" localSheetId="1">'1.tab.'!$7:$9</definedName>
    <definedName name="_xlnm.Print_Titles" localSheetId="12">'12.tab.'!$5:$7</definedName>
    <definedName name="_xlnm.Print_Titles" localSheetId="13">'13.tab.'!$6:$8</definedName>
    <definedName name="_xlnm.Print_Titles" localSheetId="19">'19.tab.'!$7:$11</definedName>
    <definedName name="_xlnm.Print_Titles" localSheetId="20">'20.tab.'!$6:$10</definedName>
    <definedName name="_xlnm.Print_Titles" localSheetId="21">'21.tab.'!$6:$10</definedName>
    <definedName name="_xlnm.Print_Titles" localSheetId="22">'22.tab.'!$6:$8</definedName>
    <definedName name="_xlnm.Print_Titles" localSheetId="25">'25.tab.'!$7:$10</definedName>
    <definedName name="_xlnm.Print_Titles" localSheetId="26">'27.tab.'!$8:$11</definedName>
    <definedName name="_xlnm.Print_Titles" localSheetId="27">'28.tab.'!$8:$11</definedName>
    <definedName name="_xlnm.Print_Titles" localSheetId="3">'3.tab.'!$7:$9</definedName>
    <definedName name="_xlnm.Print_Titles" localSheetId="4">'4.tab.'!$7:$9</definedName>
    <definedName name="_xlnm.Print_Titles" localSheetId="6">'6.tab.'!$7:$9</definedName>
    <definedName name="_xlnm.Print_Titles" localSheetId="7">'7.tab.'!$7:$9</definedName>
    <definedName name="_xlnm.Print_Titles" localSheetId="9">'9.tab.'!$6:$8</definedName>
  </definedNames>
  <calcPr fullCalcOnLoad="1"/>
</workbook>
</file>

<file path=xl/sharedStrings.xml><?xml version="1.0" encoding="utf-8"?>
<sst xmlns="http://schemas.openxmlformats.org/spreadsheetml/2006/main" count="3773" uniqueCount="892">
  <si>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</si>
  <si>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</si>
  <si>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</si>
  <si>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</si>
  <si>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</si>
  <si>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 xml:space="preserve">     Centralizētā bruņojuma un munīcijas 
     nodrošināsanas izdevumi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</si>
  <si>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</si>
  <si>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</si>
  <si>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</si>
  <si>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t xml:space="preserve">Valsts kases pārvaldnieks                                                                                        A. Veiss                                            </t>
  </si>
  <si>
    <t>28.tabula</t>
  </si>
  <si>
    <t>Ministriju un centrālo valsts iestāžu ilgtermiņa valsts saistību limiti</t>
  </si>
  <si>
    <t>2002., 2003. gadam un turpmākajiem gadiem valsts speciālajā budžetā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</si>
  <si>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</si>
  <si>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</si>
  <si>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</si>
  <si>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</si>
  <si>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</si>
  <si>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(3/2)</t>
  </si>
  <si>
    <t>Izpilde % pret gada plānu (6/5)</t>
  </si>
  <si>
    <t>Izpilde % pret gada plānu (9/8)</t>
  </si>
  <si>
    <t>Kopā</t>
  </si>
  <si>
    <t>Kārtējie izdevumi (aizņēmumu pamatsummu atmaksa)</t>
  </si>
  <si>
    <t>Maksājumi starptautiskajās organizācijās, programmās</t>
  </si>
  <si>
    <t>Valsts kases pārvaldnieks ________________________________________ (A.Veiss)</t>
  </si>
  <si>
    <t>Valsts kases pārvaldnieks                                                                                                                                                         A.Veiss</t>
  </si>
  <si>
    <t>2000. gada 15.septembrī</t>
  </si>
  <si>
    <t>27.tabula</t>
  </si>
  <si>
    <t>2002., 2003. gadam un turpmākajiem gadiem valsts pamatbudžetā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</si>
  <si>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</si>
  <si>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</si>
  <si>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</si>
  <si>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</si>
  <si>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Valsts kases pārvaldnieks                                                                                                                                                               A.Veiss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</si>
  <si>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</si>
  <si>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</si>
  <si>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</si>
  <si>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</si>
  <si>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</si>
  <si>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</si>
  <si>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</si>
  <si>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</si>
  <si>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</si>
  <si>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</si>
  <si>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</si>
  <si>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</si>
  <si>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</si>
  <si>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</si>
  <si>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</si>
  <si>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</si>
  <si>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</si>
  <si>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</si>
  <si>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</si>
  <si>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</si>
  <si>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</si>
  <si>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</si>
  <si>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</si>
  <si>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</si>
  <si>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</si>
  <si>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</si>
  <si>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</si>
  <si>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</si>
  <si>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</si>
  <si>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</si>
  <si>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</si>
  <si>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</si>
  <si>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</si>
  <si>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</si>
  <si>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</si>
  <si>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</si>
  <si>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</si>
  <si>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</si>
  <si>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</si>
  <si>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</si>
  <si>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</si>
  <si>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</si>
  <si>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</si>
  <si>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</si>
  <si>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</si>
  <si>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</si>
  <si>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</si>
  <si>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</si>
  <si>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</si>
  <si>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</si>
  <si>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 xml:space="preserve">Valsts kases pārvaldnieks                                                                            </t>
  </si>
  <si>
    <t>14.tabula</t>
  </si>
  <si>
    <t xml:space="preserve">                                       Valsts kases oficiālais mēneša pārskats</t>
  </si>
  <si>
    <t>Pašvaldību pamatbudžeta ieņēmumi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</si>
  <si>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</si>
  <si>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</si>
  <si>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</si>
  <si>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</si>
  <si>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</si>
  <si>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</si>
  <si>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</si>
  <si>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</si>
  <si>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</si>
  <si>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</si>
  <si>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</si>
  <si>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</si>
  <si>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</si>
  <si>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</si>
  <si>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</si>
  <si>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</si>
  <si>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</si>
  <si>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</si>
  <si>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</si>
  <si>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</si>
  <si>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</si>
  <si>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</si>
  <si>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</si>
  <si>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</si>
  <si>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</si>
  <si>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</si>
  <si>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</si>
  <si>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</si>
  <si>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</si>
  <si>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</si>
  <si>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</si>
  <si>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</si>
  <si>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</si>
  <si>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</si>
  <si>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</si>
  <si>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</si>
  <si>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</si>
  <si>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</si>
  <si>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 xml:space="preserve"> No valsts pamatbudžeta saņemtā dotācija PFIF   1288 tūkst. latu</t>
  </si>
  <si>
    <t>* nesadalītais atlikums uz perioda beigām -285 tūkst.latu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</si>
  <si>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</si>
  <si>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</si>
  <si>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</si>
  <si>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</si>
  <si>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</si>
  <si>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</si>
  <si>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</si>
  <si>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</si>
  <si>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</si>
  <si>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</si>
  <si>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</si>
  <si>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</si>
  <si>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</si>
  <si>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</si>
  <si>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</si>
  <si>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</si>
  <si>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</si>
  <si>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</si>
  <si>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</si>
  <si>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</si>
  <si>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 xml:space="preserve">Valsts kases pārvaldnieks                                                                  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</si>
  <si>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</si>
  <si>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</si>
  <si>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</si>
  <si>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</si>
  <si>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 xml:space="preserve">                                                             (tūkst.latu)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</si>
  <si>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</si>
  <si>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</si>
  <si>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</si>
  <si>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</si>
  <si>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</si>
  <si>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</si>
  <si>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</si>
  <si>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</si>
  <si>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</si>
  <si>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</si>
  <si>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</si>
  <si>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</si>
  <si>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</si>
  <si>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</si>
  <si>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</si>
  <si>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</si>
  <si>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</si>
  <si>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</si>
  <si>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</si>
  <si>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</si>
  <si>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</si>
  <si>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</si>
  <si>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</si>
  <si>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</si>
  <si>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</si>
  <si>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</si>
  <si>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</si>
  <si>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</si>
  <si>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</si>
  <si>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</si>
  <si>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 xml:space="preserve">Pārvaldnieks 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</si>
  <si>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</si>
  <si>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</si>
  <si>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</si>
  <si>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</si>
  <si>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</si>
  <si>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</si>
  <si>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</si>
  <si>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</si>
  <si>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</si>
  <si>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</si>
  <si>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</si>
  <si>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>Finansēšana                   -(5-9)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</si>
  <si>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</si>
  <si>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</si>
  <si>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</si>
  <si>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</si>
  <si>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</si>
  <si>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</si>
  <si>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</si>
  <si>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</si>
  <si>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</si>
  <si>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</si>
  <si>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</si>
  <si>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Pārbaude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</si>
  <si>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</si>
  <si>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</si>
  <si>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</si>
  <si>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</si>
  <si>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</si>
  <si>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</si>
  <si>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</si>
  <si>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</si>
  <si>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</si>
  <si>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</si>
  <si>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</si>
  <si>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</si>
  <si>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</si>
  <si>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</si>
  <si>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</si>
  <si>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</si>
  <si>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</si>
  <si>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</si>
  <si>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</si>
  <si>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</si>
  <si>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</si>
  <si>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</si>
  <si>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</si>
  <si>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</si>
  <si>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</si>
  <si>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</si>
  <si>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</si>
  <si>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</si>
  <si>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</si>
  <si>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</si>
  <si>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</si>
  <si>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</si>
  <si>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</si>
  <si>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</si>
  <si>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</si>
  <si>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</si>
  <si>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</si>
  <si>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</si>
  <si>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</si>
  <si>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</si>
  <si>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</si>
  <si>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</si>
  <si>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</si>
  <si>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</si>
  <si>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</si>
  <si>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</si>
  <si>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</si>
  <si>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</si>
  <si>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</si>
  <si>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    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</si>
  <si>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</si>
  <si>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</si>
  <si>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</si>
  <si>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</si>
  <si>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</si>
  <si>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Uzturē-šanas</t>
  </si>
  <si>
    <t>Kapitālie</t>
  </si>
  <si>
    <t>Budžeta līdzekļu izmaiņas         (12-13)</t>
  </si>
  <si>
    <t>No komercbankām</t>
  </si>
  <si>
    <t>21.tabula</t>
  </si>
  <si>
    <t>Pašvaldību  budžeta ziedojumu un dāvinājumu  izpildes rādītāji</t>
  </si>
  <si>
    <t>Aizdevumi/ atmaksas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</si>
  <si>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</si>
  <si>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</si>
  <si>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</si>
  <si>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</si>
  <si>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</si>
  <si>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Fiskālā bilance (1.-2.-3)</t>
  </si>
  <si>
    <t xml:space="preserve">Valsts kases pārvaldnieks                                                                         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</si>
  <si>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</si>
  <si>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</si>
  <si>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</si>
  <si>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</si>
  <si>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</si>
  <si>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 xml:space="preserve">Valsts kases pārvaldnieks                                                                     </t>
  </si>
  <si>
    <t xml:space="preserve">                24. tabula</t>
  </si>
  <si>
    <t>Pašvaldību finansu izlīdzināšanas  fonda līdzekļi</t>
  </si>
  <si>
    <t>(2001.gada janvāris- februāris)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</si>
  <si>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</si>
  <si>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</si>
  <si>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</si>
  <si>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</si>
  <si>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</si>
  <si>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</si>
  <si>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</si>
  <si>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</si>
  <si>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</si>
  <si>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</si>
  <si>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</si>
  <si>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</si>
  <si>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</si>
  <si>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</si>
  <si>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</si>
  <si>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</si>
  <si>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</si>
  <si>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</si>
  <si>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</si>
  <si>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</si>
  <si>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</si>
  <si>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</si>
  <si>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</si>
  <si>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30.tabula</t>
  </si>
  <si>
    <t>32.tabula</t>
  </si>
  <si>
    <t>Valsts kases oficiālais mēneša pārskats</t>
  </si>
  <si>
    <t xml:space="preserve">Valsts kases kontu atlikumi kredītiestādēs </t>
  </si>
  <si>
    <t>(2001. gada februāris)</t>
  </si>
  <si>
    <t>(2001. gada janvāris - februāris)</t>
  </si>
  <si>
    <t>(latos)</t>
  </si>
  <si>
    <t>(tūkst.latu)</t>
  </si>
  <si>
    <t>Rādītāji</t>
  </si>
  <si>
    <t>Iepriekšējā gada beigās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</si>
  <si>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</si>
  <si>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</si>
  <si>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</si>
  <si>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</si>
  <si>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</si>
  <si>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</si>
  <si>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</si>
  <si>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</si>
  <si>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</si>
  <si>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</si>
  <si>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</si>
  <si>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</si>
  <si>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</si>
  <si>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</si>
  <si>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</si>
  <si>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</si>
  <si>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</si>
  <si>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</si>
  <si>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</si>
  <si>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</si>
  <si>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</si>
  <si>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</si>
  <si>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</si>
  <si>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</si>
  <si>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</si>
  <si>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</si>
  <si>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</si>
  <si>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</si>
  <si>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>A.Veiss</t>
  </si>
  <si>
    <t>Valsts kase / Pārskatu departaments</t>
  </si>
  <si>
    <t>2001. gada 15. marts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</si>
  <si>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</si>
  <si>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</si>
  <si>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</si>
  <si>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Konsolidētais
valsts budžets</t>
  </si>
  <si>
    <t>Konsolidētais
pašvaldību budžets</t>
  </si>
  <si>
    <t>Konsolidētais kopbudžets</t>
  </si>
  <si>
    <t>Februāra mēneša izpilde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</si>
  <si>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</si>
  <si>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</si>
  <si>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</si>
  <si>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</si>
  <si>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</si>
  <si>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</si>
  <si>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</si>
  <si>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</si>
  <si>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</si>
  <si>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</si>
  <si>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</si>
  <si>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</si>
  <si>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</si>
  <si>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</si>
  <si>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</si>
  <si>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</si>
  <si>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</si>
  <si>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</si>
  <si>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</si>
  <si>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</si>
  <si>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</si>
  <si>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</si>
  <si>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</si>
  <si>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</si>
  <si>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</si>
  <si>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</si>
  <si>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</si>
  <si>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</si>
  <si>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</si>
  <si>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</si>
  <si>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</si>
  <si>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</si>
  <si>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 *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</si>
  <si>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</si>
  <si>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</si>
  <si>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</si>
  <si>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</si>
  <si>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>Norēķinu kontu atlikumu izmaiņas</t>
  </si>
  <si>
    <t xml:space="preserve">* uzrādīti valsts budžetā valsts parāda nomaksai un pārfinansēšanai ieskaitītie līdzekļi </t>
  </si>
  <si>
    <t>Valsts kases pārvaldnieks                                                                                              A. Veiss</t>
  </si>
  <si>
    <t>Valsts kase/Pārskatu departaments</t>
  </si>
  <si>
    <t>2001.gada 15.marts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</si>
  <si>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</si>
  <si>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</si>
  <si>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</si>
  <si>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Likumā apstiprinātais gada plāns</t>
  </si>
  <si>
    <t>Izpilde no gada sākuma</t>
  </si>
  <si>
    <t>Izpilde  % pret gada plānu         (3/2)</t>
  </si>
  <si>
    <t xml:space="preserve">Janvāra  izpilde </t>
  </si>
  <si>
    <t xml:space="preserve">Februāra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</si>
  <si>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</si>
  <si>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</si>
  <si>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</si>
  <si>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</si>
  <si>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</si>
  <si>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</si>
  <si>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</si>
  <si>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</si>
  <si>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</si>
  <si>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</si>
  <si>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</si>
  <si>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</si>
  <si>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</si>
  <si>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</si>
  <si>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</si>
  <si>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</si>
  <si>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</si>
  <si>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</si>
  <si>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</si>
  <si>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</si>
  <si>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</si>
  <si>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</si>
  <si>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</si>
  <si>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</si>
  <si>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</si>
  <si>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</si>
  <si>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</si>
  <si>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</si>
  <si>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</si>
  <si>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</si>
  <si>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</si>
  <si>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</si>
  <si>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</si>
  <si>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</si>
  <si>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</si>
  <si>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*</t>
  </si>
  <si>
    <t xml:space="preserve">          ieņēmumi no valsts nekustāmā īpašuma pārdošanas *</t>
  </si>
  <si>
    <t xml:space="preserve">          aizņēmumi</t>
  </si>
  <si>
    <t xml:space="preserve">          pārējā finansēšana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</si>
  <si>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</si>
  <si>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</si>
  <si>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</si>
  <si>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</si>
  <si>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</si>
  <si>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</si>
  <si>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</si>
  <si>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</si>
  <si>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</si>
  <si>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</si>
  <si>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</si>
  <si>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</si>
  <si>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</si>
  <si>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</si>
  <si>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</si>
  <si>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</si>
  <si>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</si>
  <si>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</si>
  <si>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</si>
  <si>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</si>
  <si>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</si>
  <si>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</si>
  <si>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</si>
  <si>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</si>
  <si>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</si>
  <si>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</si>
  <si>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</si>
  <si>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</si>
  <si>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</si>
  <si>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</si>
  <si>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</si>
  <si>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</si>
  <si>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</si>
  <si>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                                                                                                                                 A.Veiss                                                                    </t>
  </si>
  <si>
    <t xml:space="preserve">Valsts kases pārvaldnieks ______________________________  (A.Veiss)                                                                    </t>
  </si>
  <si>
    <t>1999.gada 15.oktobris</t>
  </si>
  <si>
    <t xml:space="preserve">Valsts kases oficiālais mēneša pārskats </t>
  </si>
  <si>
    <t>10. tabula</t>
  </si>
  <si>
    <t>12.tabula</t>
  </si>
  <si>
    <t xml:space="preserve">Ārvalstu finansu palīdzības un valsts budžeta līdzdalības maksājumi </t>
  </si>
  <si>
    <t>(2001.gada februāris)</t>
  </si>
  <si>
    <t>(2001.gada janvāris -  februāris)</t>
  </si>
  <si>
    <t>(tūkst. latu)</t>
  </si>
  <si>
    <t xml:space="preserve">Finansēšanas plāns pārskata periodam </t>
  </si>
  <si>
    <t>Izpilde % pret gada plānu (4/2)</t>
  </si>
  <si>
    <t>Izpilde % pret finansēša-nas plānu pārskata periodam 
  (4/3)</t>
  </si>
  <si>
    <t>Mēneša izpilde</t>
  </si>
  <si>
    <t>Izpilde % pret finansēšanas plānu pārskata periodam 
  (4/3)</t>
  </si>
  <si>
    <t xml:space="preserve">   1. Ārvalstu finansu palīdzība
un valsts pamatbudžeta 
līdzdalības maksājumi kopā</t>
  </si>
  <si>
    <t>Ārvalstu finansu palīdzība</t>
  </si>
  <si>
    <t xml:space="preserve">     Uzturēšanas izdevumi</t>
  </si>
  <si>
    <t xml:space="preserve">     Izdevumi kapitālieguldījumiem</t>
  </si>
  <si>
    <t>Valsts pamatbudžets</t>
  </si>
  <si>
    <t>Saeima</t>
  </si>
  <si>
    <t xml:space="preserve">  Ārvalstu finansu palīdzība</t>
  </si>
  <si>
    <t>Ministru Kabinets</t>
  </si>
  <si>
    <t xml:space="preserve">  Valsts pamatbudžets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</si>
  <si>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</si>
  <si>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</si>
  <si>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</si>
  <si>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</si>
  <si>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</si>
  <si>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</si>
  <si>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</si>
  <si>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</si>
  <si>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 xml:space="preserve">Tieslietu ministrija </t>
  </si>
  <si>
    <t>Vides aizsardzības un reģionālās 
attīstības ministrija</t>
  </si>
  <si>
    <t>Kultūras ministrija</t>
  </si>
  <si>
    <t>Valsts kontrole</t>
  </si>
  <si>
    <t>Īpašu uzdevumu ministra sadarbībai  ar starptautiskajām finansu institūcijām sekretariāts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</si>
  <si>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</si>
  <si>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</si>
  <si>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</si>
  <si>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</si>
  <si>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</si>
  <si>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</si>
  <si>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Valsts kases pārvaldnieks                                                                                  A. Veiss</t>
  </si>
  <si>
    <t>11.tabula</t>
  </si>
  <si>
    <t>Valsts budžeta ziedojumu un dāvinājumu izdevumi pēc valdības funkcijām</t>
  </si>
  <si>
    <t>2001.gada janvāris - februāris</t>
  </si>
  <si>
    <t>(2001.gada janvāris - februāris)</t>
  </si>
  <si>
    <t xml:space="preserve">Valdības funkciju kods </t>
  </si>
  <si>
    <t xml:space="preserve">Izpilde no gada sākuma </t>
  </si>
  <si>
    <t>Izpilde % pret finansēšanas plānu  (3/2)</t>
  </si>
  <si>
    <t xml:space="preserve">Februāra  mēneša  izpilde </t>
  </si>
  <si>
    <t>Izpilde % pret finansēšanas plānu  (4/3)</t>
  </si>
  <si>
    <t>Izdevumi kopā</t>
  </si>
  <si>
    <t>Vispārējie valdības dienesti</t>
  </si>
  <si>
    <t>01.000</t>
  </si>
  <si>
    <t>Aizsardzība</t>
  </si>
  <si>
    <t>02.000</t>
  </si>
  <si>
    <t>Sabiedriskā kārtība un drošība, tiesību aizsardzība</t>
  </si>
  <si>
    <t>03.000</t>
  </si>
  <si>
    <t>Izglītība</t>
  </si>
  <si>
    <t>04.000</t>
  </si>
  <si>
    <t>Veselības aprūpe</t>
  </si>
  <si>
    <t>05.000</t>
  </si>
  <si>
    <t>Sociālā apdrošināšana un sociālā nodrošināšana</t>
  </si>
  <si>
    <t>06.000</t>
  </si>
  <si>
    <t>Dzīvokļu un komunālā saimniecība, vides aizsardzība</t>
  </si>
  <si>
    <t>07.000</t>
  </si>
  <si>
    <t>Brīvais laiks, sports, kultūra un reliģija</t>
  </si>
  <si>
    <t>08.000</t>
  </si>
  <si>
    <t>Kurināmā un enerģētikas dienesti un pasākumi</t>
  </si>
  <si>
    <t>09.000</t>
  </si>
  <si>
    <t>Lauksaimniecība (zemkopība), mežkopība un zvejniecība</t>
  </si>
  <si>
    <t>10.000</t>
  </si>
  <si>
    <t>Iegūstošā rūpniecība, rūpniecība, celtniecība, derīgie izrakteņi</t>
  </si>
  <si>
    <t>11.000</t>
  </si>
  <si>
    <t>Transports, sakari</t>
  </si>
  <si>
    <t>12.000</t>
  </si>
  <si>
    <t>Pārējā ekonomiskā darbība un dienesti</t>
  </si>
  <si>
    <t>13.000</t>
  </si>
  <si>
    <t>Pārējie izdevumi, kas nav atspoguļoti pamatgrupās</t>
  </si>
  <si>
    <t>14.000</t>
  </si>
  <si>
    <t>Pārējie izdevumi, kas nav atspoguļoti pamatgrupās (ieskaitot tīros aizdevumus)</t>
  </si>
  <si>
    <t>t.sk. tīrie aizdevumi</t>
  </si>
  <si>
    <t xml:space="preserve">Valsts kases pārvaldnieks                                                                      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</si>
  <si>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</si>
  <si>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</si>
  <si>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</si>
  <si>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</si>
  <si>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</si>
  <si>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</si>
  <si>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</si>
  <si>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</si>
  <si>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>2.1.Uzturēšanas izdevumi</t>
  </si>
  <si>
    <t>Kārtējie izdevumi</t>
  </si>
  <si>
    <t xml:space="preserve">    atalgojumi</t>
  </si>
  <si>
    <t xml:space="preserve">    valsts sociālās apdrošināšanas obligātās iemaksas</t>
  </si>
  <si>
    <t xml:space="preserve">          </t>
  </si>
  <si>
    <t xml:space="preserve">    pārējie kārtējie izdevumi</t>
  </si>
  <si>
    <t xml:space="preserve">     t.sk. preču un pakalpojumu izdevumi  </t>
  </si>
  <si>
    <t xml:space="preserve">            pārējie izdevumi</t>
  </si>
  <si>
    <t xml:space="preserve">     aizņēmumu atmaksa</t>
  </si>
  <si>
    <t>Maksājumi par aizņēmumiem un kredītiem</t>
  </si>
  <si>
    <t xml:space="preserve">     procentu nomaksa par iekšējiem aizņēmumiem</t>
  </si>
  <si>
    <t xml:space="preserve">     procentu nomaksa par ārvalstu aizņēmumiem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</si>
  <si>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</si>
  <si>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</si>
  <si>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</si>
  <si>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</si>
  <si>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 dotācijas iestādēm un organizācijām</t>
  </si>
  <si>
    <t xml:space="preserve">     dotācijas iedzīvotājiem</t>
  </si>
  <si>
    <t>2.2.Izdevumi  kapitālieguldījumiem</t>
  </si>
  <si>
    <t xml:space="preserve">Kapitālie izdevumi  </t>
  </si>
  <si>
    <t>Investīcijas</t>
  </si>
  <si>
    <t>Fiskālā bilance (1.-2.)</t>
  </si>
  <si>
    <t>Finansēšana</t>
  </si>
  <si>
    <t>Naudas līdzekļu atlikumu izmaiņas palielinājums (-) vai samazinājums (+)</t>
  </si>
  <si>
    <t>9.tabula</t>
  </si>
  <si>
    <t xml:space="preserve">Valsts  budžeta  ziedojumu un dāvinājumu ieņēmumi un izdevumi pa ministrijām un citām centrālām valsts iestādēm </t>
  </si>
  <si>
    <t>latos</t>
  </si>
  <si>
    <t>Izpilde % pret finansēšanas plānu (3/2)</t>
  </si>
  <si>
    <t xml:space="preserve">Februāra mēneša  izpilde </t>
  </si>
  <si>
    <t>Ieņēmumi kopā</t>
  </si>
  <si>
    <t xml:space="preserve">Izdevumi - kopā </t>
  </si>
  <si>
    <t>Uzturēšanas izdevumi</t>
  </si>
  <si>
    <t>Izdevumi kapitālieguldījumiem</t>
  </si>
  <si>
    <t>Valsts prezidenta kanceleja</t>
  </si>
  <si>
    <t>Ieņēmumi</t>
  </si>
  <si>
    <t>Aizsardzības ministrija</t>
  </si>
  <si>
    <t xml:space="preserve">   Izdevumi - kopā </t>
  </si>
  <si>
    <t>Finansu ministrija*</t>
  </si>
  <si>
    <t>Tieslietu ministrija</t>
  </si>
  <si>
    <t>Vides aizsardzības un reģionālās attīstības ministrija</t>
  </si>
  <si>
    <t>Valsts zemes dienests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</si>
  <si>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</si>
  <si>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</si>
  <si>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</si>
  <si>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</si>
  <si>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</si>
  <si>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</si>
  <si>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</si>
  <si>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</si>
  <si>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valsts reformu lietās  sekretariāts</t>
  </si>
  <si>
    <t>Sabiedrisko pakalpojumu regulēšanas komisija</t>
  </si>
  <si>
    <t>* labots par Pasaules vides fonda dāvinājumu Nr. 115 Pašvaldību cieto atkritumu saimniecību projektam pārcelti uz Rīgas pilsētu:  
 ieņēmumi -10 tūkst. latu; izdevumi - 10 tūkst. latu</t>
  </si>
  <si>
    <t xml:space="preserve">Valsts kases pārvaldnieks                                                                           </t>
  </si>
  <si>
    <t>A. Veiss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</si>
  <si>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</si>
  <si>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</si>
  <si>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</si>
  <si>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>(2001.gada Februāris- februāris)</t>
  </si>
  <si>
    <t>Valdības funkcijas kods</t>
  </si>
  <si>
    <t>Izpilde % pret gada plānu          (3/2)</t>
  </si>
  <si>
    <t xml:space="preserve">Janvāra mēneša  izpilde </t>
  </si>
  <si>
    <t>Izpilde % pret gada plānu          (4/3)</t>
  </si>
  <si>
    <t>Izdevumi - kopā</t>
  </si>
  <si>
    <t xml:space="preserve">Izglītība </t>
  </si>
  <si>
    <t xml:space="preserve">Izglītība  </t>
  </si>
  <si>
    <t>t.sk. tīrie  aizdevumi</t>
  </si>
  <si>
    <t xml:space="preserve">Brīvais laiks, sports,kultūra un reliģija </t>
  </si>
  <si>
    <t xml:space="preserve">Lauksaimniecība (zemkopība), mežkopība un zvejniecība </t>
  </si>
  <si>
    <t>Pārējie izdevumi, kas nav atspoguļoti pamatgrupās  (ieskaitot tīros aizdevumus)</t>
  </si>
  <si>
    <t xml:space="preserve">Valsts kases pārvaldnieks                                                                        </t>
  </si>
  <si>
    <t>Valsts kase/ Pārskatu departaments</t>
  </si>
  <si>
    <t xml:space="preserve">Valsts kases pārvaldnieks                           (paraksts)                                                 </t>
  </si>
  <si>
    <t>(paraksta atšifrējums)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</si>
  <si>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</si>
  <si>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</si>
  <si>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</si>
  <si>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</si>
  <si>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(2001.gada Februāris)</t>
  </si>
  <si>
    <t>Finansēšanas plāns pārskata periodam</t>
  </si>
  <si>
    <t>Izpilde % pret gada plānu      (4/2)</t>
  </si>
  <si>
    <t>Izpilde % pret finansēšanas plānu pārskata periodam           (4/3)</t>
  </si>
  <si>
    <t xml:space="preserve">Februāra
 mēneša  izpilde </t>
  </si>
  <si>
    <t>1.Ieņēmumi - kopā</t>
  </si>
  <si>
    <t>Īpašiem mērķiem iezīmēti ieņēmumi</t>
  </si>
  <si>
    <t xml:space="preserve">   t.sk.valsts pamatbudžeta dotācijas</t>
  </si>
  <si>
    <t>Maksas pakalpojumi un citi pašu ieņēmumi</t>
  </si>
  <si>
    <t>2. Izdevumi - kopā (2.1.+2.2.)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</si>
  <si>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</si>
  <si>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</si>
  <si>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</si>
  <si>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</si>
  <si>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</si>
  <si>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</si>
  <si>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</si>
  <si>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</si>
  <si>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</si>
  <si>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</si>
  <si>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</si>
  <si>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</si>
  <si>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</si>
  <si>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</si>
  <si>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</si>
  <si>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</si>
  <si>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</si>
  <si>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</si>
  <si>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</si>
  <si>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</si>
  <si>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</si>
  <si>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</si>
  <si>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</si>
  <si>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</si>
  <si>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</si>
  <si>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</si>
  <si>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</si>
  <si>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</si>
  <si>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</si>
  <si>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</si>
  <si>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</si>
  <si>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</si>
  <si>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</si>
  <si>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</si>
  <si>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</si>
  <si>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</si>
  <si>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</si>
  <si>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>Fondēto pensiju shēmas līdzekļi</t>
  </si>
  <si>
    <t xml:space="preserve">   t.sk. sociālās apdrošināšanas obligātās iemaksas</t>
  </si>
  <si>
    <t xml:space="preserve">Valsts kases pārvaldnieks                                                                       </t>
  </si>
  <si>
    <t>2001.gada 15.februārī</t>
  </si>
  <si>
    <t>6.tabula</t>
  </si>
  <si>
    <t xml:space="preserve"> Valsts kases oDiciālais mēneša pārskats</t>
  </si>
  <si>
    <t xml:space="preserve">Valsts speciālā budžeta ieņēmumi un izdevumi pa ministrijām </t>
  </si>
  <si>
    <t xml:space="preserve"> (tūkst.latu)</t>
  </si>
  <si>
    <t>Finansēšanas plāns</t>
  </si>
  <si>
    <t>Izpilde % pret gada plānu 
   (4/2)</t>
  </si>
  <si>
    <t xml:space="preserve">Pārskata mēneša  izpilde 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</si>
  <si>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</si>
  <si>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</si>
  <si>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</si>
  <si>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</si>
  <si>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>Tīrie aizdevumi</t>
  </si>
  <si>
    <t>Fiskālā bilance</t>
  </si>
  <si>
    <t xml:space="preserve">Aizņēmums no pamatbudžeta </t>
  </si>
  <si>
    <t>Centrālā dzīvojamo māju privatizācijas komisija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</si>
  <si>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</si>
  <si>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</si>
  <si>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</si>
  <si>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</si>
  <si>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</si>
  <si>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</si>
  <si>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</si>
  <si>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</si>
  <si>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</si>
  <si>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</si>
  <si>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</si>
  <si>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</si>
  <si>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</si>
  <si>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</si>
  <si>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</si>
  <si>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</si>
  <si>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</si>
  <si>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</si>
  <si>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</si>
  <si>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</si>
  <si>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</si>
  <si>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</si>
  <si>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</si>
  <si>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</si>
  <si>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</si>
  <si>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</si>
  <si>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</si>
  <si>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</si>
  <si>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</si>
  <si>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</si>
  <si>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</si>
  <si>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</si>
  <si>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</si>
  <si>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Maksas pakalpojumi un citi pašu ieņēmumi</t>
  </si>
  <si>
    <t xml:space="preserve">   Ārvalstu finansu palīdzība </t>
  </si>
  <si>
    <t xml:space="preserve">         t.sk. aizņēmuma atmaksa pamatbudžetā</t>
  </si>
  <si>
    <t>Latvijas ostu attīstības fonds</t>
  </si>
  <si>
    <t xml:space="preserve">    Atskaitījumi no ostu maksām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</si>
  <si>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</si>
  <si>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</si>
  <si>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</si>
  <si>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</si>
  <si>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</si>
  <si>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</si>
  <si>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</si>
  <si>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</si>
  <si>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</si>
  <si>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</si>
  <si>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>Izdevumi*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</si>
  <si>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</si>
  <si>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</si>
  <si>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</si>
  <si>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</si>
  <si>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</si>
  <si>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</si>
  <si>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</si>
  <si>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</si>
  <si>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</si>
  <si>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</si>
  <si>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</si>
  <si>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</si>
  <si>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</si>
  <si>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</si>
  <si>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 xml:space="preserve">* konsolidēts par sociālās apdrošināšanas iekšējiem maksājumiem </t>
  </si>
  <si>
    <t>tūkst.latu</t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</si>
  <si>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</si>
  <si>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</si>
  <si>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</si>
  <si>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 xml:space="preserve">    (2001.gada janvāris-februāris)</t>
  </si>
  <si>
    <t xml:space="preserve">Pārējie izdevumi, kas nav atspoguļoti pamatgrupās </t>
  </si>
  <si>
    <t xml:space="preserve">Valsts kases pārvaldnieks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</si>
  <si>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</si>
  <si>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</si>
  <si>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</si>
  <si>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(2001.gada janvāris)</t>
  </si>
  <si>
    <t xml:space="preserve">              (2001.gada janvāris - februāris)</t>
  </si>
  <si>
    <t xml:space="preserve">Rādītāji </t>
  </si>
  <si>
    <t>Izpilde % pret finansēša-nas plānu pārskata periodam       (4/3)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</si>
  <si>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</si>
  <si>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</si>
  <si>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</si>
  <si>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</si>
  <si>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>2.1. Uzturēšanas izdevumi</t>
  </si>
  <si>
    <t xml:space="preserve">   valsts sociālās apdrošināšanas obligātās iemaksas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</si>
  <si>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</si>
  <si>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</si>
  <si>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</si>
  <si>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 dotācijas iestādēm un organizācijām</t>
  </si>
  <si>
    <t xml:space="preserve">                t.sk. dotācijas lauksaimniecībai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</si>
  <si>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</si>
  <si>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</si>
  <si>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</si>
  <si>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</si>
  <si>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</si>
  <si>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</si>
  <si>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</si>
  <si>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</si>
  <si>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</si>
  <si>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</si>
  <si>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</si>
  <si>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</si>
  <si>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</si>
  <si>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</si>
  <si>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</si>
  <si>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</si>
  <si>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</si>
  <si>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</si>
  <si>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</si>
  <si>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 xml:space="preserve">    ieņēmumi no valsts un pašvaldību īpašuma privatizācijas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</si>
  <si>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</si>
  <si>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t xml:space="preserve">    aizņēmumi</t>
  </si>
  <si>
    <t xml:space="preserve">Valsts kases pārvaldnieks                                                                          </t>
  </si>
  <si>
    <t>Valsts kase /Pārskatu departaments</t>
  </si>
  <si>
    <t>2001.gada 15.februāris</t>
  </si>
  <si>
    <t>3.tabula</t>
  </si>
  <si>
    <t xml:space="preserve">     Valsts pamatbudżeta ieņēmumi un  izdevumi pa ministrijām un citām centrālām valsts iestādēm </t>
  </si>
  <si>
    <t>(saimnieciskais gads, pārskata periods)</t>
  </si>
  <si>
    <t>kopā ar ārvalstu  finansu palīdzību</t>
  </si>
  <si>
    <t>Resursi izdevumu segšanai</t>
  </si>
  <si>
    <t>Dotācijas no vispārējiem ieņēmumiem</t>
  </si>
  <si>
    <t>Dotācijas īpašiem mērķiem</t>
  </si>
  <si>
    <t>Mērķdotācijas pašvaldībām</t>
  </si>
  <si>
    <t>Dotācija pašvaldībām</t>
  </si>
  <si>
    <t xml:space="preserve">Valsts kases pārvaldnieks                                                                 A.Veiss                                                 </t>
  </si>
  <si>
    <t>2.tabula</t>
  </si>
  <si>
    <t xml:space="preserve">Valsts pamatbudžeta ieņēmumi </t>
  </si>
  <si>
    <t xml:space="preserve">             (2001.gada janvāris - februāris)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</si>
  <si>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</si>
  <si>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</si>
  <si>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</si>
  <si>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</si>
  <si>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</si>
  <si>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</si>
  <si>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</si>
  <si>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</si>
  <si>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</si>
  <si>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</si>
  <si>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</si>
  <si>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</si>
  <si>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</si>
  <si>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</si>
  <si>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</si>
  <si>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</si>
  <si>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</si>
  <si>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</si>
  <si>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</si>
  <si>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      Valsts nodeva par jūras navigācijas pakalpojumiem (bāku nodeva)</t>
  </si>
  <si>
    <t xml:space="preserve">     Valsts nodeva par jūras navigācijas pakalpojumiem (bāku nodeva)</t>
  </si>
  <si>
    <t xml:space="preserve">           Izložu un azartspēļu valsts nodeva, izložu nodoklis, azartspēļu nodoklis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</si>
  <si>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</si>
  <si>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</si>
  <si>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</si>
  <si>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</si>
  <si>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  VAS "Latvijas meži" fiksētais maksājums</t>
  </si>
  <si>
    <t xml:space="preserve">        VAS "Latvijas meži" fiksētais maksājums</t>
  </si>
  <si>
    <t xml:space="preserve">          Iemaksas no Dzelzceļa infrastruktūras fonda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</si>
  <si>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</si>
  <si>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</si>
  <si>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 xml:space="preserve">          Ieņēmumi no pasēm</t>
  </si>
  <si>
    <t>1.3. Pašu ieņēmumi</t>
  </si>
  <si>
    <t xml:space="preserve">   Budžeta iestāžu ieņēmumi no maksas pakalpojumiem           un citi pašu ieņēmumi</t>
  </si>
  <si>
    <t>1.4. Ārvalstu finansu palīdzība</t>
  </si>
  <si>
    <t xml:space="preserve">Valsts kases pārvaldnieks                                                             </t>
  </si>
  <si>
    <t>29.tabula</t>
  </si>
  <si>
    <t>Programmas "Valsts aizsardzība, drošība un integrācija NATO" izpilde 
(saimnieciskais gads, pārskata periods)</t>
  </si>
  <si>
    <r>
      <t xml:space="preserve">Programmas "Valsts aizsardzība, drošība un integrācija NATO" izpilde 
</t>
    </r>
    <r>
      <rPr>
        <sz val="12"/>
        <rFont val="Arial"/>
        <family val="2"/>
      </rPr>
      <t>(2001. gada janvāris - februāris)</t>
    </r>
  </si>
  <si>
    <t>Izpilde  % pret gada plānu         (4/2)</t>
  </si>
  <si>
    <t xml:space="preserve">Februāra  mēneša izpilde 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</si>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</sst>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##,###,###"/>
    <numFmt numFmtId="173" formatCode="#\ ##0"/>
    <numFmt numFmtId="174" formatCode="###0"/>
    <numFmt numFmtId="175" formatCode="#,###%"/>
    <numFmt numFmtId="176" formatCode="0.0"/>
    <numFmt numFmtId="177" formatCode="###,###,##0"/>
    <numFmt numFmtId="178" formatCode="#,##0.0\ _L_s"/>
    <numFmt numFmtId="179" formatCode="00.000"/>
    <numFmt numFmtId="180" formatCode="0;[Red]0"/>
    <numFmt numFmtId="181" formatCode="#,##0.0"/>
    <numFmt numFmtId="182" formatCode="#\ ###\ ##0"/>
    <numFmt numFmtId="183" formatCode="#\ ###\ \ ##0"/>
    <numFmt numFmtId="184" formatCode="0.0%"/>
    <numFmt numFmtId="185" formatCode="###,##0,"/>
  </numFmts>
  <fonts count="2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/>
    </xf>
    <xf numFmtId="173" fontId="8" fillId="0" borderId="1" xfId="0" applyNumberFormat="1" applyFont="1" applyBorder="1" applyAlignment="1">
      <alignment horizontal="right"/>
    </xf>
    <xf numFmtId="173" fontId="8" fillId="0" borderId="1" xfId="0" applyNumberFormat="1" applyFont="1" applyBorder="1" applyAlignment="1">
      <alignment/>
    </xf>
    <xf numFmtId="173" fontId="9" fillId="0" borderId="1" xfId="0" applyNumberFormat="1" applyFont="1" applyBorder="1" applyAlignment="1">
      <alignment horizontal="center" wrapText="1"/>
    </xf>
    <xf numFmtId="173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right"/>
    </xf>
    <xf numFmtId="173" fontId="3" fillId="0" borderId="1" xfId="0" applyNumberFormat="1" applyFont="1" applyBorder="1" applyAlignment="1">
      <alignment wrapText="1"/>
    </xf>
    <xf numFmtId="173" fontId="8" fillId="0" borderId="1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wrapText="1"/>
    </xf>
    <xf numFmtId="173" fontId="6" fillId="0" borderId="1" xfId="0" applyNumberFormat="1" applyFont="1" applyBorder="1" applyAlignment="1">
      <alignment wrapText="1"/>
    </xf>
    <xf numFmtId="173" fontId="6" fillId="0" borderId="1" xfId="0" applyNumberFormat="1" applyFont="1" applyBorder="1" applyAlignment="1">
      <alignment horizontal="right"/>
    </xf>
    <xf numFmtId="173" fontId="6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left" vertical="center"/>
    </xf>
    <xf numFmtId="173" fontId="1" fillId="0" borderId="1" xfId="0" applyNumberFormat="1" applyFont="1" applyBorder="1" applyAlignment="1">
      <alignment/>
    </xf>
    <xf numFmtId="173" fontId="9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 wrapText="1"/>
    </xf>
    <xf numFmtId="173" fontId="1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left" vertical="center" wrapText="1"/>
    </xf>
    <xf numFmtId="173" fontId="9" fillId="0" borderId="1" xfId="0" applyNumberFormat="1" applyFont="1" applyBorder="1" applyAlignment="1">
      <alignment horizontal="left" wrapText="1"/>
    </xf>
    <xf numFmtId="173" fontId="0" fillId="0" borderId="1" xfId="0" applyNumberFormat="1" applyFont="1" applyBorder="1" applyAlignment="1">
      <alignment horizontal="left"/>
    </xf>
    <xf numFmtId="173" fontId="9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/>
    </xf>
    <xf numFmtId="174" fontId="1" fillId="0" borderId="0" xfId="0" applyNumberFormat="1" applyFont="1" applyAlignment="1">
      <alignment horizontal="centerContinuous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17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17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/>
    </xf>
    <xf numFmtId="175" fontId="8" fillId="0" borderId="1" xfId="19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6" fontId="5" fillId="0" borderId="1" xfId="19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75" fontId="1" fillId="0" borderId="1" xfId="19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176" fontId="6" fillId="0" borderId="1" xfId="19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72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72" fontId="9" fillId="0" borderId="1" xfId="0" applyNumberFormat="1" applyFont="1" applyBorder="1" applyAlignment="1">
      <alignment/>
    </xf>
    <xf numFmtId="177" fontId="9" fillId="0" borderId="1" xfId="0" applyNumberFormat="1" applyFont="1" applyBorder="1" applyAlignment="1">
      <alignment/>
    </xf>
    <xf numFmtId="176" fontId="9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72" fontId="12" fillId="0" borderId="1" xfId="0" applyNumberFormat="1" applyFont="1" applyBorder="1" applyAlignment="1">
      <alignment/>
    </xf>
    <xf numFmtId="172" fontId="1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76" fontId="1" fillId="0" borderId="1" xfId="19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73" fontId="3" fillId="0" borderId="2" xfId="0" applyNumberFormat="1" applyFont="1" applyBorder="1" applyAlignment="1">
      <alignment horizontal="right"/>
    </xf>
    <xf numFmtId="175" fontId="3" fillId="0" borderId="2" xfId="19" applyNumberFormat="1" applyFont="1" applyBorder="1" applyAlignment="1">
      <alignment/>
    </xf>
    <xf numFmtId="173" fontId="8" fillId="0" borderId="2" xfId="0" applyNumberFormat="1" applyFont="1" applyBorder="1" applyAlignment="1">
      <alignment horizontal="right"/>
    </xf>
    <xf numFmtId="173" fontId="3" fillId="0" borderId="1" xfId="0" applyNumberFormat="1" applyFont="1" applyBorder="1" applyAlignment="1">
      <alignment/>
    </xf>
    <xf numFmtId="176" fontId="3" fillId="0" borderId="1" xfId="19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75" fontId="8" fillId="0" borderId="2" xfId="19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3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173" fontId="8" fillId="0" borderId="1" xfId="0" applyNumberFormat="1" applyFont="1" applyBorder="1" applyAlignment="1">
      <alignment/>
    </xf>
    <xf numFmtId="176" fontId="8" fillId="0" borderId="1" xfId="19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73" fontId="1" fillId="0" borderId="1" xfId="0" applyNumberFormat="1" applyFont="1" applyBorder="1" applyAlignment="1">
      <alignment/>
    </xf>
    <xf numFmtId="175" fontId="5" fillId="0" borderId="2" xfId="19" applyNumberFormat="1" applyFont="1" applyBorder="1" applyAlignment="1">
      <alignment/>
    </xf>
    <xf numFmtId="0" fontId="3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73" fontId="1" fillId="0" borderId="0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3" fontId="1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76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7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73" fontId="1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76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6" fontId="3" fillId="0" borderId="1" xfId="0" applyNumberFormat="1" applyFont="1" applyBorder="1" applyAlignment="1">
      <alignment horizontal="right" wrapText="1"/>
    </xf>
    <xf numFmtId="176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6" fontId="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173" fontId="0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17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 wrapText="1"/>
    </xf>
    <xf numFmtId="173" fontId="1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3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73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173" fontId="3" fillId="0" borderId="1" xfId="0" applyNumberFormat="1" applyFont="1" applyBorder="1" applyAlignment="1">
      <alignment horizontal="right"/>
    </xf>
    <xf numFmtId="17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right"/>
    </xf>
    <xf numFmtId="178" fontId="3" fillId="0" borderId="1" xfId="19" applyNumberFormat="1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78" fontId="0" fillId="0" borderId="1" xfId="19" applyNumberFormat="1" applyFont="1" applyBorder="1" applyAlignment="1">
      <alignment/>
    </xf>
    <xf numFmtId="0" fontId="11" fillId="0" borderId="1" xfId="0" applyFont="1" applyBorder="1" applyAlignment="1">
      <alignment/>
    </xf>
    <xf numFmtId="172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right" wrapText="1"/>
    </xf>
    <xf numFmtId="3" fontId="2" fillId="0" borderId="1" xfId="19" applyNumberFormat="1" applyFont="1" applyBorder="1" applyAlignment="1">
      <alignment/>
    </xf>
    <xf numFmtId="180" fontId="7" fillId="0" borderId="1" xfId="19" applyNumberFormat="1" applyFont="1" applyBorder="1" applyAlignment="1">
      <alignment/>
    </xf>
    <xf numFmtId="172" fontId="3" fillId="0" borderId="1" xfId="0" applyNumberFormat="1" applyFont="1" applyBorder="1" applyAlignment="1">
      <alignment horizontal="right" wrapText="1"/>
    </xf>
    <xf numFmtId="181" fontId="2" fillId="0" borderId="1" xfId="19" applyNumberFormat="1" applyFont="1" applyBorder="1" applyAlignment="1">
      <alignment/>
    </xf>
    <xf numFmtId="172" fontId="0" fillId="0" borderId="1" xfId="0" applyNumberFormat="1" applyFont="1" applyBorder="1" applyAlignment="1">
      <alignment horizontal="right" wrapText="1"/>
    </xf>
    <xf numFmtId="3" fontId="7" fillId="0" borderId="1" xfId="19" applyNumberFormat="1" applyFont="1" applyBorder="1" applyAlignment="1">
      <alignment/>
    </xf>
    <xf numFmtId="172" fontId="7" fillId="0" borderId="1" xfId="0" applyNumberFormat="1" applyFont="1" applyBorder="1" applyAlignment="1">
      <alignment horizontal="right" wrapText="1"/>
    </xf>
    <xf numFmtId="181" fontId="7" fillId="0" borderId="1" xfId="19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72" fontId="2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3" fontId="7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/>
    </xf>
    <xf numFmtId="172" fontId="11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 applyProtection="1">
      <alignment horizontal="right" wrapText="1"/>
      <protection locked="0"/>
    </xf>
    <xf numFmtId="172" fontId="11" fillId="0" borderId="1" xfId="0" applyNumberFormat="1" applyFont="1" applyBorder="1" applyAlignment="1" applyProtection="1">
      <alignment horizontal="right" wrapText="1"/>
      <protection locked="0"/>
    </xf>
    <xf numFmtId="172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173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76" fontId="1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176" fontId="0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3" fillId="0" borderId="1" xfId="0" applyNumberFormat="1" applyFont="1" applyBorder="1" applyAlignment="1" applyProtection="1">
      <alignment/>
      <protection locked="0"/>
    </xf>
    <xf numFmtId="176" fontId="3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6" fontId="0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3" fillId="0" borderId="1" xfId="19" applyNumberFormat="1" applyFont="1" applyBorder="1" applyAlignment="1">
      <alignment horizontal="center"/>
    </xf>
    <xf numFmtId="181" fontId="3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5" xfId="0" applyFont="1" applyFill="1" applyBorder="1" applyAlignment="1">
      <alignment wrapText="1"/>
    </xf>
    <xf numFmtId="181" fontId="6" fillId="0" borderId="1" xfId="19" applyNumberFormat="1" applyFont="1" applyBorder="1" applyAlignment="1">
      <alignment horizontal="right"/>
    </xf>
    <xf numFmtId="181" fontId="6" fillId="0" borderId="1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181" fontId="6" fillId="0" borderId="1" xfId="0" applyNumberFormat="1" applyFont="1" applyBorder="1" applyAlignment="1">
      <alignment horizontal="right"/>
    </xf>
    <xf numFmtId="181" fontId="5" fillId="0" borderId="1" xfId="19" applyNumberFormat="1" applyFont="1" applyBorder="1" applyAlignment="1">
      <alignment horizontal="right"/>
    </xf>
    <xf numFmtId="181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12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81" fontId="5" fillId="0" borderId="1" xfId="0" applyNumberFormat="1" applyFont="1" applyBorder="1" applyAlignment="1">
      <alignment horizontal="right"/>
    </xf>
    <xf numFmtId="0" fontId="6" fillId="0" borderId="5" xfId="0" applyFont="1" applyBorder="1" applyAlignment="1">
      <alignment vertical="center" wrapTex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76" fontId="0" fillId="0" borderId="0" xfId="19" applyNumberFormat="1" applyFont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/>
    </xf>
    <xf numFmtId="176" fontId="3" fillId="0" borderId="1" xfId="19" applyNumberFormat="1" applyFont="1" applyFill="1" applyBorder="1" applyAlignment="1">
      <alignment/>
    </xf>
    <xf numFmtId="176" fontId="0" fillId="0" borderId="1" xfId="19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/>
    </xf>
    <xf numFmtId="176" fontId="6" fillId="0" borderId="1" xfId="19" applyNumberFormat="1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 wrapText="1" shrinkToFit="1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2" fontId="5" fillId="0" borderId="1" xfId="19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76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2" fontId="6" fillId="0" borderId="1" xfId="19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181" fontId="4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176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76" fontId="8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Continuous"/>
    </xf>
    <xf numFmtId="173" fontId="6" fillId="0" borderId="0" xfId="0" applyNumberFormat="1" applyFont="1" applyAlignment="1">
      <alignment horizontal="centerContinuous"/>
    </xf>
    <xf numFmtId="10" fontId="6" fillId="0" borderId="0" xfId="0" applyNumberFormat="1" applyFont="1" applyBorder="1" applyAlignment="1">
      <alignment horizontal="centerContinuous"/>
    </xf>
    <xf numFmtId="173" fontId="12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10" fontId="6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0" fontId="1" fillId="0" borderId="4" xfId="0" applyFont="1" applyBorder="1" applyAlignment="1">
      <alignment horizontal="left"/>
    </xf>
    <xf numFmtId="176" fontId="1" fillId="0" borderId="5" xfId="0" applyNumberFormat="1" applyFont="1" applyBorder="1" applyAlignment="1">
      <alignment horizontal="right"/>
    </xf>
    <xf numFmtId="173" fontId="1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2" fontId="13" fillId="0" borderId="0" xfId="0" applyNumberFormat="1" applyFont="1" applyAlignment="1" applyProtection="1">
      <alignment horizontal="center"/>
      <protection locked="0"/>
    </xf>
    <xf numFmtId="176" fontId="13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6" fontId="11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centerContinuous" wrapText="1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73" fontId="6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173" fontId="12" fillId="0" borderId="1" xfId="0" applyNumberFormat="1" applyFont="1" applyFill="1" applyBorder="1" applyAlignment="1">
      <alignment/>
    </xf>
    <xf numFmtId="176" fontId="1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173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 wrapText="1"/>
    </xf>
    <xf numFmtId="0" fontId="18" fillId="0" borderId="8" xfId="0" applyFont="1" applyBorder="1" applyAlignment="1">
      <alignment/>
    </xf>
    <xf numFmtId="173" fontId="6" fillId="0" borderId="8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13" fillId="0" borderId="0" xfId="0" applyNumberFormat="1" applyFont="1" applyAlignment="1">
      <alignment horizontal="centerContinuous" vertical="top" wrapText="1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 vertical="top" wrapText="1"/>
      <protection locked="0"/>
    </xf>
    <xf numFmtId="49" fontId="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3" fontId="6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Continuous"/>
    </xf>
    <xf numFmtId="49" fontId="6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8" xfId="0" applyNumberFormat="1" applyFont="1" applyFill="1" applyBorder="1" applyAlignment="1">
      <alignment horizontal="left" vertical="top" wrapText="1"/>
    </xf>
    <xf numFmtId="3" fontId="6" fillId="0" borderId="8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1" fillId="0" borderId="1" xfId="0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3" fontId="21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85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Continuous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wrapText="1"/>
    </xf>
    <xf numFmtId="184" fontId="5" fillId="0" borderId="1" xfId="19" applyNumberFormat="1" applyFont="1" applyBorder="1" applyAlignment="1">
      <alignment horizontal="center"/>
    </xf>
    <xf numFmtId="176" fontId="5" fillId="0" borderId="1" xfId="19" applyNumberFormat="1" applyFont="1" applyBorder="1" applyAlignment="1">
      <alignment horizontal="center"/>
    </xf>
    <xf numFmtId="9" fontId="3" fillId="0" borderId="1" xfId="19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3" fontId="6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3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externalLink" Target="externalLinks/externalLink15.xml" /><Relationship Id="rId48" Type="http://schemas.openxmlformats.org/officeDocument/2006/relationships/externalLink" Target="externalLinks/externalLink16.xml" /><Relationship Id="rId49" Type="http://schemas.openxmlformats.org/officeDocument/2006/relationships/externalLink" Target="externalLinks/externalLink17.xml" /><Relationship Id="rId50" Type="http://schemas.openxmlformats.org/officeDocument/2006/relationships/externalLink" Target="externalLinks/externalLink18.xml" /><Relationship Id="rId51" Type="http://schemas.openxmlformats.org/officeDocument/2006/relationships/externalLink" Target="externalLinks/externalLink19.xml" /><Relationship Id="rId52" Type="http://schemas.openxmlformats.org/officeDocument/2006/relationships/externalLink" Target="externalLinks/externalLink20.xml" /><Relationship Id="rId53" Type="http://schemas.openxmlformats.org/officeDocument/2006/relationships/externalLink" Target="externalLinks/externalLink21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kopbudze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5.tabu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4.tabul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2.tabul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29-NAT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2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7ta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-konsolideta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3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2-arv.fin.pal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1.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10.ta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Darbam-spec.b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8-SBU-vald.f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6-%20SB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nis\LOCALS~1\Temp\7-SBU-E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</sheetNames>
    <sheetDataSet>
      <sheetData sheetId="0">
        <row r="12">
          <cell r="D12">
            <v>149522</v>
          </cell>
        </row>
        <row r="13">
          <cell r="D13">
            <v>9081</v>
          </cell>
        </row>
        <row r="14">
          <cell r="D14">
            <v>1173</v>
          </cell>
        </row>
        <row r="15">
          <cell r="D15">
            <v>139268</v>
          </cell>
        </row>
        <row r="16">
          <cell r="D16">
            <v>142108</v>
          </cell>
        </row>
        <row r="17">
          <cell r="D17">
            <v>9081</v>
          </cell>
        </row>
        <row r="18">
          <cell r="D18">
            <v>1173</v>
          </cell>
        </row>
        <row r="19">
          <cell r="D19">
            <v>131854</v>
          </cell>
        </row>
        <row r="20">
          <cell r="D20">
            <v>7414</v>
          </cell>
        </row>
        <row r="21">
          <cell r="D21">
            <v>-1684</v>
          </cell>
        </row>
        <row r="22">
          <cell r="D22">
            <v>2104</v>
          </cell>
        </row>
        <row r="23">
          <cell r="D23">
            <v>1267</v>
          </cell>
        </row>
        <row r="24">
          <cell r="D24">
            <v>837</v>
          </cell>
        </row>
        <row r="25">
          <cell r="D25">
            <v>3551</v>
          </cell>
        </row>
        <row r="26">
          <cell r="D26">
            <v>1030</v>
          </cell>
        </row>
        <row r="27">
          <cell r="D27">
            <v>2521</v>
          </cell>
        </row>
        <row r="28">
          <cell r="D28">
            <v>9098</v>
          </cell>
        </row>
        <row r="29">
          <cell r="D29">
            <v>-9098</v>
          </cell>
        </row>
        <row r="30">
          <cell r="D30">
            <v>-10047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237</v>
          </cell>
        </row>
        <row r="34">
          <cell r="D34">
            <v>-237</v>
          </cell>
        </row>
        <row r="36">
          <cell r="D36">
            <v>-34069</v>
          </cell>
        </row>
        <row r="37">
          <cell r="D37">
            <v>-20397</v>
          </cell>
        </row>
        <row r="38">
          <cell r="D38">
            <v>-11483</v>
          </cell>
        </row>
        <row r="39">
          <cell r="D39">
            <v>-2308</v>
          </cell>
        </row>
        <row r="40">
          <cell r="D40">
            <v>119</v>
          </cell>
        </row>
        <row r="41">
          <cell r="D41">
            <v>-5948</v>
          </cell>
        </row>
        <row r="42">
          <cell r="D42">
            <v>-18</v>
          </cell>
        </row>
        <row r="43">
          <cell r="D43">
            <v>-39000</v>
          </cell>
        </row>
        <row r="44">
          <cell r="D44">
            <v>-6246</v>
          </cell>
        </row>
        <row r="45">
          <cell r="D45">
            <v>2</v>
          </cell>
        </row>
        <row r="46">
          <cell r="D46">
            <v>39314</v>
          </cell>
        </row>
        <row r="47">
          <cell r="D47">
            <v>29970</v>
          </cell>
        </row>
        <row r="48">
          <cell r="D48">
            <v>3456</v>
          </cell>
        </row>
        <row r="49">
          <cell r="D49">
            <v>22267</v>
          </cell>
        </row>
        <row r="50">
          <cell r="D50">
            <v>4247</v>
          </cell>
        </row>
        <row r="51">
          <cell r="D51">
            <v>949</v>
          </cell>
        </row>
        <row r="52">
          <cell r="D52">
            <v>788</v>
          </cell>
        </row>
        <row r="53">
          <cell r="D53">
            <v>161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Sheet2"/>
      <sheetName val="Sheet1"/>
    </sheetNames>
    <sheetDataSet>
      <sheetData sheetId="1">
        <row r="11">
          <cell r="D11">
            <v>5487621.4</v>
          </cell>
        </row>
        <row r="12">
          <cell r="D12">
            <v>2937614</v>
          </cell>
        </row>
        <row r="13">
          <cell r="D13">
            <v>8314489.9</v>
          </cell>
        </row>
        <row r="14">
          <cell r="D14">
            <v>6282099.7</v>
          </cell>
        </row>
        <row r="15">
          <cell r="D15">
            <v>5112452.5</v>
          </cell>
        </row>
        <row r="16">
          <cell r="D16">
            <v>7145856.2</v>
          </cell>
        </row>
        <row r="17">
          <cell r="D17">
            <v>727176.5</v>
          </cell>
        </row>
        <row r="18">
          <cell r="D18">
            <v>1774671.9</v>
          </cell>
        </row>
        <row r="19">
          <cell r="D19">
            <v>14462.6</v>
          </cell>
        </row>
        <row r="20">
          <cell r="D20">
            <v>4723962.35</v>
          </cell>
        </row>
        <row r="21">
          <cell r="D21">
            <v>52773.83</v>
          </cell>
        </row>
        <row r="22">
          <cell r="D22">
            <v>523975.84</v>
          </cell>
        </row>
        <row r="23">
          <cell r="D23">
            <v>1132703.49</v>
          </cell>
        </row>
        <row r="24">
          <cell r="D24">
            <v>19209430</v>
          </cell>
        </row>
        <row r="25">
          <cell r="D25">
            <v>7905879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aizd_atm"/>
      <sheetName val="Sheet3"/>
    </sheetNames>
    <sheetDataSet>
      <sheetData sheetId="0">
        <row r="10">
          <cell r="D10">
            <v>64465</v>
          </cell>
        </row>
        <row r="11">
          <cell r="D11">
            <v>60763</v>
          </cell>
        </row>
        <row r="12">
          <cell r="D12">
            <v>54604</v>
          </cell>
        </row>
        <row r="13">
          <cell r="D13">
            <v>55</v>
          </cell>
        </row>
        <row r="14">
          <cell r="D14">
            <v>5202</v>
          </cell>
        </row>
        <row r="15">
          <cell r="D15">
            <v>902</v>
          </cell>
        </row>
        <row r="16">
          <cell r="D16">
            <v>55533</v>
          </cell>
        </row>
        <row r="17">
          <cell r="D17">
            <v>53375</v>
          </cell>
        </row>
        <row r="18">
          <cell r="D18">
            <v>25758</v>
          </cell>
        </row>
        <row r="19">
          <cell r="D19">
            <v>12010</v>
          </cell>
        </row>
        <row r="20">
          <cell r="D20">
            <v>3227</v>
          </cell>
        </row>
        <row r="21">
          <cell r="D21">
            <v>10521</v>
          </cell>
        </row>
        <row r="22">
          <cell r="D22">
            <v>2200</v>
          </cell>
        </row>
        <row r="23">
          <cell r="D23">
            <v>1160</v>
          </cell>
        </row>
        <row r="24">
          <cell r="D24">
            <v>1008</v>
          </cell>
        </row>
        <row r="25">
          <cell r="D25">
            <v>32</v>
          </cell>
        </row>
        <row r="26">
          <cell r="D26">
            <v>25417</v>
          </cell>
        </row>
        <row r="27">
          <cell r="D27">
            <v>2502</v>
          </cell>
        </row>
        <row r="28">
          <cell r="D28">
            <v>8293</v>
          </cell>
        </row>
        <row r="29">
          <cell r="D29">
            <v>644</v>
          </cell>
        </row>
        <row r="30">
          <cell r="D30">
            <v>1705</v>
          </cell>
        </row>
        <row r="32">
          <cell r="D32">
            <v>6779</v>
          </cell>
        </row>
        <row r="33">
          <cell r="D33">
            <v>76</v>
          </cell>
        </row>
        <row r="34">
          <cell r="D34">
            <v>5249</v>
          </cell>
        </row>
        <row r="35">
          <cell r="D35">
            <v>588</v>
          </cell>
        </row>
        <row r="36">
          <cell r="D36">
            <v>866</v>
          </cell>
        </row>
        <row r="37">
          <cell r="D37">
            <v>429</v>
          </cell>
        </row>
        <row r="38">
          <cell r="D38">
            <v>5065</v>
          </cell>
        </row>
        <row r="39">
          <cell r="D39">
            <v>5065</v>
          </cell>
        </row>
        <row r="41">
          <cell r="D41">
            <v>2158</v>
          </cell>
        </row>
        <row r="42">
          <cell r="D42">
            <v>498</v>
          </cell>
        </row>
        <row r="43">
          <cell r="D43">
            <v>1660</v>
          </cell>
        </row>
        <row r="44">
          <cell r="D44">
            <v>120</v>
          </cell>
        </row>
        <row r="45">
          <cell r="D45">
            <v>145</v>
          </cell>
        </row>
        <row r="46">
          <cell r="D46">
            <v>7906</v>
          </cell>
        </row>
        <row r="47">
          <cell r="D47">
            <v>9800</v>
          </cell>
        </row>
        <row r="48">
          <cell r="D48">
            <v>8256</v>
          </cell>
        </row>
        <row r="49">
          <cell r="D49">
            <v>1894</v>
          </cell>
        </row>
        <row r="50">
          <cell r="D50">
            <v>107</v>
          </cell>
        </row>
        <row r="51">
          <cell r="D51">
            <v>1026</v>
          </cell>
        </row>
        <row r="52">
          <cell r="D52">
            <v>-1026</v>
          </cell>
        </row>
        <row r="54">
          <cell r="D54">
            <v>99</v>
          </cell>
        </row>
        <row r="55">
          <cell r="D55">
            <v>-1125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Sheet2"/>
      <sheetName val="Sheet1"/>
    </sheetNames>
    <sheetDataSet>
      <sheetData sheetId="1">
        <row r="12">
          <cell r="D12">
            <v>6876203.63</v>
          </cell>
        </row>
        <row r="13">
          <cell r="D13">
            <v>40876129.449999996</v>
          </cell>
        </row>
        <row r="14">
          <cell r="D14">
            <v>29888017.37</v>
          </cell>
        </row>
        <row r="15">
          <cell r="D15">
            <v>9956997.42</v>
          </cell>
        </row>
        <row r="16">
          <cell r="D16">
            <v>1031114.66</v>
          </cell>
        </row>
        <row r="17">
          <cell r="D17">
            <v>2944601.86</v>
          </cell>
        </row>
        <row r="18">
          <cell r="D18">
            <v>-397488</v>
          </cell>
        </row>
        <row r="19">
          <cell r="D19">
            <v>6218210.550000001</v>
          </cell>
        </row>
        <row r="20">
          <cell r="D20">
            <v>3567.61</v>
          </cell>
        </row>
        <row r="21">
          <cell r="D21">
            <v>2356913.54</v>
          </cell>
        </row>
        <row r="22">
          <cell r="D22">
            <v>1217267.55</v>
          </cell>
        </row>
        <row r="23">
          <cell r="D23">
            <v>40420.15</v>
          </cell>
        </row>
        <row r="24">
          <cell r="D24">
            <v>56075.94</v>
          </cell>
        </row>
        <row r="25">
          <cell r="D25">
            <v>783652.74</v>
          </cell>
        </row>
        <row r="26">
          <cell r="D26">
            <v>202539.74</v>
          </cell>
        </row>
        <row r="27">
          <cell r="D27">
            <v>197482.44</v>
          </cell>
        </row>
        <row r="28">
          <cell r="D28">
            <v>53135</v>
          </cell>
        </row>
        <row r="29">
          <cell r="D29">
            <v>645254.67</v>
          </cell>
        </row>
        <row r="30">
          <cell r="D30">
            <v>1115058.35</v>
          </cell>
        </row>
        <row r="31">
          <cell r="D31">
            <v>100100</v>
          </cell>
        </row>
        <row r="32">
          <cell r="D32">
            <v>678000</v>
          </cell>
        </row>
        <row r="33">
          <cell r="D33">
            <v>15934</v>
          </cell>
        </row>
        <row r="36">
          <cell r="D36">
            <v>5201903.73</v>
          </cell>
        </row>
        <row r="37">
          <cell r="D37">
            <v>5201903.73</v>
          </cell>
        </row>
        <row r="38">
          <cell r="D38">
            <v>2348285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Sheet3"/>
    </sheetNames>
    <sheetDataSet>
      <sheetData sheetId="0">
        <row r="9">
          <cell r="C9">
            <v>3596404</v>
          </cell>
          <cell r="H9">
            <v>3596</v>
          </cell>
        </row>
        <row r="10">
          <cell r="C10">
            <v>2928628</v>
          </cell>
          <cell r="H10">
            <v>2929</v>
          </cell>
        </row>
        <row r="11">
          <cell r="C11">
            <v>14704</v>
          </cell>
          <cell r="H11">
            <v>14</v>
          </cell>
        </row>
        <row r="12">
          <cell r="C12">
            <v>3212</v>
          </cell>
          <cell r="H12">
            <v>3</v>
          </cell>
        </row>
        <row r="13">
          <cell r="C13">
            <v>11492</v>
          </cell>
          <cell r="H13">
            <v>11</v>
          </cell>
        </row>
        <row r="14">
          <cell r="C14">
            <v>348106</v>
          </cell>
          <cell r="H14">
            <v>348</v>
          </cell>
        </row>
        <row r="15">
          <cell r="C15">
            <v>4408</v>
          </cell>
          <cell r="H15">
            <v>4</v>
          </cell>
        </row>
        <row r="16">
          <cell r="C16">
            <v>0</v>
          </cell>
          <cell r="H16">
            <v>0</v>
          </cell>
        </row>
        <row r="17">
          <cell r="C17">
            <v>331698</v>
          </cell>
          <cell r="H17">
            <v>332</v>
          </cell>
        </row>
        <row r="18">
          <cell r="C18">
            <v>12000</v>
          </cell>
          <cell r="H18">
            <v>12</v>
          </cell>
        </row>
        <row r="19">
          <cell r="C19">
            <v>15390</v>
          </cell>
          <cell r="H19">
            <v>15</v>
          </cell>
        </row>
        <row r="20">
          <cell r="C20">
            <v>15390</v>
          </cell>
          <cell r="H20">
            <v>15</v>
          </cell>
        </row>
        <row r="21">
          <cell r="C21">
            <v>0</v>
          </cell>
          <cell r="H21">
            <v>0</v>
          </cell>
        </row>
        <row r="22">
          <cell r="C22">
            <v>0</v>
          </cell>
          <cell r="H22">
            <v>0</v>
          </cell>
        </row>
        <row r="23">
          <cell r="C23">
            <v>198579</v>
          </cell>
          <cell r="H23">
            <v>199</v>
          </cell>
        </row>
        <row r="24">
          <cell r="C24">
            <v>100183</v>
          </cell>
          <cell r="H24">
            <v>100</v>
          </cell>
        </row>
        <row r="25">
          <cell r="C25">
            <v>33999</v>
          </cell>
          <cell r="H25">
            <v>34</v>
          </cell>
        </row>
        <row r="26">
          <cell r="H26">
            <v>0</v>
          </cell>
        </row>
        <row r="27">
          <cell r="C27">
            <v>11779</v>
          </cell>
          <cell r="H27">
            <v>12</v>
          </cell>
        </row>
        <row r="28">
          <cell r="C28">
            <v>10854</v>
          </cell>
          <cell r="H28">
            <v>11</v>
          </cell>
        </row>
        <row r="29">
          <cell r="C29">
            <v>41764</v>
          </cell>
          <cell r="H29">
            <v>42</v>
          </cell>
        </row>
        <row r="30">
          <cell r="C30">
            <v>90997</v>
          </cell>
          <cell r="H30">
            <v>91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</sheetNames>
    <sheetDataSet>
      <sheetData sheetId="0">
        <row r="9">
          <cell r="C9">
            <v>-572</v>
          </cell>
        </row>
        <row r="10">
          <cell r="C10">
            <v>-572</v>
          </cell>
        </row>
        <row r="11">
          <cell r="C11">
            <v>9</v>
          </cell>
        </row>
        <row r="14">
          <cell r="C14">
            <v>45</v>
          </cell>
        </row>
        <row r="15">
          <cell r="C15">
            <v>3</v>
          </cell>
        </row>
        <row r="16">
          <cell r="C16">
            <v>6</v>
          </cell>
        </row>
        <row r="17">
          <cell r="C17">
            <v>51</v>
          </cell>
        </row>
        <row r="18">
          <cell r="C18">
            <v>63</v>
          </cell>
        </row>
        <row r="19">
          <cell r="C19">
            <v>-2</v>
          </cell>
        </row>
        <row r="22">
          <cell r="C22">
            <v>-756</v>
          </cell>
        </row>
        <row r="23">
          <cell r="C23">
            <v>7</v>
          </cell>
        </row>
        <row r="27">
          <cell r="C27">
            <v>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0">
        <row r="9">
          <cell r="C9">
            <v>305</v>
          </cell>
        </row>
        <row r="10">
          <cell r="C10">
            <v>290</v>
          </cell>
        </row>
        <row r="11">
          <cell r="C11">
            <v>15</v>
          </cell>
        </row>
        <row r="13">
          <cell r="C13">
            <v>204</v>
          </cell>
        </row>
        <row r="14">
          <cell r="C14">
            <v>153</v>
          </cell>
        </row>
        <row r="15">
          <cell r="C15">
            <v>89</v>
          </cell>
        </row>
        <row r="16">
          <cell r="C16">
            <v>15</v>
          </cell>
        </row>
        <row r="17">
          <cell r="C17">
            <v>4</v>
          </cell>
        </row>
        <row r="18">
          <cell r="C18">
            <v>70</v>
          </cell>
        </row>
        <row r="19">
          <cell r="C19">
            <v>67</v>
          </cell>
        </row>
        <row r="20">
          <cell r="C20">
            <v>3</v>
          </cell>
        </row>
        <row r="25">
          <cell r="C25">
            <v>64</v>
          </cell>
        </row>
        <row r="28">
          <cell r="C28">
            <v>2</v>
          </cell>
        </row>
        <row r="29">
          <cell r="C29">
            <v>58</v>
          </cell>
        </row>
        <row r="30">
          <cell r="C30">
            <v>4</v>
          </cell>
        </row>
        <row r="31">
          <cell r="C31">
            <v>51</v>
          </cell>
        </row>
        <row r="32">
          <cell r="C32">
            <v>51</v>
          </cell>
        </row>
        <row r="34">
          <cell r="C34">
            <v>-776</v>
          </cell>
        </row>
        <row r="36">
          <cell r="C36">
            <v>776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Sheet1"/>
    </sheetNames>
    <sheetDataSet>
      <sheetData sheetId="0">
        <row r="13">
          <cell r="C13">
            <v>112</v>
          </cell>
        </row>
        <row r="14">
          <cell r="C14">
            <v>29</v>
          </cell>
        </row>
        <row r="15">
          <cell r="C15">
            <v>724</v>
          </cell>
        </row>
        <row r="16">
          <cell r="C16">
            <v>715</v>
          </cell>
        </row>
        <row r="17">
          <cell r="C17">
            <v>9</v>
          </cell>
        </row>
        <row r="18">
          <cell r="C18">
            <v>4</v>
          </cell>
        </row>
        <row r="19">
          <cell r="C19">
            <v>530</v>
          </cell>
        </row>
        <row r="20">
          <cell r="C20">
            <v>32</v>
          </cell>
        </row>
        <row r="21">
          <cell r="C21">
            <v>24</v>
          </cell>
        </row>
        <row r="22">
          <cell r="C22">
            <v>14</v>
          </cell>
        </row>
        <row r="23">
          <cell r="C23">
            <v>288</v>
          </cell>
        </row>
        <row r="24">
          <cell r="C24">
            <v>172</v>
          </cell>
        </row>
        <row r="25">
          <cell r="C25">
            <v>3</v>
          </cell>
        </row>
        <row r="26">
          <cell r="C26">
            <v>554</v>
          </cell>
        </row>
        <row r="27">
          <cell r="C27">
            <v>544</v>
          </cell>
        </row>
        <row r="28">
          <cell r="C28">
            <v>10</v>
          </cell>
        </row>
        <row r="29">
          <cell r="C29">
            <v>-876</v>
          </cell>
        </row>
        <row r="30">
          <cell r="C30">
            <v>64</v>
          </cell>
        </row>
        <row r="31">
          <cell r="C31">
            <v>940</v>
          </cell>
        </row>
        <row r="32">
          <cell r="C32">
            <v>2582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Sheet3"/>
    </sheetNames>
    <sheetDataSet>
      <sheetData sheetId="0">
        <row r="9">
          <cell r="C9">
            <v>3660</v>
          </cell>
        </row>
        <row r="10">
          <cell r="C10">
            <v>1046</v>
          </cell>
        </row>
        <row r="11">
          <cell r="C11">
            <v>41</v>
          </cell>
        </row>
        <row r="12">
          <cell r="C12">
            <v>954</v>
          </cell>
        </row>
        <row r="13">
          <cell r="C13">
            <v>219</v>
          </cell>
        </row>
        <row r="14">
          <cell r="C14">
            <v>1400</v>
          </cell>
        </row>
        <row r="17">
          <cell r="C17">
            <v>119</v>
          </cell>
        </row>
        <row r="18">
          <cell r="C18">
            <v>51</v>
          </cell>
        </row>
        <row r="19">
          <cell r="C19">
            <v>627</v>
          </cell>
        </row>
        <row r="20">
          <cell r="C20">
            <v>140</v>
          </cell>
        </row>
        <row r="21">
          <cell r="C21">
            <v>140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0">
        <row r="13">
          <cell r="C13">
            <v>16458403</v>
          </cell>
          <cell r="H13">
            <v>16458</v>
          </cell>
        </row>
        <row r="14">
          <cell r="H14">
            <v>1055</v>
          </cell>
        </row>
        <row r="15">
          <cell r="C15">
            <v>1094447</v>
          </cell>
          <cell r="H15">
            <v>1094</v>
          </cell>
        </row>
        <row r="16">
          <cell r="C16">
            <v>629115</v>
          </cell>
          <cell r="H16">
            <v>629</v>
          </cell>
        </row>
        <row r="17">
          <cell r="C17">
            <v>465332</v>
          </cell>
          <cell r="H17">
            <v>465</v>
          </cell>
        </row>
        <row r="18">
          <cell r="C18">
            <v>560950</v>
          </cell>
          <cell r="H18">
            <v>561</v>
          </cell>
        </row>
        <row r="19">
          <cell r="C19">
            <v>117983</v>
          </cell>
          <cell r="H19">
            <v>118</v>
          </cell>
        </row>
        <row r="21">
          <cell r="C21">
            <v>105519</v>
          </cell>
          <cell r="H21">
            <v>106</v>
          </cell>
        </row>
        <row r="23">
          <cell r="C23">
            <v>62821</v>
          </cell>
          <cell r="H23">
            <v>63</v>
          </cell>
        </row>
        <row r="24">
          <cell r="C24">
            <v>253988</v>
          </cell>
          <cell r="H24">
            <v>254</v>
          </cell>
        </row>
        <row r="25">
          <cell r="C25">
            <v>20280</v>
          </cell>
          <cell r="H25">
            <v>20</v>
          </cell>
        </row>
        <row r="26">
          <cell r="C26">
            <v>1059849</v>
          </cell>
          <cell r="H26">
            <v>1060</v>
          </cell>
        </row>
        <row r="27">
          <cell r="C27">
            <v>78242</v>
          </cell>
          <cell r="H27">
            <v>78</v>
          </cell>
        </row>
        <row r="28">
          <cell r="C28">
            <v>8082</v>
          </cell>
          <cell r="H28">
            <v>8</v>
          </cell>
        </row>
        <row r="29">
          <cell r="C29">
            <v>1894941</v>
          </cell>
          <cell r="H29">
            <v>1895</v>
          </cell>
        </row>
        <row r="32">
          <cell r="C32">
            <v>278242</v>
          </cell>
          <cell r="H32">
            <v>278</v>
          </cell>
        </row>
        <row r="33">
          <cell r="C33">
            <v>36206</v>
          </cell>
          <cell r="H33">
            <v>36</v>
          </cell>
        </row>
        <row r="34">
          <cell r="C34">
            <v>70612</v>
          </cell>
          <cell r="H34">
            <v>71</v>
          </cell>
        </row>
        <row r="36">
          <cell r="C36">
            <v>20834</v>
          </cell>
          <cell r="H36">
            <v>21</v>
          </cell>
        </row>
        <row r="37">
          <cell r="C37">
            <v>8633329</v>
          </cell>
          <cell r="H37">
            <v>8633</v>
          </cell>
        </row>
        <row r="40">
          <cell r="C40">
            <v>2863509</v>
          </cell>
          <cell r="H40">
            <v>2864</v>
          </cell>
        </row>
        <row r="41">
          <cell r="H41">
            <v>0</v>
          </cell>
        </row>
        <row r="42">
          <cell r="C42">
            <v>43558</v>
          </cell>
          <cell r="H42">
            <v>44</v>
          </cell>
        </row>
        <row r="43">
          <cell r="C43">
            <v>83653</v>
          </cell>
          <cell r="H43">
            <v>84</v>
          </cell>
        </row>
      </sheetData>
      <sheetData sheetId="1">
        <row r="9">
          <cell r="C9">
            <v>68635906</v>
          </cell>
        </row>
        <row r="22">
          <cell r="H22">
            <v>2999</v>
          </cell>
        </row>
        <row r="29">
          <cell r="H29">
            <v>3989</v>
          </cell>
        </row>
        <row r="30">
          <cell r="H30">
            <v>24122</v>
          </cell>
        </row>
        <row r="31">
          <cell r="H31">
            <v>801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0">
        <row r="9">
          <cell r="C9">
            <v>33745448</v>
          </cell>
          <cell r="H9">
            <v>33746</v>
          </cell>
        </row>
        <row r="13">
          <cell r="C13">
            <v>11044377</v>
          </cell>
          <cell r="H13">
            <v>11044</v>
          </cell>
        </row>
        <row r="14">
          <cell r="C14">
            <v>2877821</v>
          </cell>
          <cell r="H14">
            <v>2878</v>
          </cell>
        </row>
        <row r="15">
          <cell r="H15">
            <v>7484</v>
          </cell>
        </row>
        <row r="16">
          <cell r="C16">
            <v>7326554</v>
          </cell>
          <cell r="H16">
            <v>7327</v>
          </cell>
        </row>
        <row r="17">
          <cell r="C17">
            <v>157094</v>
          </cell>
          <cell r="H17">
            <v>157</v>
          </cell>
        </row>
        <row r="18">
          <cell r="C18">
            <v>660274</v>
          </cell>
        </row>
        <row r="20">
          <cell r="C20">
            <v>53907</v>
          </cell>
          <cell r="H20">
            <v>53</v>
          </cell>
        </row>
        <row r="21">
          <cell r="C21">
            <v>458156</v>
          </cell>
          <cell r="H21">
            <v>458</v>
          </cell>
        </row>
        <row r="22">
          <cell r="C22">
            <v>2231225</v>
          </cell>
          <cell r="H22">
            <v>2231</v>
          </cell>
        </row>
        <row r="23">
          <cell r="C23">
            <v>1482218</v>
          </cell>
          <cell r="H23">
            <v>1482</v>
          </cell>
        </row>
        <row r="24">
          <cell r="C24">
            <v>1572286</v>
          </cell>
          <cell r="H24">
            <v>1572</v>
          </cell>
        </row>
        <row r="25">
          <cell r="C25">
            <v>20048</v>
          </cell>
        </row>
        <row r="27">
          <cell r="C27">
            <v>1025783</v>
          </cell>
          <cell r="H27">
            <v>1025</v>
          </cell>
        </row>
        <row r="28">
          <cell r="C28">
            <v>2508819</v>
          </cell>
          <cell r="H28">
            <v>2509</v>
          </cell>
        </row>
        <row r="30">
          <cell r="C30">
            <v>20475</v>
          </cell>
          <cell r="H30">
            <v>20</v>
          </cell>
        </row>
        <row r="31">
          <cell r="C31">
            <v>40052</v>
          </cell>
          <cell r="H31">
            <v>40</v>
          </cell>
        </row>
        <row r="32">
          <cell r="C32">
            <v>2366511</v>
          </cell>
        </row>
      </sheetData>
      <sheetData sheetId="1">
        <row r="27">
          <cell r="H27">
            <v>1887</v>
          </cell>
        </row>
        <row r="28">
          <cell r="H28">
            <v>4632</v>
          </cell>
        </row>
        <row r="30">
          <cell r="H30">
            <v>28</v>
          </cell>
        </row>
        <row r="31">
          <cell r="H31">
            <v>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Sheet3"/>
    </sheetNames>
    <sheetDataSet>
      <sheetData sheetId="0">
        <row r="10">
          <cell r="H10">
            <v>115043</v>
          </cell>
        </row>
        <row r="11">
          <cell r="H11">
            <v>64465</v>
          </cell>
        </row>
        <row r="12">
          <cell r="H12">
            <v>50697</v>
          </cell>
        </row>
        <row r="13">
          <cell r="H13">
            <v>6876</v>
          </cell>
        </row>
        <row r="14">
          <cell r="H14">
            <v>6876</v>
          </cell>
        </row>
        <row r="15">
          <cell r="H15">
            <v>40876</v>
          </cell>
        </row>
        <row r="16">
          <cell r="H16">
            <v>29888</v>
          </cell>
        </row>
        <row r="17">
          <cell r="H17">
            <v>9957</v>
          </cell>
        </row>
        <row r="18">
          <cell r="H18">
            <v>1031</v>
          </cell>
        </row>
        <row r="19">
          <cell r="H19">
            <v>2945</v>
          </cell>
        </row>
        <row r="20">
          <cell r="H20">
            <v>6218</v>
          </cell>
        </row>
        <row r="21">
          <cell r="H21">
            <v>5202</v>
          </cell>
        </row>
        <row r="22">
          <cell r="H22">
            <v>2348</v>
          </cell>
        </row>
        <row r="23">
          <cell r="H23">
            <v>100</v>
          </cell>
        </row>
        <row r="24">
          <cell r="H24">
            <v>64365</v>
          </cell>
        </row>
        <row r="25">
          <cell r="H25">
            <v>55863</v>
          </cell>
        </row>
        <row r="26">
          <cell r="H26">
            <v>55863</v>
          </cell>
        </row>
        <row r="27">
          <cell r="H27">
            <v>38146</v>
          </cell>
        </row>
        <row r="28">
          <cell r="H28">
            <v>3677</v>
          </cell>
        </row>
        <row r="29">
          <cell r="H29">
            <v>5829</v>
          </cell>
        </row>
        <row r="30">
          <cell r="H30">
            <v>490</v>
          </cell>
        </row>
        <row r="31">
          <cell r="H31">
            <v>7721</v>
          </cell>
        </row>
        <row r="32">
          <cell r="H32">
            <v>5185</v>
          </cell>
        </row>
        <row r="33">
          <cell r="H33">
            <v>50678</v>
          </cell>
        </row>
        <row r="34">
          <cell r="H34">
            <v>110927</v>
          </cell>
        </row>
        <row r="35">
          <cell r="H35">
            <v>105327</v>
          </cell>
        </row>
        <row r="36">
          <cell r="H36">
            <v>3675</v>
          </cell>
        </row>
        <row r="37">
          <cell r="H37">
            <v>1925</v>
          </cell>
        </row>
        <row r="38">
          <cell r="H38">
            <v>4116</v>
          </cell>
        </row>
        <row r="39">
          <cell r="H39">
            <v>225</v>
          </cell>
        </row>
        <row r="40">
          <cell r="H40">
            <v>111152</v>
          </cell>
        </row>
        <row r="41">
          <cell r="H41">
            <v>3891</v>
          </cell>
        </row>
        <row r="43">
          <cell r="H43">
            <v>3240</v>
          </cell>
        </row>
        <row r="44">
          <cell r="H44">
            <v>215</v>
          </cell>
        </row>
        <row r="45">
          <cell r="H45">
            <v>62487</v>
          </cell>
        </row>
        <row r="46">
          <cell r="H46">
            <v>-69833</v>
          </cell>
        </row>
        <row r="47">
          <cell r="H47">
            <v>55533</v>
          </cell>
        </row>
        <row r="48">
          <cell r="H48">
            <v>5185</v>
          </cell>
        </row>
        <row r="49">
          <cell r="H49">
            <v>50348</v>
          </cell>
        </row>
        <row r="50">
          <cell r="H50">
            <v>53375</v>
          </cell>
        </row>
        <row r="51">
          <cell r="H51">
            <v>5065</v>
          </cell>
        </row>
        <row r="52">
          <cell r="H52">
            <v>48310</v>
          </cell>
        </row>
        <row r="53">
          <cell r="H53">
            <v>498</v>
          </cell>
        </row>
        <row r="54">
          <cell r="H54">
            <v>498</v>
          </cell>
        </row>
        <row r="55">
          <cell r="H55">
            <v>1660</v>
          </cell>
        </row>
        <row r="56">
          <cell r="H56">
            <v>120</v>
          </cell>
        </row>
        <row r="57">
          <cell r="H57">
            <v>1540</v>
          </cell>
        </row>
        <row r="58">
          <cell r="H58">
            <v>8932</v>
          </cell>
        </row>
        <row r="59">
          <cell r="H59">
            <v>-243</v>
          </cell>
        </row>
        <row r="60">
          <cell r="H60">
            <v>7906</v>
          </cell>
        </row>
        <row r="61">
          <cell r="H61">
            <v>8149</v>
          </cell>
        </row>
        <row r="62">
          <cell r="H62">
            <v>-243</v>
          </cell>
        </row>
        <row r="63">
          <cell r="H63">
            <v>1026</v>
          </cell>
        </row>
        <row r="64">
          <cell r="H64">
            <v>60679</v>
          </cell>
        </row>
        <row r="65">
          <cell r="H65">
            <v>100</v>
          </cell>
        </row>
        <row r="66">
          <cell r="H66">
            <v>60579</v>
          </cell>
        </row>
        <row r="67">
          <cell r="H67">
            <v>57117</v>
          </cell>
        </row>
        <row r="68">
          <cell r="H68">
            <v>100</v>
          </cell>
        </row>
        <row r="69">
          <cell r="H69">
            <v>57017</v>
          </cell>
        </row>
        <row r="70">
          <cell r="H70">
            <v>3177</v>
          </cell>
        </row>
        <row r="71">
          <cell r="H71">
            <v>3177</v>
          </cell>
        </row>
        <row r="72">
          <cell r="H72">
            <v>385</v>
          </cell>
        </row>
        <row r="73">
          <cell r="H73">
            <v>385</v>
          </cell>
        </row>
        <row r="74">
          <cell r="H74">
            <v>-4816</v>
          </cell>
        </row>
        <row r="75">
          <cell r="H75">
            <v>468</v>
          </cell>
        </row>
        <row r="76">
          <cell r="H76">
            <v>468</v>
          </cell>
        </row>
        <row r="77">
          <cell r="H77">
            <v>468</v>
          </cell>
        </row>
        <row r="78">
          <cell r="H78">
            <v>-5284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0">
        <row r="11">
          <cell r="C11">
            <v>3265736</v>
          </cell>
          <cell r="H11">
            <v>3266</v>
          </cell>
        </row>
        <row r="12">
          <cell r="C12">
            <v>83602</v>
          </cell>
          <cell r="H12">
            <v>83</v>
          </cell>
        </row>
        <row r="13">
          <cell r="C13">
            <v>466946</v>
          </cell>
          <cell r="H13">
            <v>467</v>
          </cell>
        </row>
        <row r="14">
          <cell r="C14">
            <v>13994787</v>
          </cell>
          <cell r="H14">
            <v>13995</v>
          </cell>
        </row>
        <row r="15">
          <cell r="C15">
            <v>387179</v>
          </cell>
          <cell r="H15">
            <v>387</v>
          </cell>
        </row>
        <row r="16">
          <cell r="C16">
            <v>2861016</v>
          </cell>
          <cell r="H16">
            <v>2861</v>
          </cell>
        </row>
        <row r="17">
          <cell r="C17">
            <v>4496363</v>
          </cell>
          <cell r="H17">
            <v>4496</v>
          </cell>
        </row>
        <row r="18">
          <cell r="C18">
            <v>1647438</v>
          </cell>
          <cell r="H18">
            <v>1647</v>
          </cell>
        </row>
        <row r="19">
          <cell r="C19">
            <v>60650</v>
          </cell>
          <cell r="H19">
            <v>60</v>
          </cell>
        </row>
        <row r="20">
          <cell r="C20">
            <v>58539</v>
          </cell>
          <cell r="H20">
            <v>58</v>
          </cell>
        </row>
        <row r="21">
          <cell r="C21">
            <v>1959</v>
          </cell>
          <cell r="H21">
            <v>2</v>
          </cell>
        </row>
        <row r="22">
          <cell r="C22">
            <v>601743</v>
          </cell>
          <cell r="H22">
            <v>602</v>
          </cell>
        </row>
        <row r="23">
          <cell r="C23">
            <v>60440</v>
          </cell>
          <cell r="H23">
            <v>60</v>
          </cell>
        </row>
        <row r="24">
          <cell r="C24">
            <v>528738</v>
          </cell>
          <cell r="H24">
            <v>529</v>
          </cell>
        </row>
        <row r="25">
          <cell r="C25">
            <v>98407</v>
          </cell>
          <cell r="H25">
            <v>98</v>
          </cell>
        </row>
        <row r="26">
          <cell r="C26">
            <v>2509</v>
          </cell>
          <cell r="H26">
            <v>2</v>
          </cell>
        </row>
        <row r="27">
          <cell r="C27">
            <v>135975</v>
          </cell>
          <cell r="H27">
            <v>136</v>
          </cell>
        </row>
        <row r="31">
          <cell r="C31">
            <v>303510</v>
          </cell>
          <cell r="H31">
            <v>304</v>
          </cell>
        </row>
        <row r="32">
          <cell r="C32">
            <v>42561</v>
          </cell>
          <cell r="H32">
            <v>43</v>
          </cell>
        </row>
        <row r="33">
          <cell r="C33">
            <v>48511</v>
          </cell>
          <cell r="H33">
            <v>49</v>
          </cell>
        </row>
        <row r="35">
          <cell r="C35">
            <v>2231225</v>
          </cell>
          <cell r="H35">
            <v>2231</v>
          </cell>
        </row>
        <row r="36">
          <cell r="H36">
            <v>0</v>
          </cell>
        </row>
      </sheetData>
      <sheetData sheetId="1">
        <row r="29">
          <cell r="H29">
            <v>5317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0">
        <row r="11">
          <cell r="C11">
            <v>18337</v>
          </cell>
        </row>
        <row r="12">
          <cell r="C12">
            <v>1483</v>
          </cell>
        </row>
        <row r="13">
          <cell r="C13">
            <v>1895</v>
          </cell>
        </row>
        <row r="14">
          <cell r="C14">
            <v>12031</v>
          </cell>
        </row>
        <row r="15">
          <cell r="C15">
            <v>385</v>
          </cell>
        </row>
        <row r="16">
          <cell r="C16">
            <v>2231</v>
          </cell>
        </row>
        <row r="18">
          <cell r="C18">
            <v>3660</v>
          </cell>
        </row>
        <row r="19">
          <cell r="C19">
            <v>3660</v>
          </cell>
        </row>
        <row r="20">
          <cell r="C20">
            <v>1046</v>
          </cell>
        </row>
        <row r="23">
          <cell r="C23">
            <v>26634</v>
          </cell>
        </row>
        <row r="24">
          <cell r="C24">
            <v>1569</v>
          </cell>
        </row>
        <row r="25">
          <cell r="C25">
            <v>2519</v>
          </cell>
        </row>
        <row r="31">
          <cell r="C31">
            <v>1046</v>
          </cell>
        </row>
        <row r="32">
          <cell r="C32">
            <v>261</v>
          </cell>
        </row>
        <row r="33">
          <cell r="C33">
            <v>-5225</v>
          </cell>
        </row>
        <row r="35">
          <cell r="C35">
            <v>2627</v>
          </cell>
        </row>
        <row r="36">
          <cell r="C36">
            <v>28769</v>
          </cell>
        </row>
        <row r="38">
          <cell r="C38">
            <v>2627</v>
          </cell>
        </row>
        <row r="39">
          <cell r="C39">
            <v>25235</v>
          </cell>
        </row>
        <row r="40">
          <cell r="C40">
            <v>1025</v>
          </cell>
        </row>
        <row r="41">
          <cell r="C41">
            <v>2509</v>
          </cell>
        </row>
        <row r="44">
          <cell r="C44">
            <v>20</v>
          </cell>
        </row>
        <row r="45">
          <cell r="C45">
            <v>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Sheet3"/>
    </sheetNames>
    <sheetDataSet>
      <sheetData sheetId="0">
        <row r="8">
          <cell r="D8">
            <v>1002094</v>
          </cell>
          <cell r="K8">
            <v>1002</v>
          </cell>
        </row>
        <row r="9">
          <cell r="D9">
            <v>902449</v>
          </cell>
          <cell r="K9">
            <v>902</v>
          </cell>
        </row>
        <row r="10">
          <cell r="D10">
            <v>399121</v>
          </cell>
          <cell r="K10">
            <v>399</v>
          </cell>
        </row>
        <row r="11">
          <cell r="D11">
            <v>503328</v>
          </cell>
          <cell r="K11">
            <v>503</v>
          </cell>
        </row>
        <row r="12">
          <cell r="D12">
            <v>99645</v>
          </cell>
          <cell r="K12">
            <v>100</v>
          </cell>
        </row>
        <row r="13">
          <cell r="D13">
            <v>37915</v>
          </cell>
          <cell r="K13">
            <v>38</v>
          </cell>
        </row>
        <row r="14">
          <cell r="D14">
            <v>61730</v>
          </cell>
          <cell r="K14">
            <v>62</v>
          </cell>
        </row>
        <row r="15">
          <cell r="D15">
            <v>0</v>
          </cell>
          <cell r="K15">
            <v>0</v>
          </cell>
        </row>
        <row r="16">
          <cell r="D16">
            <v>0</v>
          </cell>
          <cell r="K16">
            <v>0</v>
          </cell>
        </row>
        <row r="17">
          <cell r="K17">
            <v>0</v>
          </cell>
        </row>
        <row r="18">
          <cell r="D18">
            <v>2174</v>
          </cell>
          <cell r="K18">
            <v>2</v>
          </cell>
        </row>
        <row r="19">
          <cell r="D19">
            <v>0</v>
          </cell>
          <cell r="K19">
            <v>0</v>
          </cell>
        </row>
        <row r="20">
          <cell r="K20">
            <v>0</v>
          </cell>
        </row>
        <row r="21">
          <cell r="D21">
            <v>2174</v>
          </cell>
          <cell r="K21">
            <v>2</v>
          </cell>
        </row>
        <row r="22">
          <cell r="D22">
            <v>2174</v>
          </cell>
          <cell r="K22">
            <v>2</v>
          </cell>
        </row>
        <row r="23">
          <cell r="D23">
            <v>0</v>
          </cell>
          <cell r="K23">
            <v>0</v>
          </cell>
        </row>
        <row r="24">
          <cell r="D24">
            <v>0</v>
          </cell>
          <cell r="K24">
            <v>0</v>
          </cell>
        </row>
        <row r="25">
          <cell r="K25">
            <v>0</v>
          </cell>
        </row>
        <row r="26">
          <cell r="D26">
            <v>0</v>
          </cell>
          <cell r="K26">
            <v>0</v>
          </cell>
        </row>
        <row r="27">
          <cell r="D27">
            <v>0</v>
          </cell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D30">
            <v>0</v>
          </cell>
          <cell r="K30">
            <v>0</v>
          </cell>
        </row>
        <row r="31">
          <cell r="K31">
            <v>0</v>
          </cell>
        </row>
        <row r="32">
          <cell r="D32">
            <v>103195</v>
          </cell>
          <cell r="K32">
            <v>103</v>
          </cell>
        </row>
        <row r="33">
          <cell r="D33">
            <v>58515</v>
          </cell>
          <cell r="K33">
            <v>58</v>
          </cell>
        </row>
        <row r="34">
          <cell r="K34">
            <v>0</v>
          </cell>
        </row>
        <row r="35">
          <cell r="D35">
            <v>58515</v>
          </cell>
          <cell r="K35">
            <v>58</v>
          </cell>
        </row>
        <row r="36">
          <cell r="D36">
            <v>44680</v>
          </cell>
          <cell r="K36">
            <v>45</v>
          </cell>
        </row>
        <row r="37">
          <cell r="K37">
            <v>0</v>
          </cell>
        </row>
        <row r="38">
          <cell r="D38">
            <v>44680</v>
          </cell>
          <cell r="K38">
            <v>45</v>
          </cell>
        </row>
        <row r="39">
          <cell r="D39">
            <v>0</v>
          </cell>
          <cell r="K39">
            <v>0</v>
          </cell>
        </row>
        <row r="40">
          <cell r="D40">
            <v>0</v>
          </cell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D43">
            <v>0</v>
          </cell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D46">
            <v>16346</v>
          </cell>
          <cell r="K46">
            <v>16</v>
          </cell>
        </row>
        <row r="47">
          <cell r="D47">
            <v>0</v>
          </cell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D50">
            <v>16346</v>
          </cell>
          <cell r="K50">
            <v>16</v>
          </cell>
        </row>
        <row r="51">
          <cell r="D51">
            <v>16346</v>
          </cell>
          <cell r="K51">
            <v>16</v>
          </cell>
        </row>
        <row r="52">
          <cell r="D52">
            <v>15555</v>
          </cell>
          <cell r="K52">
            <v>16</v>
          </cell>
        </row>
        <row r="53">
          <cell r="D53">
            <v>809</v>
          </cell>
          <cell r="K53">
            <v>1</v>
          </cell>
        </row>
        <row r="54">
          <cell r="D54">
            <v>809</v>
          </cell>
          <cell r="K54">
            <v>1</v>
          </cell>
        </row>
        <row r="55">
          <cell r="K55">
            <v>0</v>
          </cell>
        </row>
        <row r="56">
          <cell r="D56">
            <v>14746</v>
          </cell>
          <cell r="K56">
            <v>15</v>
          </cell>
        </row>
        <row r="57">
          <cell r="K57">
            <v>0</v>
          </cell>
        </row>
        <row r="58">
          <cell r="D58">
            <v>14746</v>
          </cell>
          <cell r="K58">
            <v>15</v>
          </cell>
        </row>
        <row r="59">
          <cell r="D59">
            <v>62809</v>
          </cell>
          <cell r="K59">
            <v>63</v>
          </cell>
        </row>
        <row r="60">
          <cell r="D60">
            <v>62809</v>
          </cell>
          <cell r="K60">
            <v>63</v>
          </cell>
        </row>
        <row r="61">
          <cell r="D61">
            <v>62809</v>
          </cell>
          <cell r="K61">
            <v>63</v>
          </cell>
        </row>
        <row r="62">
          <cell r="K62">
            <v>0</v>
          </cell>
        </row>
        <row r="63">
          <cell r="D63">
            <v>0</v>
          </cell>
          <cell r="K63">
            <v>0</v>
          </cell>
        </row>
        <row r="64">
          <cell r="K64">
            <v>0</v>
          </cell>
        </row>
        <row r="65">
          <cell r="D65">
            <v>12192</v>
          </cell>
          <cell r="K65">
            <v>12</v>
          </cell>
        </row>
        <row r="66">
          <cell r="D66">
            <v>0</v>
          </cell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D69">
            <v>12192</v>
          </cell>
          <cell r="K69">
            <v>12</v>
          </cell>
        </row>
        <row r="70">
          <cell r="D70">
            <v>12192</v>
          </cell>
          <cell r="K70">
            <v>12</v>
          </cell>
        </row>
        <row r="71">
          <cell r="K71">
            <v>0</v>
          </cell>
        </row>
        <row r="72">
          <cell r="D72">
            <v>206900</v>
          </cell>
          <cell r="K72">
            <v>207</v>
          </cell>
        </row>
        <row r="73">
          <cell r="D73">
            <v>202073</v>
          </cell>
          <cell r="K73">
            <v>202</v>
          </cell>
        </row>
        <row r="74">
          <cell r="D74">
            <v>202073</v>
          </cell>
          <cell r="K74">
            <v>202</v>
          </cell>
        </row>
        <row r="75">
          <cell r="K75">
            <v>0</v>
          </cell>
        </row>
        <row r="76">
          <cell r="D76">
            <v>4827</v>
          </cell>
          <cell r="K76">
            <v>5</v>
          </cell>
        </row>
        <row r="77">
          <cell r="D77">
            <v>2523</v>
          </cell>
          <cell r="K77">
            <v>3</v>
          </cell>
        </row>
        <row r="78">
          <cell r="D78">
            <v>2304</v>
          </cell>
          <cell r="K78">
            <v>2</v>
          </cell>
        </row>
        <row r="79">
          <cell r="D79">
            <v>444813</v>
          </cell>
          <cell r="K79">
            <v>445</v>
          </cell>
        </row>
        <row r="80">
          <cell r="D80">
            <v>444813</v>
          </cell>
          <cell r="K80">
            <v>445</v>
          </cell>
        </row>
        <row r="81">
          <cell r="K81">
            <v>0</v>
          </cell>
        </row>
        <row r="82">
          <cell r="D82">
            <v>444813</v>
          </cell>
          <cell r="K82">
            <v>445</v>
          </cell>
        </row>
        <row r="83">
          <cell r="D83">
            <v>0</v>
          </cell>
          <cell r="K83">
            <v>0</v>
          </cell>
        </row>
        <row r="84">
          <cell r="D84">
            <v>0</v>
          </cell>
        </row>
        <row r="85">
          <cell r="K85">
            <v>0</v>
          </cell>
        </row>
        <row r="86">
          <cell r="D86">
            <v>0</v>
          </cell>
          <cell r="K86">
            <v>0</v>
          </cell>
        </row>
        <row r="87">
          <cell r="D87">
            <v>0</v>
          </cell>
          <cell r="K87">
            <v>0</v>
          </cell>
        </row>
        <row r="88">
          <cell r="K88">
            <v>0</v>
          </cell>
        </row>
        <row r="89">
          <cell r="D89">
            <v>0</v>
          </cell>
          <cell r="K89">
            <v>0</v>
          </cell>
        </row>
        <row r="90">
          <cell r="K90">
            <v>0</v>
          </cell>
        </row>
        <row r="91">
          <cell r="D91">
            <v>0</v>
          </cell>
          <cell r="K91">
            <v>0</v>
          </cell>
        </row>
        <row r="92">
          <cell r="D92">
            <v>0</v>
          </cell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D95">
            <v>0</v>
          </cell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D98">
            <v>138110</v>
          </cell>
          <cell r="K98">
            <v>138</v>
          </cell>
        </row>
        <row r="99">
          <cell r="D99">
            <v>133430</v>
          </cell>
          <cell r="K99">
            <v>133</v>
          </cell>
        </row>
        <row r="100">
          <cell r="D100">
            <v>133430</v>
          </cell>
          <cell r="K100">
            <v>133</v>
          </cell>
        </row>
        <row r="101">
          <cell r="K101">
            <v>0</v>
          </cell>
        </row>
        <row r="102">
          <cell r="D102">
            <v>4680</v>
          </cell>
          <cell r="K102">
            <v>5</v>
          </cell>
        </row>
        <row r="103">
          <cell r="D103">
            <v>4680</v>
          </cell>
          <cell r="K103">
            <v>5</v>
          </cell>
        </row>
        <row r="104">
          <cell r="D104">
            <v>0</v>
          </cell>
          <cell r="K104">
            <v>0</v>
          </cell>
        </row>
        <row r="105">
          <cell r="D105">
            <v>0</v>
          </cell>
          <cell r="K105">
            <v>0</v>
          </cell>
        </row>
        <row r="106">
          <cell r="K106">
            <v>0</v>
          </cell>
        </row>
        <row r="107">
          <cell r="D107">
            <v>0</v>
          </cell>
          <cell r="K107">
            <v>0</v>
          </cell>
        </row>
        <row r="108">
          <cell r="K108">
            <v>0</v>
          </cell>
        </row>
        <row r="109">
          <cell r="D109">
            <v>489853</v>
          </cell>
          <cell r="K109">
            <v>490</v>
          </cell>
        </row>
        <row r="110">
          <cell r="D110">
            <v>489853</v>
          </cell>
          <cell r="K110">
            <v>490</v>
          </cell>
        </row>
        <row r="111">
          <cell r="D111">
            <v>0</v>
          </cell>
          <cell r="K111">
            <v>0</v>
          </cell>
        </row>
        <row r="112">
          <cell r="D112">
            <v>489853</v>
          </cell>
          <cell r="K112">
            <v>490</v>
          </cell>
        </row>
        <row r="113">
          <cell r="D113">
            <v>0</v>
          </cell>
          <cell r="K113">
            <v>0</v>
          </cell>
        </row>
        <row r="114">
          <cell r="D114">
            <v>0</v>
          </cell>
          <cell r="K114">
            <v>0</v>
          </cell>
        </row>
        <row r="115">
          <cell r="D115">
            <v>0</v>
          </cell>
          <cell r="K115">
            <v>0</v>
          </cell>
        </row>
        <row r="116">
          <cell r="D116">
            <v>489853</v>
          </cell>
          <cell r="K116">
            <v>490</v>
          </cell>
        </row>
        <row r="117">
          <cell r="D117">
            <v>489853</v>
          </cell>
          <cell r="K117">
            <v>490</v>
          </cell>
        </row>
        <row r="118">
          <cell r="K118">
            <v>0</v>
          </cell>
        </row>
        <row r="119">
          <cell r="D119">
            <v>489853</v>
          </cell>
          <cell r="K119">
            <v>490</v>
          </cell>
        </row>
        <row r="120">
          <cell r="D120">
            <v>0</v>
          </cell>
          <cell r="K120">
            <v>0</v>
          </cell>
        </row>
        <row r="121">
          <cell r="K121">
            <v>0</v>
          </cell>
        </row>
        <row r="122">
          <cell r="D122">
            <v>0</v>
          </cell>
          <cell r="K122">
            <v>0</v>
          </cell>
        </row>
        <row r="123">
          <cell r="D123">
            <v>0</v>
          </cell>
          <cell r="K123">
            <v>0</v>
          </cell>
        </row>
        <row r="124">
          <cell r="K124">
            <v>0</v>
          </cell>
        </row>
        <row r="125">
          <cell r="D125">
            <v>0</v>
          </cell>
          <cell r="K125">
            <v>0</v>
          </cell>
        </row>
        <row r="126">
          <cell r="K126">
            <v>0</v>
          </cell>
        </row>
        <row r="127">
          <cell r="D127">
            <v>0</v>
          </cell>
          <cell r="K127">
            <v>0</v>
          </cell>
        </row>
        <row r="128">
          <cell r="K128">
            <v>0</v>
          </cell>
        </row>
        <row r="129">
          <cell r="K1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Sheet2"/>
      <sheetName val="Sheet3"/>
    </sheetNames>
    <sheetDataSet>
      <sheetData sheetId="0">
        <row r="10">
          <cell r="D10">
            <v>5137.86</v>
          </cell>
        </row>
        <row r="11">
          <cell r="D11">
            <v>1153.3</v>
          </cell>
        </row>
        <row r="12">
          <cell r="D12">
            <v>7958.23</v>
          </cell>
        </row>
        <row r="13">
          <cell r="D13">
            <v>119341.57</v>
          </cell>
        </row>
        <row r="14">
          <cell r="D14">
            <v>20580.25</v>
          </cell>
        </row>
        <row r="15">
          <cell r="D15">
            <v>1911.87</v>
          </cell>
        </row>
        <row r="16">
          <cell r="D16">
            <v>-320.85</v>
          </cell>
        </row>
        <row r="17">
          <cell r="D17">
            <v>46671.28</v>
          </cell>
        </row>
        <row r="19">
          <cell r="D19">
            <v>5953.4</v>
          </cell>
        </row>
        <row r="22">
          <cell r="D22">
            <v>46150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darbamjanv"/>
      <sheetName val="februāris"/>
      <sheetName val="darbam"/>
      <sheetName val="Ieva"/>
      <sheetName val="Sheet3"/>
    </sheetNames>
    <sheetDataSet>
      <sheetData sheetId="0">
        <row r="10">
          <cell r="C10">
            <v>385338</v>
          </cell>
        </row>
        <row r="11">
          <cell r="C11">
            <v>36083</v>
          </cell>
        </row>
        <row r="13">
          <cell r="C13">
            <v>239945.76</v>
          </cell>
        </row>
        <row r="14">
          <cell r="C14">
            <v>212664.65</v>
          </cell>
        </row>
        <row r="15">
          <cell r="C15">
            <v>159816.65</v>
          </cell>
        </row>
        <row r="16">
          <cell r="C16">
            <v>23056</v>
          </cell>
        </row>
        <row r="18">
          <cell r="C18">
            <v>136760.65</v>
          </cell>
        </row>
        <row r="19">
          <cell r="C19">
            <v>122554</v>
          </cell>
        </row>
        <row r="20">
          <cell r="C20">
            <v>14206.65</v>
          </cell>
        </row>
        <row r="25">
          <cell r="C25">
            <v>52848</v>
          </cell>
        </row>
        <row r="29">
          <cell r="C29">
            <v>6522</v>
          </cell>
        </row>
        <row r="30">
          <cell r="C30">
            <v>46326</v>
          </cell>
        </row>
        <row r="31">
          <cell r="C31">
            <v>27281.11</v>
          </cell>
        </row>
        <row r="32">
          <cell r="C32">
            <v>27281.11</v>
          </cell>
        </row>
      </sheetData>
      <sheetData sheetId="3">
        <row r="9">
          <cell r="B9">
            <v>66924.26</v>
          </cell>
        </row>
        <row r="10">
          <cell r="B10">
            <v>9393.7</v>
          </cell>
        </row>
        <row r="12">
          <cell r="B12">
            <v>274397.76</v>
          </cell>
        </row>
        <row r="13">
          <cell r="B13">
            <v>38471.04</v>
          </cell>
        </row>
        <row r="20">
          <cell r="B20">
            <v>4100</v>
          </cell>
        </row>
        <row r="21">
          <cell r="B21">
            <v>300</v>
          </cell>
        </row>
        <row r="23">
          <cell r="B23">
            <v>13294.8</v>
          </cell>
        </row>
        <row r="24">
          <cell r="B24">
            <v>58613.88</v>
          </cell>
        </row>
        <row r="27">
          <cell r="B27">
            <v>53388.31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1">
        <row r="6">
          <cell r="F6">
            <v>105621</v>
          </cell>
          <cell r="G6">
            <v>323011</v>
          </cell>
          <cell r="K6">
            <v>351571</v>
          </cell>
          <cell r="N6">
            <v>428000</v>
          </cell>
          <cell r="P6">
            <v>14368</v>
          </cell>
          <cell r="X6">
            <v>369527</v>
          </cell>
        </row>
        <row r="7">
          <cell r="C7">
            <v>84469158</v>
          </cell>
          <cell r="D7">
            <v>19857594</v>
          </cell>
          <cell r="E7">
            <v>380070</v>
          </cell>
          <cell r="F7">
            <v>6196</v>
          </cell>
          <cell r="G7">
            <v>7479</v>
          </cell>
          <cell r="I7">
            <v>11595629</v>
          </cell>
          <cell r="K7">
            <v>345705</v>
          </cell>
          <cell r="L7">
            <v>33649</v>
          </cell>
          <cell r="N7">
            <v>419558</v>
          </cell>
          <cell r="O7">
            <v>254504</v>
          </cell>
          <cell r="P7">
            <v>16346</v>
          </cell>
          <cell r="Q7">
            <v>331915</v>
          </cell>
          <cell r="W7">
            <v>105369</v>
          </cell>
          <cell r="X7">
            <v>5493</v>
          </cell>
        </row>
        <row r="8">
          <cell r="C8">
            <v>84387393</v>
          </cell>
          <cell r="D8">
            <v>19407828</v>
          </cell>
          <cell r="E8">
            <v>366565</v>
          </cell>
          <cell r="F8">
            <v>6196</v>
          </cell>
          <cell r="I8">
            <v>8045983</v>
          </cell>
          <cell r="K8">
            <v>341682</v>
          </cell>
          <cell r="L8">
            <v>33649</v>
          </cell>
          <cell r="N8">
            <v>369558</v>
          </cell>
          <cell r="O8">
            <v>254504</v>
          </cell>
          <cell r="P8">
            <v>16346</v>
          </cell>
          <cell r="Q8">
            <v>331915</v>
          </cell>
          <cell r="W8">
            <v>105369</v>
          </cell>
        </row>
        <row r="9">
          <cell r="Z9">
            <v>5105630</v>
          </cell>
        </row>
        <row r="10">
          <cell r="Z10">
            <v>188662</v>
          </cell>
        </row>
        <row r="11">
          <cell r="Z11">
            <v>47245</v>
          </cell>
        </row>
        <row r="12">
          <cell r="Z12">
            <v>4160804</v>
          </cell>
        </row>
        <row r="15">
          <cell r="I15">
            <v>502319</v>
          </cell>
          <cell r="N15">
            <v>200000</v>
          </cell>
          <cell r="O15">
            <v>6600</v>
          </cell>
          <cell r="Z15">
            <v>708919</v>
          </cell>
        </row>
        <row r="16">
          <cell r="Z16">
            <v>1481031</v>
          </cell>
        </row>
        <row r="17">
          <cell r="Z17">
            <v>1180834</v>
          </cell>
        </row>
        <row r="18">
          <cell r="Z18">
            <v>300197</v>
          </cell>
        </row>
        <row r="20">
          <cell r="Z20">
            <v>995943</v>
          </cell>
        </row>
        <row r="21">
          <cell r="Z21">
            <v>2951052</v>
          </cell>
        </row>
        <row r="23">
          <cell r="Z23">
            <v>21344348</v>
          </cell>
        </row>
        <row r="24">
          <cell r="Z24">
            <v>200200</v>
          </cell>
        </row>
        <row r="29">
          <cell r="Z29">
            <v>0</v>
          </cell>
        </row>
        <row r="30">
          <cell r="C30">
            <v>81765</v>
          </cell>
          <cell r="D30">
            <v>449766</v>
          </cell>
          <cell r="E30">
            <v>13505</v>
          </cell>
          <cell r="G30">
            <v>7479</v>
          </cell>
          <cell r="I30">
            <v>3549646</v>
          </cell>
          <cell r="N30">
            <v>50000</v>
          </cell>
        </row>
        <row r="31">
          <cell r="K31">
            <v>4023</v>
          </cell>
          <cell r="Z31">
            <v>3534986</v>
          </cell>
        </row>
        <row r="32">
          <cell r="Z32">
            <v>621198</v>
          </cell>
        </row>
        <row r="33">
          <cell r="O33">
            <v>1124535</v>
          </cell>
        </row>
        <row r="34">
          <cell r="Z34">
            <v>1138992</v>
          </cell>
        </row>
        <row r="39">
          <cell r="C39">
            <v>11017638</v>
          </cell>
          <cell r="Z39">
            <v>11017638</v>
          </cell>
        </row>
        <row r="43">
          <cell r="C43">
            <v>14324</v>
          </cell>
          <cell r="D43">
            <v>327798</v>
          </cell>
          <cell r="I43">
            <v>2801067</v>
          </cell>
          <cell r="P43">
            <v>9459</v>
          </cell>
          <cell r="Z43">
            <v>4287716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0">
        <row r="10">
          <cell r="D10">
            <v>7925</v>
          </cell>
          <cell r="L10">
            <v>8</v>
          </cell>
        </row>
        <row r="11">
          <cell r="L11">
            <v>0</v>
          </cell>
        </row>
        <row r="12">
          <cell r="L12">
            <v>0</v>
          </cell>
        </row>
        <row r="13">
          <cell r="D13">
            <v>721124</v>
          </cell>
          <cell r="L13">
            <v>721</v>
          </cell>
        </row>
        <row r="14">
          <cell r="D14">
            <v>468391</v>
          </cell>
          <cell r="L14">
            <v>468</v>
          </cell>
        </row>
        <row r="15">
          <cell r="D15">
            <v>9705738</v>
          </cell>
          <cell r="L15">
            <v>9706</v>
          </cell>
        </row>
        <row r="16">
          <cell r="D16">
            <v>43403467</v>
          </cell>
          <cell r="L16">
            <v>43403</v>
          </cell>
        </row>
        <row r="17">
          <cell r="D17">
            <v>122313</v>
          </cell>
          <cell r="L17">
            <v>122</v>
          </cell>
        </row>
        <row r="18">
          <cell r="D18">
            <v>365835</v>
          </cell>
          <cell r="L18">
            <v>366</v>
          </cell>
        </row>
        <row r="19">
          <cell r="L19">
            <v>0</v>
          </cell>
        </row>
        <row r="20">
          <cell r="D20">
            <v>6499</v>
          </cell>
          <cell r="L20">
            <v>7</v>
          </cell>
        </row>
        <row r="21">
          <cell r="L21">
            <v>0</v>
          </cell>
        </row>
        <row r="22">
          <cell r="D22">
            <v>6577546</v>
          </cell>
          <cell r="L22">
            <v>6578</v>
          </cell>
        </row>
        <row r="23">
          <cell r="D23">
            <v>236012</v>
          </cell>
          <cell r="L23">
            <v>236</v>
          </cell>
        </row>
        <row r="24">
          <cell r="L2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0">
        <row r="20">
          <cell r="D20">
            <v>1765</v>
          </cell>
          <cell r="J20">
            <v>2</v>
          </cell>
        </row>
        <row r="21">
          <cell r="D21">
            <v>1765</v>
          </cell>
          <cell r="J21">
            <v>2</v>
          </cell>
        </row>
        <row r="22">
          <cell r="D22">
            <v>193867</v>
          </cell>
          <cell r="J22">
            <v>194</v>
          </cell>
        </row>
        <row r="23">
          <cell r="D23">
            <v>190262</v>
          </cell>
          <cell r="J23">
            <v>190</v>
          </cell>
        </row>
        <row r="24">
          <cell r="D24">
            <v>3605</v>
          </cell>
          <cell r="J24">
            <v>4</v>
          </cell>
        </row>
        <row r="27">
          <cell r="D27">
            <v>261790</v>
          </cell>
          <cell r="J27">
            <v>261</v>
          </cell>
        </row>
        <row r="28">
          <cell r="D28">
            <v>245164</v>
          </cell>
          <cell r="J28">
            <v>245</v>
          </cell>
        </row>
        <row r="29">
          <cell r="D29">
            <v>150504</v>
          </cell>
          <cell r="J29">
            <v>150</v>
          </cell>
        </row>
        <row r="30">
          <cell r="D30">
            <v>47799</v>
          </cell>
          <cell r="J30">
            <v>48</v>
          </cell>
        </row>
        <row r="31">
          <cell r="D31">
            <v>28681</v>
          </cell>
          <cell r="J31">
            <v>29</v>
          </cell>
        </row>
        <row r="32">
          <cell r="D32">
            <v>18180</v>
          </cell>
          <cell r="J32">
            <v>18</v>
          </cell>
        </row>
        <row r="34">
          <cell r="D34">
            <v>18430</v>
          </cell>
          <cell r="J34">
            <v>18</v>
          </cell>
        </row>
        <row r="35">
          <cell r="D35">
            <v>-1804</v>
          </cell>
          <cell r="J35">
            <v>-2</v>
          </cell>
        </row>
        <row r="36">
          <cell r="D36">
            <v>40215</v>
          </cell>
          <cell r="J36">
            <v>40</v>
          </cell>
        </row>
        <row r="37">
          <cell r="D37">
            <v>40215</v>
          </cell>
          <cell r="J37">
            <v>40</v>
          </cell>
        </row>
        <row r="39">
          <cell r="D39">
            <v>358655</v>
          </cell>
          <cell r="J39">
            <v>359</v>
          </cell>
        </row>
        <row r="40">
          <cell r="D40">
            <v>358655</v>
          </cell>
          <cell r="J40">
            <v>359</v>
          </cell>
        </row>
        <row r="41">
          <cell r="D41">
            <v>2757</v>
          </cell>
          <cell r="J41">
            <v>3</v>
          </cell>
        </row>
        <row r="42">
          <cell r="D42">
            <v>2757</v>
          </cell>
          <cell r="J42">
            <v>3</v>
          </cell>
        </row>
        <row r="44">
          <cell r="D44">
            <v>29597</v>
          </cell>
          <cell r="J44">
            <v>30</v>
          </cell>
        </row>
        <row r="45">
          <cell r="D45">
            <v>29597</v>
          </cell>
          <cell r="J45">
            <v>30</v>
          </cell>
        </row>
        <row r="46">
          <cell r="D46">
            <v>3054</v>
          </cell>
          <cell r="J46">
            <v>3</v>
          </cell>
        </row>
        <row r="47">
          <cell r="D47">
            <v>26543</v>
          </cell>
          <cell r="J47">
            <v>27</v>
          </cell>
        </row>
        <row r="50">
          <cell r="D50">
            <v>200000</v>
          </cell>
          <cell r="J50">
            <v>200</v>
          </cell>
        </row>
        <row r="51">
          <cell r="D51">
            <v>200000</v>
          </cell>
          <cell r="J51">
            <v>200</v>
          </cell>
        </row>
        <row r="52">
          <cell r="D52">
            <v>195000</v>
          </cell>
          <cell r="J52">
            <v>195</v>
          </cell>
        </row>
        <row r="53">
          <cell r="D53">
            <v>175000</v>
          </cell>
          <cell r="J53">
            <v>175</v>
          </cell>
        </row>
        <row r="54">
          <cell r="D54">
            <v>100000</v>
          </cell>
          <cell r="J54">
            <v>100</v>
          </cell>
        </row>
        <row r="55">
          <cell r="D55">
            <v>20000</v>
          </cell>
          <cell r="J55">
            <v>20</v>
          </cell>
        </row>
        <row r="57">
          <cell r="D57">
            <v>286271</v>
          </cell>
        </row>
        <row r="58">
          <cell r="D58">
            <v>286271</v>
          </cell>
          <cell r="J58">
            <v>286</v>
          </cell>
        </row>
        <row r="59">
          <cell r="D59">
            <v>252733</v>
          </cell>
          <cell r="J59">
            <v>253</v>
          </cell>
        </row>
        <row r="60">
          <cell r="D60">
            <v>252733</v>
          </cell>
          <cell r="J60">
            <v>253</v>
          </cell>
        </row>
        <row r="61">
          <cell r="D61">
            <v>6600</v>
          </cell>
          <cell r="J61">
            <v>7</v>
          </cell>
        </row>
        <row r="63">
          <cell r="D63">
            <v>468391</v>
          </cell>
          <cell r="J63">
            <v>468</v>
          </cell>
        </row>
        <row r="64">
          <cell r="D64">
            <v>-434853</v>
          </cell>
          <cell r="J64">
            <v>-435</v>
          </cell>
        </row>
        <row r="65">
          <cell r="D65">
            <v>474562</v>
          </cell>
          <cell r="J65">
            <v>475</v>
          </cell>
        </row>
        <row r="68">
          <cell r="D68">
            <v>30077</v>
          </cell>
          <cell r="J68">
            <v>30</v>
          </cell>
        </row>
        <row r="69">
          <cell r="D69">
            <v>27295</v>
          </cell>
          <cell r="J69">
            <v>27</v>
          </cell>
        </row>
        <row r="70">
          <cell r="D70">
            <v>2782</v>
          </cell>
          <cell r="J70">
            <v>3</v>
          </cell>
        </row>
        <row r="71">
          <cell r="D71">
            <v>6499</v>
          </cell>
          <cell r="J71">
            <v>7</v>
          </cell>
        </row>
        <row r="72">
          <cell r="D72">
            <v>6499</v>
          </cell>
          <cell r="J72">
            <v>7</v>
          </cell>
        </row>
        <row r="76">
          <cell r="D76">
            <v>4786166</v>
          </cell>
          <cell r="J76">
            <v>4786</v>
          </cell>
        </row>
        <row r="77">
          <cell r="D77">
            <v>824002</v>
          </cell>
          <cell r="J77">
            <v>824</v>
          </cell>
        </row>
        <row r="78">
          <cell r="D78">
            <v>3472081</v>
          </cell>
          <cell r="J78">
            <v>3472</v>
          </cell>
        </row>
        <row r="79">
          <cell r="D79">
            <v>230</v>
          </cell>
        </row>
        <row r="80">
          <cell r="D80">
            <v>489853</v>
          </cell>
          <cell r="J80">
            <v>490</v>
          </cell>
        </row>
        <row r="81">
          <cell r="D81">
            <v>6566308</v>
          </cell>
          <cell r="J81">
            <v>6566</v>
          </cell>
        </row>
        <row r="82">
          <cell r="D82">
            <v>3324293</v>
          </cell>
          <cell r="J82">
            <v>3324</v>
          </cell>
        </row>
        <row r="84">
          <cell r="D84">
            <v>3242015</v>
          </cell>
          <cell r="J84">
            <v>3242</v>
          </cell>
        </row>
        <row r="85">
          <cell r="D85">
            <v>-1780142</v>
          </cell>
          <cell r="J85">
            <v>-1780</v>
          </cell>
        </row>
        <row r="86">
          <cell r="D86">
            <v>1601067</v>
          </cell>
          <cell r="J86">
            <v>1601</v>
          </cell>
        </row>
        <row r="88">
          <cell r="D88">
            <v>66555</v>
          </cell>
          <cell r="J88">
            <v>67</v>
          </cell>
        </row>
        <row r="89">
          <cell r="D89">
            <v>66555</v>
          </cell>
          <cell r="J89">
            <v>67</v>
          </cell>
        </row>
        <row r="90">
          <cell r="D90">
            <v>6195</v>
          </cell>
          <cell r="J90">
            <v>6</v>
          </cell>
        </row>
        <row r="91">
          <cell r="D91">
            <v>6195</v>
          </cell>
          <cell r="J91">
            <v>6</v>
          </cell>
        </row>
        <row r="94">
          <cell r="D94">
            <v>173512</v>
          </cell>
          <cell r="J94">
            <v>174</v>
          </cell>
        </row>
        <row r="95">
          <cell r="D95">
            <v>173512</v>
          </cell>
          <cell r="J95">
            <v>174</v>
          </cell>
        </row>
        <row r="96">
          <cell r="D96">
            <v>5043</v>
          </cell>
          <cell r="J96">
            <v>5</v>
          </cell>
        </row>
        <row r="98">
          <cell r="D98">
            <v>5043</v>
          </cell>
          <cell r="J98">
            <v>5</v>
          </cell>
        </row>
        <row r="101">
          <cell r="D101">
            <v>10194682</v>
          </cell>
          <cell r="J101">
            <v>10195</v>
          </cell>
        </row>
        <row r="102">
          <cell r="D102">
            <v>5829220</v>
          </cell>
          <cell r="J102">
            <v>5829</v>
          </cell>
        </row>
        <row r="103">
          <cell r="D103">
            <v>4243405</v>
          </cell>
          <cell r="J103">
            <v>4244</v>
          </cell>
        </row>
        <row r="104">
          <cell r="D104">
            <v>122057</v>
          </cell>
          <cell r="J104">
            <v>122</v>
          </cell>
        </row>
        <row r="106">
          <cell r="D106">
            <v>9705738</v>
          </cell>
          <cell r="J106">
            <v>9706</v>
          </cell>
        </row>
        <row r="107">
          <cell r="D107">
            <v>9441713</v>
          </cell>
          <cell r="J107">
            <v>9442</v>
          </cell>
        </row>
        <row r="109">
          <cell r="D109">
            <v>264025</v>
          </cell>
          <cell r="J109">
            <v>264</v>
          </cell>
        </row>
        <row r="110">
          <cell r="D110">
            <v>488944</v>
          </cell>
          <cell r="J110">
            <v>489</v>
          </cell>
        </row>
        <row r="111">
          <cell r="D111">
            <v>259296</v>
          </cell>
          <cell r="J111">
            <v>259</v>
          </cell>
        </row>
        <row r="113">
          <cell r="D113">
            <v>38970366</v>
          </cell>
          <cell r="J113">
            <v>38970</v>
          </cell>
        </row>
        <row r="114">
          <cell r="D114">
            <v>38145749</v>
          </cell>
          <cell r="J114">
            <v>38146</v>
          </cell>
        </row>
        <row r="115">
          <cell r="D115">
            <v>414040</v>
          </cell>
          <cell r="J115">
            <v>414</v>
          </cell>
        </row>
        <row r="116">
          <cell r="D116">
            <v>410577</v>
          </cell>
          <cell r="J116">
            <v>410</v>
          </cell>
        </row>
        <row r="117">
          <cell r="D117">
            <v>43403370</v>
          </cell>
          <cell r="J117">
            <v>43403</v>
          </cell>
        </row>
        <row r="118">
          <cell r="D118">
            <v>43383325</v>
          </cell>
          <cell r="J118">
            <v>43383</v>
          </cell>
        </row>
        <row r="120">
          <cell r="D120">
            <v>20045</v>
          </cell>
          <cell r="J120">
            <v>20</v>
          </cell>
        </row>
        <row r="121">
          <cell r="D121">
            <v>-4433004</v>
          </cell>
          <cell r="J121">
            <v>-4433</v>
          </cell>
        </row>
        <row r="122">
          <cell r="D122">
            <v>5920693</v>
          </cell>
          <cell r="J122">
            <v>5921</v>
          </cell>
        </row>
        <row r="124">
          <cell r="D124">
            <v>31522248</v>
          </cell>
          <cell r="J124">
            <v>31522</v>
          </cell>
        </row>
        <row r="125">
          <cell r="D125">
            <v>29435911</v>
          </cell>
          <cell r="J125">
            <v>29436</v>
          </cell>
        </row>
        <row r="126">
          <cell r="D126">
            <v>238946</v>
          </cell>
          <cell r="J126">
            <v>239</v>
          </cell>
        </row>
        <row r="127">
          <cell r="D127">
            <v>1847391</v>
          </cell>
          <cell r="J127">
            <v>1847</v>
          </cell>
        </row>
        <row r="128">
          <cell r="D128">
            <v>36147027</v>
          </cell>
          <cell r="J128">
            <v>36147</v>
          </cell>
        </row>
        <row r="129">
          <cell r="D129">
            <v>36147027</v>
          </cell>
          <cell r="J129">
            <v>36147</v>
          </cell>
        </row>
        <row r="130">
          <cell r="D130">
            <v>-4624779</v>
          </cell>
          <cell r="J130">
            <v>-4625</v>
          </cell>
        </row>
        <row r="131">
          <cell r="D131">
            <v>4626538</v>
          </cell>
          <cell r="J131">
            <v>4627</v>
          </cell>
        </row>
        <row r="133">
          <cell r="D133">
            <v>3414519</v>
          </cell>
        </row>
        <row r="134">
          <cell r="D134">
            <v>2330705</v>
          </cell>
          <cell r="J134">
            <v>2331</v>
          </cell>
        </row>
        <row r="135">
          <cell r="D135">
            <v>26574</v>
          </cell>
          <cell r="J135">
            <v>27</v>
          </cell>
        </row>
        <row r="136">
          <cell r="D136">
            <v>1057240</v>
          </cell>
          <cell r="J136">
            <v>1057</v>
          </cell>
        </row>
        <row r="137">
          <cell r="D137">
            <v>2009810</v>
          </cell>
          <cell r="J137">
            <v>2010</v>
          </cell>
        </row>
        <row r="138">
          <cell r="D138">
            <v>2009810</v>
          </cell>
          <cell r="J138">
            <v>2010</v>
          </cell>
        </row>
        <row r="139">
          <cell r="D139">
            <v>1404709</v>
          </cell>
          <cell r="J139">
            <v>1405</v>
          </cell>
        </row>
        <row r="142">
          <cell r="D142">
            <v>101268</v>
          </cell>
          <cell r="J142">
            <v>101</v>
          </cell>
        </row>
        <row r="143">
          <cell r="D143">
            <v>99179</v>
          </cell>
          <cell r="J143">
            <v>99</v>
          </cell>
        </row>
        <row r="144">
          <cell r="D144">
            <v>2089</v>
          </cell>
          <cell r="J144">
            <v>2</v>
          </cell>
        </row>
        <row r="145">
          <cell r="D145">
            <v>72533</v>
          </cell>
          <cell r="J145">
            <v>73</v>
          </cell>
        </row>
        <row r="146">
          <cell r="D146">
            <v>72533</v>
          </cell>
          <cell r="J146">
            <v>73</v>
          </cell>
        </row>
        <row r="147">
          <cell r="D147">
            <v>28735</v>
          </cell>
          <cell r="J147">
            <v>28</v>
          </cell>
        </row>
        <row r="149">
          <cell r="D149">
            <v>6358705</v>
          </cell>
          <cell r="J149">
            <v>6359</v>
          </cell>
        </row>
        <row r="150">
          <cell r="D150">
            <v>6282605</v>
          </cell>
          <cell r="J150">
            <v>6283</v>
          </cell>
        </row>
        <row r="151">
          <cell r="D151">
            <v>76100</v>
          </cell>
          <cell r="J151">
            <v>76</v>
          </cell>
        </row>
        <row r="152">
          <cell r="D152">
            <v>7652802</v>
          </cell>
          <cell r="J152">
            <v>7653</v>
          </cell>
        </row>
        <row r="153">
          <cell r="D153">
            <v>7652802</v>
          </cell>
          <cell r="J153">
            <v>7653</v>
          </cell>
        </row>
        <row r="154">
          <cell r="D154">
            <v>-1294097</v>
          </cell>
          <cell r="J154">
            <v>-1294</v>
          </cell>
        </row>
        <row r="155">
          <cell r="D155">
            <v>1294155</v>
          </cell>
          <cell r="J155">
            <v>1294</v>
          </cell>
        </row>
        <row r="157">
          <cell r="D157">
            <v>591852</v>
          </cell>
          <cell r="J157">
            <v>592</v>
          </cell>
        </row>
        <row r="158">
          <cell r="D158">
            <v>148520</v>
          </cell>
          <cell r="J158">
            <v>149</v>
          </cell>
        </row>
        <row r="159">
          <cell r="D159">
            <v>443332</v>
          </cell>
          <cell r="J159">
            <v>443</v>
          </cell>
        </row>
        <row r="160">
          <cell r="D160">
            <v>536870</v>
          </cell>
          <cell r="J160">
            <v>537</v>
          </cell>
        </row>
        <row r="161">
          <cell r="D161">
            <v>516825</v>
          </cell>
          <cell r="J161">
            <v>517</v>
          </cell>
        </row>
        <row r="163">
          <cell r="D163">
            <v>20045</v>
          </cell>
          <cell r="J163">
            <v>20</v>
          </cell>
        </row>
        <row r="164">
          <cell r="D164">
            <v>54982</v>
          </cell>
          <cell r="J164">
            <v>55</v>
          </cell>
        </row>
        <row r="165">
          <cell r="D165">
            <v>116977</v>
          </cell>
          <cell r="J165">
            <v>117</v>
          </cell>
        </row>
        <row r="168">
          <cell r="D168">
            <v>319634</v>
          </cell>
          <cell r="J168">
            <v>319</v>
          </cell>
        </row>
        <row r="169">
          <cell r="D169">
            <v>281090</v>
          </cell>
          <cell r="J169">
            <v>281</v>
          </cell>
        </row>
        <row r="170">
          <cell r="D170">
            <v>35122</v>
          </cell>
          <cell r="J170">
            <v>35</v>
          </cell>
        </row>
        <row r="171">
          <cell r="D171">
            <v>3422</v>
          </cell>
          <cell r="J171">
            <v>3</v>
          </cell>
        </row>
        <row r="172">
          <cell r="D172">
            <v>122313</v>
          </cell>
          <cell r="J172">
            <v>122</v>
          </cell>
        </row>
        <row r="173">
          <cell r="D173">
            <v>115113</v>
          </cell>
          <cell r="J173">
            <v>115</v>
          </cell>
        </row>
        <row r="174">
          <cell r="D174">
            <v>7200</v>
          </cell>
          <cell r="J174">
            <v>7</v>
          </cell>
        </row>
        <row r="177">
          <cell r="D177">
            <v>169870</v>
          </cell>
          <cell r="J177">
            <v>170</v>
          </cell>
        </row>
        <row r="178">
          <cell r="D178">
            <v>112997</v>
          </cell>
          <cell r="J178">
            <v>113</v>
          </cell>
        </row>
        <row r="179">
          <cell r="D179">
            <v>56873</v>
          </cell>
          <cell r="J179">
            <v>57</v>
          </cell>
        </row>
        <row r="180">
          <cell r="D180">
            <v>170835</v>
          </cell>
          <cell r="J180">
            <v>171</v>
          </cell>
        </row>
        <row r="181">
          <cell r="D181">
            <v>170835</v>
          </cell>
          <cell r="J181">
            <v>171</v>
          </cell>
        </row>
        <row r="183">
          <cell r="D183">
            <v>14241</v>
          </cell>
          <cell r="J183">
            <v>14</v>
          </cell>
        </row>
        <row r="184">
          <cell r="D184">
            <v>14241</v>
          </cell>
          <cell r="J184">
            <v>14</v>
          </cell>
        </row>
        <row r="185">
          <cell r="D185">
            <v>7925</v>
          </cell>
          <cell r="J185">
            <v>8</v>
          </cell>
        </row>
        <row r="186">
          <cell r="D186">
            <v>7925</v>
          </cell>
          <cell r="J186">
            <v>8</v>
          </cell>
        </row>
        <row r="189">
          <cell r="D189">
            <v>6316</v>
          </cell>
          <cell r="J189">
            <v>6</v>
          </cell>
        </row>
      </sheetData>
      <sheetData sheetId="1">
        <row r="17">
          <cell r="C17">
            <v>19263181</v>
          </cell>
        </row>
        <row r="20">
          <cell r="D20">
            <v>351571</v>
          </cell>
        </row>
        <row r="27">
          <cell r="D27">
            <v>470060</v>
          </cell>
        </row>
        <row r="39">
          <cell r="D39">
            <v>369527</v>
          </cell>
        </row>
        <row r="44">
          <cell r="D44">
            <v>47652</v>
          </cell>
        </row>
        <row r="50">
          <cell r="D50">
            <v>428000</v>
          </cell>
        </row>
        <row r="57">
          <cell r="D57">
            <v>295721</v>
          </cell>
        </row>
        <row r="69">
          <cell r="D69">
            <v>168326</v>
          </cell>
        </row>
        <row r="78">
          <cell r="D78">
            <v>1488630</v>
          </cell>
        </row>
        <row r="79">
          <cell r="D79">
            <v>6237869</v>
          </cell>
        </row>
        <row r="80">
          <cell r="D80">
            <v>1002</v>
          </cell>
        </row>
        <row r="81">
          <cell r="D81">
            <v>519840</v>
          </cell>
        </row>
        <row r="89">
          <cell r="D89">
            <v>105621</v>
          </cell>
        </row>
        <row r="95">
          <cell r="D95">
            <v>323011</v>
          </cell>
        </row>
        <row r="103">
          <cell r="D103">
            <v>11689943</v>
          </cell>
        </row>
        <row r="104">
          <cell r="D104">
            <v>8170572</v>
          </cell>
        </row>
        <row r="105">
          <cell r="D105">
            <v>256231</v>
          </cell>
        </row>
        <row r="114">
          <cell r="D114">
            <v>76061142</v>
          </cell>
        </row>
        <row r="170">
          <cell r="D170">
            <v>958610</v>
          </cell>
        </row>
        <row r="171">
          <cell r="D171">
            <v>74358</v>
          </cell>
        </row>
        <row r="172">
          <cell r="D172">
            <v>10694</v>
          </cell>
        </row>
        <row r="178">
          <cell r="D178">
            <v>330874</v>
          </cell>
        </row>
        <row r="184">
          <cell r="D184">
            <v>14368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</sheetNames>
    <sheetDataSet>
      <sheetData sheetId="0">
        <row r="11">
          <cell r="D11">
            <v>55233378</v>
          </cell>
          <cell r="K11">
            <v>55234</v>
          </cell>
        </row>
        <row r="12">
          <cell r="K12">
            <v>0</v>
          </cell>
        </row>
        <row r="13">
          <cell r="D13">
            <v>139950</v>
          </cell>
          <cell r="K13">
            <v>139</v>
          </cell>
        </row>
        <row r="14">
          <cell r="D14">
            <v>489853</v>
          </cell>
          <cell r="K14">
            <v>490</v>
          </cell>
        </row>
        <row r="16">
          <cell r="K16">
            <v>57117</v>
          </cell>
        </row>
        <row r="17">
          <cell r="D17">
            <v>2000679</v>
          </cell>
          <cell r="K17">
            <v>2001</v>
          </cell>
        </row>
        <row r="18">
          <cell r="D18">
            <v>63864</v>
          </cell>
          <cell r="K18">
            <v>64</v>
          </cell>
        </row>
        <row r="19">
          <cell r="D19">
            <v>11983</v>
          </cell>
          <cell r="K19">
            <v>12</v>
          </cell>
        </row>
        <row r="20">
          <cell r="D20">
            <v>1818232</v>
          </cell>
          <cell r="K20">
            <v>1818</v>
          </cell>
        </row>
        <row r="21">
          <cell r="D21">
            <v>106600</v>
          </cell>
          <cell r="K21">
            <v>107</v>
          </cell>
        </row>
        <row r="22">
          <cell r="D22">
            <v>1180834</v>
          </cell>
          <cell r="K22">
            <v>1181</v>
          </cell>
        </row>
        <row r="23">
          <cell r="D23">
            <v>1180834</v>
          </cell>
        </row>
        <row r="24">
          <cell r="D24">
            <v>0</v>
          </cell>
          <cell r="K24">
            <v>0</v>
          </cell>
        </row>
        <row r="25">
          <cell r="D25">
            <v>53934622</v>
          </cell>
          <cell r="K25">
            <v>53935</v>
          </cell>
        </row>
        <row r="26">
          <cell r="D26">
            <v>456532</v>
          </cell>
          <cell r="K26">
            <v>457</v>
          </cell>
        </row>
        <row r="27">
          <cell r="D27">
            <v>326320</v>
          </cell>
          <cell r="K27">
            <v>326</v>
          </cell>
        </row>
        <row r="28">
          <cell r="D28">
            <v>1412179</v>
          </cell>
          <cell r="K28">
            <v>1412</v>
          </cell>
        </row>
        <row r="29">
          <cell r="D29">
            <v>911983</v>
          </cell>
          <cell r="K29">
            <v>912</v>
          </cell>
        </row>
        <row r="30">
          <cell r="D30">
            <v>500196</v>
          </cell>
          <cell r="K30">
            <v>500</v>
          </cell>
        </row>
        <row r="31">
          <cell r="D31">
            <v>272195</v>
          </cell>
          <cell r="K31">
            <v>272</v>
          </cell>
        </row>
        <row r="32">
          <cell r="D32">
            <v>228001</v>
          </cell>
          <cell r="K32">
            <v>228</v>
          </cell>
        </row>
        <row r="33">
          <cell r="D33">
            <v>0</v>
          </cell>
          <cell r="K33">
            <v>0</v>
          </cell>
        </row>
        <row r="34">
          <cell r="D34">
            <v>10227757</v>
          </cell>
          <cell r="K34">
            <v>10228</v>
          </cell>
        </row>
        <row r="35">
          <cell r="D35">
            <v>41733092</v>
          </cell>
          <cell r="K35">
            <v>41733</v>
          </cell>
        </row>
        <row r="36">
          <cell r="D36">
            <v>39142788</v>
          </cell>
          <cell r="K36">
            <v>39143</v>
          </cell>
        </row>
        <row r="37">
          <cell r="D37">
            <v>2502235</v>
          </cell>
          <cell r="K37">
            <v>2502</v>
          </cell>
        </row>
        <row r="38">
          <cell r="D38">
            <v>52476</v>
          </cell>
          <cell r="K38">
            <v>52</v>
          </cell>
        </row>
        <row r="39">
          <cell r="D39">
            <v>35593</v>
          </cell>
          <cell r="K39">
            <v>36</v>
          </cell>
        </row>
        <row r="40">
          <cell r="D40">
            <v>4962</v>
          </cell>
          <cell r="K40">
            <v>5</v>
          </cell>
        </row>
        <row r="41">
          <cell r="D41">
            <v>100100</v>
          </cell>
          <cell r="K41">
            <v>100</v>
          </cell>
        </row>
        <row r="42">
          <cell r="D42">
            <v>3561933</v>
          </cell>
          <cell r="K42">
            <v>3562</v>
          </cell>
        </row>
        <row r="43">
          <cell r="D43">
            <v>3176482</v>
          </cell>
          <cell r="K43">
            <v>3177</v>
          </cell>
        </row>
        <row r="44">
          <cell r="D44">
            <v>385451</v>
          </cell>
          <cell r="K44">
            <v>385</v>
          </cell>
        </row>
        <row r="45">
          <cell r="D45">
            <v>468391</v>
          </cell>
          <cell r="K45">
            <v>468</v>
          </cell>
        </row>
        <row r="46">
          <cell r="D46">
            <v>476120</v>
          </cell>
          <cell r="K46">
            <v>476</v>
          </cell>
        </row>
        <row r="47">
          <cell r="D47">
            <v>7729</v>
          </cell>
          <cell r="K47">
            <v>8</v>
          </cell>
        </row>
        <row r="48">
          <cell r="K48">
            <v>-5284</v>
          </cell>
        </row>
        <row r="49">
          <cell r="D49">
            <v>5283278</v>
          </cell>
          <cell r="K49">
            <v>5284</v>
          </cell>
        </row>
        <row r="50">
          <cell r="D50">
            <v>8255618</v>
          </cell>
          <cell r="K50">
            <v>8256</v>
          </cell>
        </row>
        <row r="51">
          <cell r="D51">
            <v>-2972340</v>
          </cell>
          <cell r="K51">
            <v>-2972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28" customWidth="1"/>
    <col min="2" max="2" width="11.8515625" style="28" customWidth="1"/>
    <col min="3" max="3" width="13.421875" style="28" customWidth="1"/>
    <col min="4" max="4" width="12.57421875" style="28" customWidth="1"/>
    <col min="5" max="5" width="12.7109375" style="28" customWidth="1"/>
  </cols>
  <sheetData>
    <row r="1" ht="12.75">
      <c r="E1" s="6"/>
    </row>
    <row r="2" ht="12.75">
      <c r="E2" s="6"/>
    </row>
    <row r="3" spans="1:5" ht="12.75">
      <c r="A3" s="651" t="s">
        <v>351</v>
      </c>
      <c r="B3" s="651"/>
      <c r="C3" s="651"/>
      <c r="E3" s="6"/>
    </row>
    <row r="4" ht="12.75">
      <c r="E4" s="6"/>
    </row>
    <row r="5" spans="1:5" ht="11.25" customHeight="1">
      <c r="A5" s="30"/>
      <c r="B5" s="30"/>
      <c r="C5" s="30"/>
      <c r="D5" s="30"/>
      <c r="E5" s="30"/>
    </row>
    <row r="6" spans="1:5" s="31" customFormat="1" ht="15.75" customHeight="1">
      <c r="A6" s="652" t="s">
        <v>352</v>
      </c>
      <c r="B6" s="652"/>
      <c r="C6" s="652"/>
      <c r="D6" s="652"/>
      <c r="E6" s="652"/>
    </row>
    <row r="7" spans="1:5" s="31" customFormat="1" ht="14.25" hidden="1">
      <c r="A7" s="652"/>
      <c r="B7" s="652"/>
      <c r="C7" s="652"/>
      <c r="D7" s="652"/>
      <c r="E7" s="652"/>
    </row>
    <row r="8" spans="1:5" s="31" customFormat="1" ht="14.25">
      <c r="A8" s="653" t="s">
        <v>315</v>
      </c>
      <c r="B8" s="653"/>
      <c r="C8" s="653"/>
      <c r="D8" s="653"/>
      <c r="E8" s="653"/>
    </row>
    <row r="9" ht="10.5" customHeight="1"/>
    <row r="10" spans="1:5" ht="12.75">
      <c r="A10" s="33"/>
      <c r="E10" s="6" t="s">
        <v>353</v>
      </c>
    </row>
    <row r="11" spans="1:5" ht="31.5" customHeight="1">
      <c r="A11" s="11" t="s">
        <v>318</v>
      </c>
      <c r="B11" s="34" t="s">
        <v>354</v>
      </c>
      <c r="C11" s="34" t="s">
        <v>355</v>
      </c>
      <c r="D11" s="34" t="s">
        <v>356</v>
      </c>
      <c r="E11" s="34" t="s">
        <v>357</v>
      </c>
    </row>
    <row r="12" spans="1:5" ht="12.75">
      <c r="A12" s="35" t="s">
        <v>358</v>
      </c>
      <c r="B12" s="36">
        <v>213016</v>
      </c>
      <c r="C12" s="37">
        <v>69205</v>
      </c>
      <c r="D12" s="36">
        <f>B12+C12</f>
        <v>282221</v>
      </c>
      <c r="E12" s="36">
        <f>D12-'[1]Janvaris'!D12</f>
        <v>132699</v>
      </c>
    </row>
    <row r="13" spans="1:5" ht="22.5">
      <c r="A13" s="38" t="s">
        <v>359</v>
      </c>
      <c r="B13" s="39" t="s">
        <v>360</v>
      </c>
      <c r="C13" s="39" t="s">
        <v>360</v>
      </c>
      <c r="D13" s="40">
        <f>17380+1339</f>
        <v>18719</v>
      </c>
      <c r="E13" s="40">
        <f>D13-'[1]Janvaris'!D13</f>
        <v>9638</v>
      </c>
    </row>
    <row r="14" spans="1:5" ht="22.5">
      <c r="A14" s="38" t="s">
        <v>361</v>
      </c>
      <c r="B14" s="39" t="s">
        <v>360</v>
      </c>
      <c r="C14" s="39" t="s">
        <v>360</v>
      </c>
      <c r="D14" s="40">
        <f>1961+541</f>
        <v>2502</v>
      </c>
      <c r="E14" s="40">
        <f>D14-'[1]Janvaris'!D14</f>
        <v>1329</v>
      </c>
    </row>
    <row r="15" spans="1:5" ht="12.75">
      <c r="A15" s="41" t="s">
        <v>362</v>
      </c>
      <c r="B15" s="42" t="s">
        <v>360</v>
      </c>
      <c r="C15" s="42" t="s">
        <v>360</v>
      </c>
      <c r="D15" s="36">
        <f>D12-D13-D14</f>
        <v>261000</v>
      </c>
      <c r="E15" s="36">
        <f>D15-'[1]Janvaris'!D15</f>
        <v>121732</v>
      </c>
    </row>
    <row r="16" spans="1:5" ht="12.75">
      <c r="A16" s="35" t="s">
        <v>363</v>
      </c>
      <c r="B16" s="36">
        <v>220407</v>
      </c>
      <c r="C16" s="37">
        <v>64193</v>
      </c>
      <c r="D16" s="36">
        <f>B16+C16</f>
        <v>284600</v>
      </c>
      <c r="E16" s="36">
        <f>D16-'[1]Janvaris'!D16</f>
        <v>142492</v>
      </c>
    </row>
    <row r="17" spans="1:5" ht="22.5">
      <c r="A17" s="38" t="s">
        <v>364</v>
      </c>
      <c r="B17" s="39" t="s">
        <v>360</v>
      </c>
      <c r="C17" s="39" t="s">
        <v>360</v>
      </c>
      <c r="D17" s="40">
        <v>18719</v>
      </c>
      <c r="E17" s="40">
        <f>D17-'[1]Janvaris'!D17</f>
        <v>9638</v>
      </c>
    </row>
    <row r="18" spans="1:5" ht="22.5">
      <c r="A18" s="38" t="s">
        <v>365</v>
      </c>
      <c r="B18" s="39" t="s">
        <v>360</v>
      </c>
      <c r="C18" s="39" t="s">
        <v>360</v>
      </c>
      <c r="D18" s="40">
        <v>2502</v>
      </c>
      <c r="E18" s="40">
        <f>D18-'[1]Janvaris'!D18</f>
        <v>1329</v>
      </c>
    </row>
    <row r="19" spans="1:5" ht="12.75">
      <c r="A19" s="41" t="s">
        <v>366</v>
      </c>
      <c r="B19" s="42" t="s">
        <v>360</v>
      </c>
      <c r="C19" s="42" t="s">
        <v>360</v>
      </c>
      <c r="D19" s="36">
        <f>D16-D17-D18</f>
        <v>263379</v>
      </c>
      <c r="E19" s="36">
        <f>D19-'[1]Janvaris'!D19</f>
        <v>131525</v>
      </c>
    </row>
    <row r="20" spans="1:5" ht="25.5">
      <c r="A20" s="41" t="s">
        <v>367</v>
      </c>
      <c r="B20" s="36">
        <f>B12-B16</f>
        <v>-7391</v>
      </c>
      <c r="C20" s="37">
        <f>C12-C16</f>
        <v>5012</v>
      </c>
      <c r="D20" s="36">
        <f>D15-D19</f>
        <v>-2379</v>
      </c>
      <c r="E20" s="36">
        <f>D20-'[1]Janvaris'!D20</f>
        <v>-9793</v>
      </c>
    </row>
    <row r="21" spans="1:5" ht="12.75">
      <c r="A21" s="43" t="s">
        <v>368</v>
      </c>
      <c r="B21" s="37">
        <f>B22-B25</f>
        <v>119</v>
      </c>
      <c r="C21" s="37">
        <f>C22-C25</f>
        <v>-1724</v>
      </c>
      <c r="D21" s="37">
        <f>D24-D27</f>
        <v>-1767</v>
      </c>
      <c r="E21" s="37">
        <f>D21-'[1]Janvaris'!D21</f>
        <v>-83</v>
      </c>
    </row>
    <row r="22" spans="1:5" ht="12.75">
      <c r="A22" s="44" t="s">
        <v>369</v>
      </c>
      <c r="B22" s="45">
        <v>4293</v>
      </c>
      <c r="C22" s="46">
        <v>160</v>
      </c>
      <c r="D22" s="45">
        <f>B22+C22</f>
        <v>4453</v>
      </c>
      <c r="E22" s="45">
        <f>D22-'[1]Janvaris'!D22</f>
        <v>2349</v>
      </c>
    </row>
    <row r="23" spans="1:5" ht="22.5">
      <c r="A23" s="38" t="s">
        <v>370</v>
      </c>
      <c r="B23" s="39" t="s">
        <v>360</v>
      </c>
      <c r="C23" s="39" t="s">
        <v>360</v>
      </c>
      <c r="D23" s="40">
        <v>2692</v>
      </c>
      <c r="E23" s="40">
        <f>D23-'[1]Janvaris'!D23</f>
        <v>1425</v>
      </c>
    </row>
    <row r="24" spans="1:5" ht="12.75">
      <c r="A24" s="43" t="s">
        <v>371</v>
      </c>
      <c r="B24" s="42" t="s">
        <v>360</v>
      </c>
      <c r="C24" s="42" t="s">
        <v>360</v>
      </c>
      <c r="D24" s="36">
        <f>D22-D23</f>
        <v>1761</v>
      </c>
      <c r="E24" s="36">
        <f>D24-'[1]Janvaris'!D24</f>
        <v>924</v>
      </c>
    </row>
    <row r="25" spans="1:5" ht="12.75">
      <c r="A25" s="44" t="s">
        <v>372</v>
      </c>
      <c r="B25" s="45">
        <v>4174</v>
      </c>
      <c r="C25" s="46">
        <v>1884</v>
      </c>
      <c r="D25" s="45">
        <f>B25+C25</f>
        <v>6058</v>
      </c>
      <c r="E25" s="45">
        <f>D25-'[1]Janvaris'!D25</f>
        <v>2507</v>
      </c>
    </row>
    <row r="26" spans="1:5" ht="22.5">
      <c r="A26" s="38" t="s">
        <v>373</v>
      </c>
      <c r="B26" s="47" t="s">
        <v>360</v>
      </c>
      <c r="C26" s="47" t="s">
        <v>360</v>
      </c>
      <c r="D26" s="40">
        <v>2530</v>
      </c>
      <c r="E26" s="40">
        <f>D26-'[1]Janvaris'!D26</f>
        <v>1500</v>
      </c>
    </row>
    <row r="27" spans="1:5" ht="12.75">
      <c r="A27" s="43" t="s">
        <v>374</v>
      </c>
      <c r="B27" s="42" t="s">
        <v>360</v>
      </c>
      <c r="C27" s="42" t="s">
        <v>360</v>
      </c>
      <c r="D27" s="36">
        <f>D25-D26</f>
        <v>3528</v>
      </c>
      <c r="E27" s="36">
        <f>D27-'[1]Janvaris'!D27</f>
        <v>1007</v>
      </c>
    </row>
    <row r="28" spans="1:5" ht="25.5">
      <c r="A28" s="41" t="s">
        <v>375</v>
      </c>
      <c r="B28" s="37">
        <f>B20-B21</f>
        <v>-7510</v>
      </c>
      <c r="C28" s="37">
        <f>C20-C21</f>
        <v>6736</v>
      </c>
      <c r="D28" s="36">
        <f>D20-D21</f>
        <v>-612</v>
      </c>
      <c r="E28" s="36">
        <f>D28-'[1]Janvaris'!D28</f>
        <v>-9710</v>
      </c>
    </row>
    <row r="29" spans="1:5" ht="12.75">
      <c r="A29" s="35" t="s">
        <v>376</v>
      </c>
      <c r="B29" s="36">
        <f>B30+B51</f>
        <v>7510</v>
      </c>
      <c r="C29" s="37">
        <f>C30+C51</f>
        <v>-6736</v>
      </c>
      <c r="D29" s="36">
        <f>D30+D51</f>
        <v>612</v>
      </c>
      <c r="E29" s="36">
        <f>D29-'[1]Janvaris'!D29</f>
        <v>9710</v>
      </c>
    </row>
    <row r="30" spans="1:5" ht="12.75">
      <c r="A30" s="35" t="s">
        <v>377</v>
      </c>
      <c r="B30" s="36">
        <f>B31+B36+B41+B47</f>
        <v>8665</v>
      </c>
      <c r="C30" s="37">
        <f>C31+C36+C41+C47</f>
        <v>-6736</v>
      </c>
      <c r="D30" s="37">
        <f>D31+D36+D41+D47</f>
        <v>1767</v>
      </c>
      <c r="E30" s="37">
        <f>D30-'[1]Janvaris'!D30</f>
        <v>11814</v>
      </c>
    </row>
    <row r="31" spans="1:5" ht="12.75">
      <c r="A31" s="48" t="s">
        <v>378</v>
      </c>
      <c r="B31" s="49">
        <f>B32+B33</f>
        <v>0</v>
      </c>
      <c r="C31" s="49">
        <f>C32+C33</f>
        <v>162</v>
      </c>
      <c r="D31" s="49">
        <f>D32+D35</f>
        <v>0</v>
      </c>
      <c r="E31" s="49">
        <f>D31-'[1]Janvaris'!D31</f>
        <v>0</v>
      </c>
    </row>
    <row r="32" spans="1:5" ht="22.5">
      <c r="A32" s="38" t="s">
        <v>379</v>
      </c>
      <c r="B32" s="40"/>
      <c r="C32" s="50"/>
      <c r="D32" s="40">
        <f>B32+C32</f>
        <v>0</v>
      </c>
      <c r="E32" s="40">
        <f>D32-'[1]Janvaris'!D32</f>
        <v>0</v>
      </c>
    </row>
    <row r="33" spans="1:5" ht="22.5">
      <c r="A33" s="38" t="s">
        <v>380</v>
      </c>
      <c r="B33" s="40"/>
      <c r="C33" s="50">
        <v>162</v>
      </c>
      <c r="D33" s="40">
        <f>B33+C33</f>
        <v>162</v>
      </c>
      <c r="E33" s="40">
        <f>D33-'[1]Janvaris'!D33</f>
        <v>-75</v>
      </c>
    </row>
    <row r="34" spans="1:5" ht="22.5">
      <c r="A34" s="51" t="s">
        <v>381</v>
      </c>
      <c r="B34" s="47" t="s">
        <v>360</v>
      </c>
      <c r="C34" s="47" t="s">
        <v>360</v>
      </c>
      <c r="D34" s="52">
        <v>-162</v>
      </c>
      <c r="E34" s="52">
        <f>D34-'[1]Janvaris'!D34</f>
        <v>75</v>
      </c>
    </row>
    <row r="35" spans="1:5" ht="22.5">
      <c r="A35" s="38" t="s">
        <v>382</v>
      </c>
      <c r="B35" s="47" t="s">
        <v>360</v>
      </c>
      <c r="C35" s="47" t="s">
        <v>360</v>
      </c>
      <c r="D35" s="52"/>
      <c r="E35" s="52">
        <f>D35-'[1]Janvaris'!D35</f>
        <v>0</v>
      </c>
    </row>
    <row r="36" spans="1:5" ht="12.75">
      <c r="A36" s="53" t="s">
        <v>326</v>
      </c>
      <c r="B36" s="52">
        <f>SUM(B37:B40)</f>
        <v>-25341</v>
      </c>
      <c r="C36" s="49">
        <f>SUM(C37:C40)</f>
        <v>0</v>
      </c>
      <c r="D36" s="52">
        <f aca="true" t="shared" si="0" ref="D36:D50">B36+C36</f>
        <v>-25341</v>
      </c>
      <c r="E36" s="52">
        <f>D36-'[1]Janvaris'!D36</f>
        <v>8728</v>
      </c>
    </row>
    <row r="37" spans="1:5" ht="12.75">
      <c r="A37" s="54" t="s">
        <v>383</v>
      </c>
      <c r="B37" s="40">
        <v>-29066</v>
      </c>
      <c r="C37" s="50"/>
      <c r="D37" s="40">
        <f t="shared" si="0"/>
        <v>-29066</v>
      </c>
      <c r="E37" s="40">
        <f>D37-'[1]Janvaris'!D37</f>
        <v>-8669</v>
      </c>
    </row>
    <row r="38" spans="1:5" ht="12.75">
      <c r="A38" s="54" t="s">
        <v>384</v>
      </c>
      <c r="B38" s="40">
        <v>10823</v>
      </c>
      <c r="C38" s="50"/>
      <c r="D38" s="40">
        <f t="shared" si="0"/>
        <v>10823</v>
      </c>
      <c r="E38" s="40">
        <f>D38-'[1]Janvaris'!D38</f>
        <v>22306</v>
      </c>
    </row>
    <row r="39" spans="1:5" ht="22.5">
      <c r="A39" s="54" t="s">
        <v>385</v>
      </c>
      <c r="B39" s="40">
        <v>711</v>
      </c>
      <c r="C39" s="50"/>
      <c r="D39" s="40">
        <f t="shared" si="0"/>
        <v>711</v>
      </c>
      <c r="E39" s="40">
        <f>D39-'[1]Janvaris'!D39</f>
        <v>3019</v>
      </c>
    </row>
    <row r="40" spans="1:5" ht="12.75">
      <c r="A40" s="54" t="s">
        <v>386</v>
      </c>
      <c r="B40" s="40">
        <v>-7809</v>
      </c>
      <c r="C40" s="50"/>
      <c r="D40" s="40">
        <f t="shared" si="0"/>
        <v>-7809</v>
      </c>
      <c r="E40" s="40">
        <f>D40-'[1]Janvaris'!D40</f>
        <v>-7928</v>
      </c>
    </row>
    <row r="41" spans="1:5" ht="12.75">
      <c r="A41" s="55" t="s">
        <v>387</v>
      </c>
      <c r="B41" s="52">
        <f>SUM(B42:B46)</f>
        <v>22474</v>
      </c>
      <c r="C41" s="50">
        <f>SUM(C42:C46)</f>
        <v>-9894</v>
      </c>
      <c r="D41" s="52">
        <f t="shared" si="0"/>
        <v>12580</v>
      </c>
      <c r="E41" s="52">
        <f>D41-'[1]Janvaris'!D41</f>
        <v>18528</v>
      </c>
    </row>
    <row r="42" spans="1:5" ht="12.75">
      <c r="A42" s="56" t="s">
        <v>388</v>
      </c>
      <c r="B42" s="40"/>
      <c r="C42" s="50">
        <v>-14</v>
      </c>
      <c r="D42" s="40">
        <f t="shared" si="0"/>
        <v>-14</v>
      </c>
      <c r="E42" s="40">
        <f>D42-'[1]Janvaris'!D42</f>
        <v>4</v>
      </c>
    </row>
    <row r="43" spans="1:5" ht="12.75">
      <c r="A43" s="54" t="s">
        <v>383</v>
      </c>
      <c r="B43" s="40">
        <v>-34497</v>
      </c>
      <c r="C43" s="50"/>
      <c r="D43" s="40">
        <f t="shared" si="0"/>
        <v>-34497</v>
      </c>
      <c r="E43" s="40">
        <f>D43-'[1]Janvaris'!D43</f>
        <v>4503</v>
      </c>
    </row>
    <row r="44" spans="1:5" ht="12.75">
      <c r="A44" s="54" t="s">
        <v>384</v>
      </c>
      <c r="B44" s="40">
        <v>9</v>
      </c>
      <c r="C44" s="50">
        <v>-9880</v>
      </c>
      <c r="D44" s="40">
        <f t="shared" si="0"/>
        <v>-9871</v>
      </c>
      <c r="E44" s="40">
        <f>D44-'[1]Janvaris'!D44</f>
        <v>-3625</v>
      </c>
    </row>
    <row r="45" spans="1:5" ht="22.5">
      <c r="A45" s="54" t="s">
        <v>385</v>
      </c>
      <c r="B45" s="40">
        <v>-72</v>
      </c>
      <c r="C45" s="50"/>
      <c r="D45" s="40">
        <f t="shared" si="0"/>
        <v>-72</v>
      </c>
      <c r="E45" s="40">
        <f>D45-'[1]Janvaris'!D45</f>
        <v>-74</v>
      </c>
    </row>
    <row r="46" spans="1:5" ht="12.75">
      <c r="A46" s="54" t="s">
        <v>386</v>
      </c>
      <c r="B46" s="40">
        <v>57034</v>
      </c>
      <c r="C46" s="50"/>
      <c r="D46" s="40">
        <f t="shared" si="0"/>
        <v>57034</v>
      </c>
      <c r="E46" s="40">
        <f>D46-'[1]Janvaris'!D46</f>
        <v>17720</v>
      </c>
    </row>
    <row r="47" spans="1:5" ht="12.75">
      <c r="A47" s="55" t="s">
        <v>389</v>
      </c>
      <c r="B47" s="52">
        <f>SUM(B48:B50)</f>
        <v>11532</v>
      </c>
      <c r="C47" s="52">
        <f>SUM(C48:C50)</f>
        <v>2996</v>
      </c>
      <c r="D47" s="40">
        <f t="shared" si="0"/>
        <v>14528</v>
      </c>
      <c r="E47" s="40">
        <f>D47-'[1]Janvaris'!D47</f>
        <v>-15442</v>
      </c>
    </row>
    <row r="48" spans="1:5" ht="22.5">
      <c r="A48" s="54" t="s">
        <v>390</v>
      </c>
      <c r="B48" s="52">
        <v>260</v>
      </c>
      <c r="C48" s="49">
        <v>1499</v>
      </c>
      <c r="D48" s="40">
        <f t="shared" si="0"/>
        <v>1759</v>
      </c>
      <c r="E48" s="40">
        <f>D48-'[1]Janvaris'!D48</f>
        <v>-1697</v>
      </c>
    </row>
    <row r="49" spans="1:5" ht="22.5" customHeight="1">
      <c r="A49" s="54" t="s">
        <v>391</v>
      </c>
      <c r="B49" s="52">
        <v>704</v>
      </c>
      <c r="C49" s="49"/>
      <c r="D49" s="40">
        <f t="shared" si="0"/>
        <v>704</v>
      </c>
      <c r="E49" s="40">
        <f>D49-'[1]Janvaris'!D49</f>
        <v>-21563</v>
      </c>
    </row>
    <row r="50" spans="1:5" ht="12.75">
      <c r="A50" s="54" t="s">
        <v>392</v>
      </c>
      <c r="B50" s="52">
        <v>10568</v>
      </c>
      <c r="C50" s="49">
        <f>141+1356</f>
        <v>1497</v>
      </c>
      <c r="D50" s="40">
        <f t="shared" si="0"/>
        <v>12065</v>
      </c>
      <c r="E50" s="40">
        <f>D50-'[1]Janvaris'!D50</f>
        <v>7818</v>
      </c>
    </row>
    <row r="51" spans="1:5" ht="12.75">
      <c r="A51" s="57" t="s">
        <v>393</v>
      </c>
      <c r="B51" s="36">
        <f>SUM(B52:B53)</f>
        <v>-1155</v>
      </c>
      <c r="C51" s="37"/>
      <c r="D51" s="36">
        <f>B51+C51</f>
        <v>-1155</v>
      </c>
      <c r="E51" s="36">
        <f>D51-'[1]Janvaris'!D51</f>
        <v>-2104</v>
      </c>
    </row>
    <row r="52" spans="1:5" ht="12.75">
      <c r="A52" s="55" t="s">
        <v>394</v>
      </c>
      <c r="B52" s="40">
        <v>-1120</v>
      </c>
      <c r="C52" s="50"/>
      <c r="D52" s="52">
        <f>B52+C52</f>
        <v>-1120</v>
      </c>
      <c r="E52" s="52">
        <f>D52-'[1]Janvaris'!D52</f>
        <v>-1908</v>
      </c>
    </row>
    <row r="53" spans="1:5" ht="12.75">
      <c r="A53" s="55" t="s">
        <v>395</v>
      </c>
      <c r="B53" s="40">
        <v>-35</v>
      </c>
      <c r="C53" s="50"/>
      <c r="D53" s="52">
        <f>B53+C53</f>
        <v>-35</v>
      </c>
      <c r="E53" s="52">
        <f>D53-'[1]Janvaris'!D53</f>
        <v>-196</v>
      </c>
    </row>
    <row r="54" spans="1:5" s="24" customFormat="1" ht="11.25">
      <c r="A54" s="58" t="s">
        <v>396</v>
      </c>
      <c r="B54" s="59"/>
      <c r="C54" s="60"/>
      <c r="D54" s="61"/>
      <c r="E54" s="62"/>
    </row>
    <row r="55" spans="1:5" ht="12.75">
      <c r="A55" s="654"/>
      <c r="B55" s="654"/>
      <c r="C55" s="654"/>
      <c r="D55" s="654"/>
      <c r="E55" s="63"/>
    </row>
    <row r="57" spans="1:5" ht="12.75">
      <c r="A57" s="64" t="s">
        <v>397</v>
      </c>
      <c r="B57" s="4"/>
      <c r="C57" s="4"/>
      <c r="D57" s="4"/>
      <c r="E57" s="65"/>
    </row>
    <row r="58" spans="1:5" ht="12.75">
      <c r="A58" s="24"/>
      <c r="B58" s="24"/>
      <c r="C58" s="60"/>
      <c r="D58" s="66"/>
      <c r="E58" s="67"/>
    </row>
    <row r="59" spans="2:5" ht="12.75">
      <c r="B59" s="68"/>
      <c r="C59" s="69"/>
      <c r="D59" s="70"/>
      <c r="E59" s="63"/>
    </row>
    <row r="60" spans="1:5" ht="12.75">
      <c r="A60" s="24" t="s">
        <v>398</v>
      </c>
      <c r="B60" s="68"/>
      <c r="C60" s="69"/>
      <c r="D60" s="70"/>
      <c r="E60" s="63"/>
    </row>
    <row r="61" ht="12.75">
      <c r="A61" s="24" t="s">
        <v>399</v>
      </c>
    </row>
  </sheetData>
  <mergeCells count="4">
    <mergeCell ref="A3:C3"/>
    <mergeCell ref="A6:E7"/>
    <mergeCell ref="A8:E8"/>
    <mergeCell ref="A55:D55"/>
  </mergeCells>
  <printOptions/>
  <pageMargins left="0.75" right="0.19" top="0.26" bottom="0.37" header="0.17" footer="0.16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7"/>
  <sheetViews>
    <sheetView workbookViewId="0" topLeftCell="A138">
      <selection activeCell="D153" sqref="D153"/>
    </sheetView>
  </sheetViews>
  <sheetFormatPr defaultColWidth="9.140625" defaultRowHeight="12.75"/>
  <cols>
    <col min="1" max="1" width="38.28125" style="1" customWidth="1"/>
    <col min="2" max="2" width="12.7109375" style="1" customWidth="1"/>
    <col min="3" max="3" width="11.8515625" style="1" customWidth="1"/>
    <col min="4" max="4" width="12.57421875" style="1" customWidth="1"/>
    <col min="5" max="5" width="8.28125" style="1" customWidth="1"/>
  </cols>
  <sheetData>
    <row r="1" spans="2:5" ht="12.75">
      <c r="B1" s="72"/>
      <c r="C1" s="72"/>
      <c r="D1" s="72"/>
      <c r="E1" s="3" t="s">
        <v>597</v>
      </c>
    </row>
    <row r="2" spans="1:5" ht="12.75">
      <c r="A2" s="654" t="s">
        <v>483</v>
      </c>
      <c r="B2" s="654"/>
      <c r="C2" s="654"/>
      <c r="D2" s="654"/>
      <c r="E2" s="654"/>
    </row>
    <row r="3" spans="1:5" ht="12.75">
      <c r="A3" s="4"/>
      <c r="B3" s="4"/>
      <c r="C3" s="4"/>
      <c r="D3" s="4"/>
      <c r="E3" s="4"/>
    </row>
    <row r="4" spans="1:5" ht="15.75">
      <c r="A4" s="663" t="s">
        <v>598</v>
      </c>
      <c r="B4" s="663"/>
      <c r="C4" s="663"/>
      <c r="D4" s="663"/>
      <c r="E4" s="663"/>
    </row>
    <row r="5" spans="1:5" ht="14.25">
      <c r="A5" s="664" t="s">
        <v>315</v>
      </c>
      <c r="B5" s="664"/>
      <c r="C5" s="664"/>
      <c r="D5" s="664"/>
      <c r="E5" s="664"/>
    </row>
    <row r="6" spans="1:5" ht="12.75">
      <c r="A6" s="138"/>
      <c r="B6" s="138"/>
      <c r="C6" s="138"/>
      <c r="D6" s="138"/>
      <c r="E6" s="6" t="s">
        <v>317</v>
      </c>
    </row>
    <row r="7" spans="1:5" ht="36">
      <c r="A7" s="8" t="s">
        <v>318</v>
      </c>
      <c r="B7" s="205" t="s">
        <v>490</v>
      </c>
      <c r="C7" s="205" t="s">
        <v>404</v>
      </c>
      <c r="D7" s="205" t="s">
        <v>600</v>
      </c>
      <c r="E7" s="205" t="s">
        <v>407</v>
      </c>
    </row>
    <row r="8" spans="1:5" ht="12.75">
      <c r="A8" s="8">
        <v>1</v>
      </c>
      <c r="B8" s="207">
        <v>2</v>
      </c>
      <c r="C8" s="207">
        <v>3</v>
      </c>
      <c r="D8" s="207">
        <v>4</v>
      </c>
      <c r="E8" s="208">
        <v>5</v>
      </c>
    </row>
    <row r="9" spans="1:5" ht="15">
      <c r="A9" s="209" t="s">
        <v>602</v>
      </c>
      <c r="B9" s="210">
        <v>1439</v>
      </c>
      <c r="C9" s="210">
        <v>594</v>
      </c>
      <c r="D9" s="211">
        <v>41.278665740097296</v>
      </c>
      <c r="E9" s="210">
        <v>173</v>
      </c>
    </row>
    <row r="10" spans="1:5" ht="15">
      <c r="A10" s="212" t="s">
        <v>603</v>
      </c>
      <c r="B10" s="213">
        <v>1691</v>
      </c>
      <c r="C10" s="213">
        <v>589</v>
      </c>
      <c r="D10" s="211">
        <v>34.831460674157306</v>
      </c>
      <c r="E10" s="213">
        <v>344</v>
      </c>
    </row>
    <row r="11" spans="1:5" ht="14.25">
      <c r="A11" s="215" t="s">
        <v>604</v>
      </c>
      <c r="B11" s="191">
        <v>1480</v>
      </c>
      <c r="C11" s="191">
        <v>536</v>
      </c>
      <c r="D11" s="206">
        <v>36.21621621621622</v>
      </c>
      <c r="E11" s="213">
        <v>318</v>
      </c>
    </row>
    <row r="12" spans="1:5" ht="14.25">
      <c r="A12" s="215" t="s">
        <v>605</v>
      </c>
      <c r="B12" s="191">
        <v>211</v>
      </c>
      <c r="C12" s="191">
        <v>53</v>
      </c>
      <c r="D12" s="206">
        <v>25.118483412322274</v>
      </c>
      <c r="E12" s="213">
        <v>26</v>
      </c>
    </row>
    <row r="13" spans="1:5" ht="12.75">
      <c r="A13" s="177" t="s">
        <v>606</v>
      </c>
      <c r="B13" s="122"/>
      <c r="C13" s="122"/>
      <c r="D13" s="206"/>
      <c r="E13" s="122"/>
    </row>
    <row r="14" spans="1:5" ht="12.75">
      <c r="A14" s="216" t="s">
        <v>607</v>
      </c>
      <c r="B14" s="122">
        <v>0</v>
      </c>
      <c r="C14" s="122">
        <v>0</v>
      </c>
      <c r="D14" s="206"/>
      <c r="E14" s="122">
        <v>0</v>
      </c>
    </row>
    <row r="15" spans="1:5" ht="12.75">
      <c r="A15" s="187" t="s">
        <v>533</v>
      </c>
      <c r="B15" s="122">
        <v>0</v>
      </c>
      <c r="C15" s="122">
        <v>0</v>
      </c>
      <c r="D15" s="206"/>
      <c r="E15" s="214">
        <v>0</v>
      </c>
    </row>
    <row r="16" spans="1:5" ht="12.75">
      <c r="A16" s="217" t="s">
        <v>604</v>
      </c>
      <c r="B16" s="214">
        <v>0</v>
      </c>
      <c r="C16" s="214">
        <v>0</v>
      </c>
      <c r="D16" s="206"/>
      <c r="E16" s="214">
        <v>0</v>
      </c>
    </row>
    <row r="17" spans="1:5" ht="12.75">
      <c r="A17" s="217" t="s">
        <v>605</v>
      </c>
      <c r="B17" s="214">
        <v>0</v>
      </c>
      <c r="C17" s="214">
        <v>0</v>
      </c>
      <c r="D17" s="206"/>
      <c r="E17" s="214">
        <v>0</v>
      </c>
    </row>
    <row r="18" spans="1:5" ht="12.75">
      <c r="A18" s="16" t="s">
        <v>500</v>
      </c>
      <c r="B18" s="122"/>
      <c r="C18" s="122"/>
      <c r="D18" s="206"/>
      <c r="E18" s="122"/>
    </row>
    <row r="19" spans="1:5" ht="12.75">
      <c r="A19" s="216" t="s">
        <v>607</v>
      </c>
      <c r="B19" s="122">
        <v>14</v>
      </c>
      <c r="C19" s="122">
        <v>0</v>
      </c>
      <c r="D19" s="218">
        <v>0</v>
      </c>
      <c r="E19" s="214">
        <v>0</v>
      </c>
    </row>
    <row r="20" spans="1:5" ht="12.75">
      <c r="A20" s="187" t="s">
        <v>603</v>
      </c>
      <c r="B20" s="122">
        <v>14</v>
      </c>
      <c r="C20" s="122">
        <v>3</v>
      </c>
      <c r="D20" s="218">
        <v>21.428571428571427</v>
      </c>
      <c r="E20" s="214">
        <v>2</v>
      </c>
    </row>
    <row r="21" spans="1:5" ht="12.75">
      <c r="A21" s="217" t="s">
        <v>604</v>
      </c>
      <c r="B21" s="214">
        <v>14</v>
      </c>
      <c r="C21" s="214">
        <v>3</v>
      </c>
      <c r="D21" s="219">
        <v>21.428571428571427</v>
      </c>
      <c r="E21" s="214">
        <v>2</v>
      </c>
    </row>
    <row r="22" spans="1:5" ht="12.75">
      <c r="A22" s="217" t="s">
        <v>605</v>
      </c>
      <c r="B22" s="214">
        <v>0</v>
      </c>
      <c r="C22" s="214">
        <v>0</v>
      </c>
      <c r="D22" s="219"/>
      <c r="E22" s="214">
        <v>0</v>
      </c>
    </row>
    <row r="23" spans="1:5" ht="12.75">
      <c r="A23" s="16" t="s">
        <v>502</v>
      </c>
      <c r="B23" s="122"/>
      <c r="C23" s="122"/>
      <c r="D23" s="206"/>
      <c r="E23" s="214"/>
    </row>
    <row r="24" spans="1:5" ht="12.75">
      <c r="A24" s="216" t="s">
        <v>607</v>
      </c>
      <c r="B24" s="122">
        <v>1</v>
      </c>
      <c r="C24" s="122">
        <v>0</v>
      </c>
      <c r="D24" s="218">
        <v>0</v>
      </c>
      <c r="E24" s="214">
        <v>0</v>
      </c>
    </row>
    <row r="25" spans="1:5" ht="12.75">
      <c r="A25" s="187" t="s">
        <v>603</v>
      </c>
      <c r="B25" s="122">
        <v>18</v>
      </c>
      <c r="C25" s="122">
        <v>7</v>
      </c>
      <c r="D25" s="218">
        <v>38.88888888888889</v>
      </c>
      <c r="E25" s="214">
        <v>6</v>
      </c>
    </row>
    <row r="26" spans="1:5" ht="12.75">
      <c r="A26" s="217" t="s">
        <v>604</v>
      </c>
      <c r="B26" s="214">
        <v>18</v>
      </c>
      <c r="C26" s="214">
        <v>7</v>
      </c>
      <c r="D26" s="219">
        <v>38.88888888888889</v>
      </c>
      <c r="E26" s="214">
        <v>6</v>
      </c>
    </row>
    <row r="27" spans="1:5" ht="12.75">
      <c r="A27" s="217" t="s">
        <v>605</v>
      </c>
      <c r="B27" s="214">
        <v>0</v>
      </c>
      <c r="C27" s="214">
        <v>0</v>
      </c>
      <c r="D27" s="219"/>
      <c r="E27" s="214">
        <v>0</v>
      </c>
    </row>
    <row r="28" spans="1:5" ht="12.75">
      <c r="A28" s="16" t="s">
        <v>608</v>
      </c>
      <c r="B28" s="122"/>
      <c r="C28" s="122"/>
      <c r="D28" s="206"/>
      <c r="E28" s="214"/>
    </row>
    <row r="29" spans="1:5" ht="12.75">
      <c r="A29" s="216" t="s">
        <v>607</v>
      </c>
      <c r="B29" s="122">
        <v>16</v>
      </c>
      <c r="C29" s="122">
        <v>8</v>
      </c>
      <c r="D29" s="218">
        <v>50</v>
      </c>
      <c r="E29" s="214">
        <v>2</v>
      </c>
    </row>
    <row r="30" spans="1:5" ht="12.75">
      <c r="A30" s="187" t="s">
        <v>603</v>
      </c>
      <c r="B30" s="122">
        <v>16</v>
      </c>
      <c r="C30" s="122">
        <v>2</v>
      </c>
      <c r="D30" s="218">
        <v>12.5</v>
      </c>
      <c r="E30" s="214">
        <v>1</v>
      </c>
    </row>
    <row r="31" spans="1:5" ht="12.75">
      <c r="A31" s="217" t="s">
        <v>604</v>
      </c>
      <c r="B31" s="214">
        <v>4</v>
      </c>
      <c r="C31" s="214">
        <v>1</v>
      </c>
      <c r="D31" s="219">
        <v>25</v>
      </c>
      <c r="E31" s="214">
        <v>0</v>
      </c>
    </row>
    <row r="32" spans="1:5" ht="12.75">
      <c r="A32" s="217" t="s">
        <v>605</v>
      </c>
      <c r="B32" s="214">
        <v>12</v>
      </c>
      <c r="C32" s="214">
        <v>1</v>
      </c>
      <c r="D32" s="219">
        <v>8.333333333333332</v>
      </c>
      <c r="E32" s="214">
        <v>1</v>
      </c>
    </row>
    <row r="33" spans="1:5" ht="12.75">
      <c r="A33" s="16" t="s">
        <v>504</v>
      </c>
      <c r="B33" s="122"/>
      <c r="C33" s="122"/>
      <c r="D33" s="206"/>
      <c r="E33" s="214"/>
    </row>
    <row r="34" spans="1:5" ht="12.75">
      <c r="A34" s="216" t="s">
        <v>607</v>
      </c>
      <c r="B34" s="122">
        <v>0</v>
      </c>
      <c r="C34" s="122">
        <v>0</v>
      </c>
      <c r="D34" s="218"/>
      <c r="E34" s="214">
        <v>0</v>
      </c>
    </row>
    <row r="35" spans="1:5" ht="12.75">
      <c r="A35" s="187" t="s">
        <v>603</v>
      </c>
      <c r="B35" s="122">
        <v>0</v>
      </c>
      <c r="C35" s="122">
        <v>0</v>
      </c>
      <c r="D35" s="218"/>
      <c r="E35" s="214">
        <v>0</v>
      </c>
    </row>
    <row r="36" spans="1:5" ht="12.75">
      <c r="A36" s="217" t="s">
        <v>604</v>
      </c>
      <c r="B36" s="214">
        <v>0</v>
      </c>
      <c r="C36" s="214">
        <v>0</v>
      </c>
      <c r="D36" s="219"/>
      <c r="E36" s="214">
        <v>0</v>
      </c>
    </row>
    <row r="37" spans="1:5" ht="12.75">
      <c r="A37" s="217" t="s">
        <v>605</v>
      </c>
      <c r="B37" s="214">
        <v>0</v>
      </c>
      <c r="C37" s="214">
        <v>0</v>
      </c>
      <c r="D37" s="219"/>
      <c r="E37" s="214">
        <v>0</v>
      </c>
    </row>
    <row r="38" spans="1:5" ht="12.75">
      <c r="A38" s="16" t="s">
        <v>505</v>
      </c>
      <c r="B38" s="122"/>
      <c r="C38" s="122"/>
      <c r="D38" s="206"/>
      <c r="E38" s="214"/>
    </row>
    <row r="39" spans="1:5" ht="12.75">
      <c r="A39" s="216" t="s">
        <v>607</v>
      </c>
      <c r="B39" s="122">
        <v>33</v>
      </c>
      <c r="C39" s="122">
        <v>31</v>
      </c>
      <c r="D39" s="218">
        <v>93.93939393939394</v>
      </c>
      <c r="E39" s="214">
        <v>1</v>
      </c>
    </row>
    <row r="40" spans="1:5" ht="12.75">
      <c r="A40" s="187" t="s">
        <v>609</v>
      </c>
      <c r="B40" s="122">
        <v>35</v>
      </c>
      <c r="C40" s="122">
        <v>24</v>
      </c>
      <c r="D40" s="218">
        <v>68.57142857142857</v>
      </c>
      <c r="E40" s="214">
        <v>21</v>
      </c>
    </row>
    <row r="41" spans="1:5" ht="12.75">
      <c r="A41" s="217" t="s">
        <v>604</v>
      </c>
      <c r="B41" s="214">
        <v>35</v>
      </c>
      <c r="C41" s="214">
        <v>24</v>
      </c>
      <c r="D41" s="219">
        <v>68.57142857142857</v>
      </c>
      <c r="E41" s="214">
        <v>21</v>
      </c>
    </row>
    <row r="42" spans="1:5" ht="12.75">
      <c r="A42" s="217" t="s">
        <v>605</v>
      </c>
      <c r="B42" s="214">
        <v>0</v>
      </c>
      <c r="C42" s="214">
        <v>0</v>
      </c>
      <c r="D42" s="219"/>
      <c r="E42" s="214">
        <v>0</v>
      </c>
    </row>
    <row r="43" spans="1:5" ht="12.75">
      <c r="A43" s="16" t="s">
        <v>610</v>
      </c>
      <c r="B43" s="122"/>
      <c r="C43" s="122"/>
      <c r="D43" s="219"/>
      <c r="E43" s="214"/>
    </row>
    <row r="44" spans="1:5" ht="12.75">
      <c r="A44" s="216" t="s">
        <v>607</v>
      </c>
      <c r="B44" s="122">
        <v>37</v>
      </c>
      <c r="C44" s="122">
        <v>34</v>
      </c>
      <c r="D44" s="218">
        <v>91.8918918918919</v>
      </c>
      <c r="E44" s="214">
        <v>1</v>
      </c>
    </row>
    <row r="45" spans="1:5" ht="12.75">
      <c r="A45" s="187" t="s">
        <v>603</v>
      </c>
      <c r="B45" s="122">
        <v>37</v>
      </c>
      <c r="C45" s="122">
        <v>35</v>
      </c>
      <c r="D45" s="218">
        <v>94.5945945945946</v>
      </c>
      <c r="E45" s="214">
        <v>3</v>
      </c>
    </row>
    <row r="46" spans="1:5" ht="12.75">
      <c r="A46" s="217" t="s">
        <v>604</v>
      </c>
      <c r="B46" s="214">
        <v>37</v>
      </c>
      <c r="C46" s="214">
        <v>35</v>
      </c>
      <c r="D46" s="219">
        <v>94.5945945945946</v>
      </c>
      <c r="E46" s="214">
        <v>3</v>
      </c>
    </row>
    <row r="47" spans="1:5" ht="12.75">
      <c r="A47" s="217" t="s">
        <v>605</v>
      </c>
      <c r="B47" s="214">
        <v>0</v>
      </c>
      <c r="C47" s="214">
        <v>0</v>
      </c>
      <c r="D47" s="219"/>
      <c r="E47" s="214">
        <v>0</v>
      </c>
    </row>
    <row r="48" spans="1:5" ht="12.75">
      <c r="A48" s="16" t="s">
        <v>507</v>
      </c>
      <c r="B48" s="122"/>
      <c r="C48" s="122"/>
      <c r="D48" s="206"/>
      <c r="E48" s="214"/>
    </row>
    <row r="49" spans="1:5" ht="12.75">
      <c r="A49" s="216" t="s">
        <v>607</v>
      </c>
      <c r="B49" s="122">
        <v>131</v>
      </c>
      <c r="C49" s="122">
        <v>21</v>
      </c>
      <c r="D49" s="218">
        <v>16.030534351145036</v>
      </c>
      <c r="E49" s="214">
        <v>17</v>
      </c>
    </row>
    <row r="50" spans="1:5" ht="12.75">
      <c r="A50" s="187" t="s">
        <v>603</v>
      </c>
      <c r="B50" s="122">
        <v>138</v>
      </c>
      <c r="C50" s="122">
        <v>20</v>
      </c>
      <c r="D50" s="218">
        <v>14.492753623188406</v>
      </c>
      <c r="E50" s="214">
        <v>12</v>
      </c>
    </row>
    <row r="51" spans="1:5" ht="12.75">
      <c r="A51" s="217" t="s">
        <v>604</v>
      </c>
      <c r="B51" s="214">
        <v>80</v>
      </c>
      <c r="C51" s="214">
        <v>14</v>
      </c>
      <c r="D51" s="219">
        <v>17.5</v>
      </c>
      <c r="E51" s="214">
        <v>11</v>
      </c>
    </row>
    <row r="52" spans="1:5" ht="12.75">
      <c r="A52" s="217" t="s">
        <v>605</v>
      </c>
      <c r="B52" s="214">
        <v>58</v>
      </c>
      <c r="C52" s="214">
        <v>6</v>
      </c>
      <c r="D52" s="219"/>
      <c r="E52" s="214">
        <v>1</v>
      </c>
    </row>
    <row r="53" spans="1:5" ht="12.75">
      <c r="A53" s="16" t="s">
        <v>508</v>
      </c>
      <c r="B53" s="122"/>
      <c r="C53" s="122"/>
      <c r="D53" s="206"/>
      <c r="E53" s="214"/>
    </row>
    <row r="54" spans="1:5" ht="12.75">
      <c r="A54" s="216" t="s">
        <v>607</v>
      </c>
      <c r="B54" s="122">
        <v>568</v>
      </c>
      <c r="C54" s="122">
        <v>229</v>
      </c>
      <c r="D54" s="218">
        <v>40.316901408450704</v>
      </c>
      <c r="E54" s="214">
        <v>46</v>
      </c>
    </row>
    <row r="55" spans="1:5" ht="12.75">
      <c r="A55" s="187" t="s">
        <v>603</v>
      </c>
      <c r="B55" s="122">
        <v>597</v>
      </c>
      <c r="C55" s="122">
        <v>215</v>
      </c>
      <c r="D55" s="218">
        <v>36.01340033500838</v>
      </c>
      <c r="E55" s="214">
        <v>123</v>
      </c>
    </row>
    <row r="56" spans="1:5" ht="12.75">
      <c r="A56" s="217" t="s">
        <v>604</v>
      </c>
      <c r="B56" s="214">
        <v>546</v>
      </c>
      <c r="C56" s="214">
        <v>203</v>
      </c>
      <c r="D56" s="219">
        <v>37.17948717948718</v>
      </c>
      <c r="E56" s="214">
        <v>115</v>
      </c>
    </row>
    <row r="57" spans="1:5" ht="12.75">
      <c r="A57" s="217" t="s">
        <v>605</v>
      </c>
      <c r="B57" s="214">
        <v>51</v>
      </c>
      <c r="C57" s="214">
        <v>12</v>
      </c>
      <c r="D57" s="219">
        <v>23.52941176470588</v>
      </c>
      <c r="E57" s="214">
        <v>9</v>
      </c>
    </row>
    <row r="58" spans="1:5" ht="12.75">
      <c r="A58" s="16" t="s">
        <v>509</v>
      </c>
      <c r="B58" s="122"/>
      <c r="C58" s="122"/>
      <c r="D58" s="206"/>
      <c r="E58" s="214"/>
    </row>
    <row r="59" spans="1:5" ht="12.75">
      <c r="A59" s="216" t="s">
        <v>607</v>
      </c>
      <c r="B59" s="122">
        <v>138</v>
      </c>
      <c r="C59" s="122">
        <v>49</v>
      </c>
      <c r="D59" s="218">
        <v>35.507246376811594</v>
      </c>
      <c r="E59" s="214">
        <v>11</v>
      </c>
    </row>
    <row r="60" spans="1:5" ht="12.75">
      <c r="A60" s="187" t="s">
        <v>603</v>
      </c>
      <c r="B60" s="122">
        <v>142</v>
      </c>
      <c r="C60" s="122">
        <v>53</v>
      </c>
      <c r="D60" s="218">
        <v>37.32394366197183</v>
      </c>
      <c r="E60" s="214">
        <v>30</v>
      </c>
    </row>
    <row r="61" spans="1:5" ht="12.75">
      <c r="A61" s="217" t="s">
        <v>604</v>
      </c>
      <c r="B61" s="214">
        <v>115</v>
      </c>
      <c r="C61" s="214">
        <v>39</v>
      </c>
      <c r="D61" s="219">
        <v>33.91304347826087</v>
      </c>
      <c r="E61" s="214">
        <v>21</v>
      </c>
    </row>
    <row r="62" spans="1:5" ht="12.75">
      <c r="A62" s="217" t="s">
        <v>605</v>
      </c>
      <c r="B62" s="214">
        <v>27</v>
      </c>
      <c r="C62" s="214">
        <v>14</v>
      </c>
      <c r="D62" s="219">
        <v>51.85185185185185</v>
      </c>
      <c r="E62" s="214">
        <v>9</v>
      </c>
    </row>
    <row r="63" spans="1:5" ht="12.75">
      <c r="A63" s="16" t="s">
        <v>510</v>
      </c>
      <c r="B63" s="122"/>
      <c r="C63" s="122"/>
      <c r="D63" s="206"/>
      <c r="E63" s="214"/>
    </row>
    <row r="64" spans="1:5" ht="12.75">
      <c r="A64" s="216" t="s">
        <v>607</v>
      </c>
      <c r="B64" s="122">
        <v>0</v>
      </c>
      <c r="C64" s="122">
        <v>0</v>
      </c>
      <c r="D64" s="218"/>
      <c r="E64" s="214">
        <v>0</v>
      </c>
    </row>
    <row r="65" spans="1:5" ht="12.75">
      <c r="A65" s="187" t="s">
        <v>603</v>
      </c>
      <c r="B65" s="122">
        <v>0</v>
      </c>
      <c r="C65" s="122">
        <v>0</v>
      </c>
      <c r="D65" s="218"/>
      <c r="E65" s="214">
        <v>0</v>
      </c>
    </row>
    <row r="66" spans="1:5" ht="12.75">
      <c r="A66" s="217" t="s">
        <v>604</v>
      </c>
      <c r="B66" s="214">
        <v>0</v>
      </c>
      <c r="C66" s="214">
        <v>0</v>
      </c>
      <c r="D66" s="219"/>
      <c r="E66" s="214">
        <v>0</v>
      </c>
    </row>
    <row r="67" spans="1:5" ht="12.75">
      <c r="A67" s="217" t="s">
        <v>605</v>
      </c>
      <c r="B67" s="214">
        <v>0</v>
      </c>
      <c r="C67" s="214">
        <v>0</v>
      </c>
      <c r="D67" s="219"/>
      <c r="E67" s="214">
        <v>0</v>
      </c>
    </row>
    <row r="68" spans="1:5" ht="12.75">
      <c r="A68" s="16" t="s">
        <v>511</v>
      </c>
      <c r="B68" s="122"/>
      <c r="C68" s="122"/>
      <c r="D68" s="206"/>
      <c r="E68" s="214"/>
    </row>
    <row r="69" spans="1:5" ht="12.75">
      <c r="A69" s="216" t="s">
        <v>607</v>
      </c>
      <c r="B69" s="122">
        <v>148</v>
      </c>
      <c r="C69" s="122">
        <v>61</v>
      </c>
      <c r="D69" s="218">
        <v>41.21621621621622</v>
      </c>
      <c r="E69" s="214">
        <v>38</v>
      </c>
    </row>
    <row r="70" spans="1:5" ht="12.75">
      <c r="A70" s="187" t="s">
        <v>603</v>
      </c>
      <c r="B70" s="122">
        <v>199</v>
      </c>
      <c r="C70" s="122">
        <v>119</v>
      </c>
      <c r="D70" s="218">
        <v>59.798994974874375</v>
      </c>
      <c r="E70" s="214">
        <v>89</v>
      </c>
    </row>
    <row r="71" spans="1:5" ht="12.75">
      <c r="A71" s="217" t="s">
        <v>604</v>
      </c>
      <c r="B71" s="214">
        <v>183</v>
      </c>
      <c r="C71" s="214">
        <v>112</v>
      </c>
      <c r="D71" s="219">
        <v>61.20218579234973</v>
      </c>
      <c r="E71" s="214">
        <v>84</v>
      </c>
    </row>
    <row r="72" spans="1:5" ht="12.75">
      <c r="A72" s="217" t="s">
        <v>605</v>
      </c>
      <c r="B72" s="214">
        <v>16</v>
      </c>
      <c r="C72" s="214">
        <v>7</v>
      </c>
      <c r="D72" s="219">
        <v>43.75</v>
      </c>
      <c r="E72" s="214">
        <v>5</v>
      </c>
    </row>
    <row r="73" spans="1:5" ht="12.75">
      <c r="A73" s="16" t="s">
        <v>611</v>
      </c>
      <c r="B73" s="122"/>
      <c r="C73" s="122"/>
      <c r="D73" s="206"/>
      <c r="E73" s="214"/>
    </row>
    <row r="74" spans="1:5" ht="12.75">
      <c r="A74" s="216" t="s">
        <v>607</v>
      </c>
      <c r="B74" s="122">
        <v>41</v>
      </c>
      <c r="C74" s="122">
        <v>13</v>
      </c>
      <c r="D74" s="218">
        <v>31.70731707317073</v>
      </c>
      <c r="E74" s="214">
        <v>11</v>
      </c>
    </row>
    <row r="75" spans="1:5" ht="12.75">
      <c r="A75" s="187" t="s">
        <v>603</v>
      </c>
      <c r="B75" s="122">
        <v>45</v>
      </c>
      <c r="C75" s="122">
        <v>5</v>
      </c>
      <c r="D75" s="218">
        <v>11.11111111111111</v>
      </c>
      <c r="E75" s="214">
        <v>4</v>
      </c>
    </row>
    <row r="76" spans="1:5" ht="12.75">
      <c r="A76" s="217" t="s">
        <v>604</v>
      </c>
      <c r="B76" s="214">
        <v>45</v>
      </c>
      <c r="C76" s="214">
        <v>5</v>
      </c>
      <c r="D76" s="219">
        <v>11.11111111111111</v>
      </c>
      <c r="E76" s="214">
        <v>4</v>
      </c>
    </row>
    <row r="77" spans="1:5" ht="12.75">
      <c r="A77" s="217" t="s">
        <v>605</v>
      </c>
      <c r="B77" s="214">
        <v>0</v>
      </c>
      <c r="C77" s="214">
        <v>0</v>
      </c>
      <c r="D77" s="219"/>
      <c r="E77" s="214">
        <v>0</v>
      </c>
    </row>
    <row r="78" spans="1:5" ht="25.5">
      <c r="A78" s="177" t="s">
        <v>612</v>
      </c>
      <c r="B78" s="122"/>
      <c r="C78" s="122"/>
      <c r="D78" s="206"/>
      <c r="E78" s="214"/>
    </row>
    <row r="79" spans="1:5" ht="12.75">
      <c r="A79" s="216" t="s">
        <v>607</v>
      </c>
      <c r="B79" s="122">
        <v>10</v>
      </c>
      <c r="C79" s="122">
        <v>6</v>
      </c>
      <c r="D79" s="218"/>
      <c r="E79" s="214">
        <v>4</v>
      </c>
    </row>
    <row r="80" spans="1:5" ht="12.75">
      <c r="A80" s="187" t="s">
        <v>603</v>
      </c>
      <c r="B80" s="122">
        <v>57</v>
      </c>
      <c r="C80" s="122">
        <v>3</v>
      </c>
      <c r="D80" s="218">
        <v>5.263157894736842</v>
      </c>
      <c r="E80" s="214">
        <v>2</v>
      </c>
    </row>
    <row r="81" spans="1:5" ht="12.75">
      <c r="A81" s="217" t="s">
        <v>604</v>
      </c>
      <c r="B81" s="214">
        <v>57</v>
      </c>
      <c r="C81" s="214">
        <v>3</v>
      </c>
      <c r="D81" s="219">
        <v>5.263157894736842</v>
      </c>
      <c r="E81" s="214">
        <v>2</v>
      </c>
    </row>
    <row r="82" spans="1:5" ht="12.75">
      <c r="A82" s="217" t="s">
        <v>605</v>
      </c>
      <c r="B82" s="214">
        <v>0</v>
      </c>
      <c r="C82" s="214">
        <v>0</v>
      </c>
      <c r="D82" s="219"/>
      <c r="E82" s="214">
        <v>0</v>
      </c>
    </row>
    <row r="83" spans="1:5" ht="12.75">
      <c r="A83" s="16" t="s">
        <v>514</v>
      </c>
      <c r="B83" s="122"/>
      <c r="C83" s="122"/>
      <c r="D83" s="206"/>
      <c r="E83" s="214"/>
    </row>
    <row r="84" spans="1:5" ht="12.75">
      <c r="A84" s="216" t="s">
        <v>607</v>
      </c>
      <c r="B84" s="122">
        <v>302</v>
      </c>
      <c r="C84" s="122">
        <v>136</v>
      </c>
      <c r="D84" s="218">
        <v>45.033112582781456</v>
      </c>
      <c r="E84" s="214">
        <v>41</v>
      </c>
    </row>
    <row r="85" spans="1:5" ht="12.75">
      <c r="A85" s="187" t="s">
        <v>603</v>
      </c>
      <c r="B85" s="122">
        <v>393</v>
      </c>
      <c r="C85" s="122">
        <v>106</v>
      </c>
      <c r="D85" s="218">
        <v>26.97201017811705</v>
      </c>
      <c r="E85" s="214">
        <v>51</v>
      </c>
    </row>
    <row r="86" spans="1:5" ht="12.75">
      <c r="A86" s="217" t="s">
        <v>604</v>
      </c>
      <c r="B86" s="214">
        <v>347</v>
      </c>
      <c r="C86" s="214">
        <v>92</v>
      </c>
      <c r="D86" s="219">
        <v>26.512968299711815</v>
      </c>
      <c r="E86" s="214">
        <v>49</v>
      </c>
    </row>
    <row r="87" spans="1:5" ht="12.75">
      <c r="A87" s="217" t="s">
        <v>605</v>
      </c>
      <c r="B87" s="214">
        <v>46</v>
      </c>
      <c r="C87" s="214">
        <v>14</v>
      </c>
      <c r="D87" s="219">
        <v>30.434782608695656</v>
      </c>
      <c r="E87" s="214">
        <v>2</v>
      </c>
    </row>
    <row r="88" spans="1:5" ht="12.75">
      <c r="A88" s="16" t="s">
        <v>613</v>
      </c>
      <c r="B88" s="122"/>
      <c r="C88" s="122"/>
      <c r="D88" s="206"/>
      <c r="E88" s="214"/>
    </row>
    <row r="89" spans="1:5" ht="12.75">
      <c r="A89" s="216" t="s">
        <v>607</v>
      </c>
      <c r="B89" s="122">
        <v>0</v>
      </c>
      <c r="C89" s="122">
        <v>0</v>
      </c>
      <c r="D89" s="218"/>
      <c r="E89" s="214">
        <v>0</v>
      </c>
    </row>
    <row r="90" spans="1:5" ht="12.75">
      <c r="A90" s="187" t="s">
        <v>603</v>
      </c>
      <c r="B90" s="122">
        <v>0</v>
      </c>
      <c r="C90" s="122">
        <v>0</v>
      </c>
      <c r="D90" s="218"/>
      <c r="E90" s="214">
        <v>0</v>
      </c>
    </row>
    <row r="91" spans="1:5" ht="12.75">
      <c r="A91" s="217" t="s">
        <v>604</v>
      </c>
      <c r="B91" s="214">
        <v>0</v>
      </c>
      <c r="C91" s="214">
        <v>0</v>
      </c>
      <c r="D91" s="219"/>
      <c r="E91" s="214">
        <v>0</v>
      </c>
    </row>
    <row r="92" spans="1:5" ht="12.75">
      <c r="A92" s="217" t="s">
        <v>605</v>
      </c>
      <c r="B92" s="214">
        <v>0</v>
      </c>
      <c r="C92" s="214">
        <v>0</v>
      </c>
      <c r="D92" s="219"/>
      <c r="E92" s="214">
        <v>0</v>
      </c>
    </row>
    <row r="93" spans="1:5" ht="12.75">
      <c r="A93" s="16" t="s">
        <v>515</v>
      </c>
      <c r="B93" s="122"/>
      <c r="C93" s="122"/>
      <c r="D93" s="206"/>
      <c r="E93" s="214"/>
    </row>
    <row r="94" spans="1:5" ht="12.75">
      <c r="A94" s="216" t="s">
        <v>607</v>
      </c>
      <c r="B94" s="122">
        <v>0</v>
      </c>
      <c r="C94" s="122">
        <v>0</v>
      </c>
      <c r="D94" s="218"/>
      <c r="E94" s="214">
        <v>0</v>
      </c>
    </row>
    <row r="95" spans="1:5" ht="12.75">
      <c r="A95" s="187" t="s">
        <v>603</v>
      </c>
      <c r="B95" s="122">
        <v>0</v>
      </c>
      <c r="C95" s="122">
        <v>0</v>
      </c>
      <c r="D95" s="218"/>
      <c r="E95" s="214">
        <v>0</v>
      </c>
    </row>
    <row r="96" spans="1:5" ht="12.75">
      <c r="A96" s="217" t="s">
        <v>604</v>
      </c>
      <c r="B96" s="214">
        <v>0</v>
      </c>
      <c r="C96" s="214">
        <v>0</v>
      </c>
      <c r="D96" s="219"/>
      <c r="E96" s="214">
        <v>0</v>
      </c>
    </row>
    <row r="97" spans="1:5" ht="12.75">
      <c r="A97" s="217" t="s">
        <v>605</v>
      </c>
      <c r="B97" s="214">
        <v>0</v>
      </c>
      <c r="C97" s="214">
        <v>0</v>
      </c>
      <c r="D97" s="219"/>
      <c r="E97" s="214">
        <v>0</v>
      </c>
    </row>
    <row r="98" spans="1:5" ht="12.75">
      <c r="A98" s="16" t="s">
        <v>614</v>
      </c>
      <c r="B98" s="122"/>
      <c r="C98" s="122"/>
      <c r="D98" s="206"/>
      <c r="E98" s="214"/>
    </row>
    <row r="99" spans="1:5" ht="12.75">
      <c r="A99" s="216" t="s">
        <v>607</v>
      </c>
      <c r="B99" s="122">
        <v>0</v>
      </c>
      <c r="C99" s="122">
        <v>0</v>
      </c>
      <c r="D99" s="218"/>
      <c r="E99" s="214">
        <v>0</v>
      </c>
    </row>
    <row r="100" spans="1:5" ht="12.75">
      <c r="A100" s="187" t="s">
        <v>603</v>
      </c>
      <c r="B100" s="122">
        <v>0</v>
      </c>
      <c r="C100" s="122">
        <v>0</v>
      </c>
      <c r="D100" s="218"/>
      <c r="E100" s="214">
        <v>0</v>
      </c>
    </row>
    <row r="101" spans="1:5" ht="12.75">
      <c r="A101" s="217" t="s">
        <v>604</v>
      </c>
      <c r="B101" s="214">
        <v>0</v>
      </c>
      <c r="C101" s="214">
        <v>0</v>
      </c>
      <c r="D101" s="219"/>
      <c r="E101" s="214">
        <v>0</v>
      </c>
    </row>
    <row r="102" spans="1:5" ht="12.75">
      <c r="A102" s="217" t="s">
        <v>605</v>
      </c>
      <c r="B102" s="214">
        <v>0</v>
      </c>
      <c r="C102" s="214">
        <v>0</v>
      </c>
      <c r="D102" s="219"/>
      <c r="E102" s="214">
        <v>0</v>
      </c>
    </row>
    <row r="103" spans="1:5" ht="12.75">
      <c r="A103" s="16" t="s">
        <v>615</v>
      </c>
      <c r="B103" s="122"/>
      <c r="C103" s="122"/>
      <c r="D103" s="206"/>
      <c r="E103" s="214"/>
    </row>
    <row r="104" spans="1:5" ht="12.75">
      <c r="A104" s="216" t="s">
        <v>607</v>
      </c>
      <c r="B104" s="122">
        <v>0</v>
      </c>
      <c r="C104" s="122">
        <v>0</v>
      </c>
      <c r="D104" s="218"/>
      <c r="E104" s="214">
        <v>0</v>
      </c>
    </row>
    <row r="105" spans="1:5" ht="12.75">
      <c r="A105" s="187" t="s">
        <v>603</v>
      </c>
      <c r="B105" s="122">
        <v>0</v>
      </c>
      <c r="C105" s="122">
        <v>0</v>
      </c>
      <c r="D105" s="218"/>
      <c r="E105" s="214">
        <v>0</v>
      </c>
    </row>
    <row r="106" spans="1:5" ht="12.75">
      <c r="A106" s="217" t="s">
        <v>604</v>
      </c>
      <c r="B106" s="214">
        <v>0</v>
      </c>
      <c r="C106" s="214">
        <v>0</v>
      </c>
      <c r="D106" s="219"/>
      <c r="E106" s="214">
        <v>0</v>
      </c>
    </row>
    <row r="107" spans="1:5" ht="12.75">
      <c r="A107" s="217" t="s">
        <v>605</v>
      </c>
      <c r="B107" s="214">
        <v>0</v>
      </c>
      <c r="C107" s="214">
        <v>0</v>
      </c>
      <c r="D107" s="219"/>
      <c r="E107" s="214">
        <v>0</v>
      </c>
    </row>
    <row r="108" spans="1:5" ht="12.75">
      <c r="A108" s="16" t="s">
        <v>616</v>
      </c>
      <c r="B108" s="122"/>
      <c r="C108" s="122"/>
      <c r="D108" s="206"/>
      <c r="E108" s="214"/>
    </row>
    <row r="109" spans="1:5" ht="12.75">
      <c r="A109" s="216" t="s">
        <v>607</v>
      </c>
      <c r="B109" s="122">
        <v>0</v>
      </c>
      <c r="C109" s="122">
        <v>0</v>
      </c>
      <c r="D109" s="218"/>
      <c r="E109" s="214">
        <v>0</v>
      </c>
    </row>
    <row r="110" spans="1:5" ht="12.75">
      <c r="A110" s="187" t="s">
        <v>603</v>
      </c>
      <c r="B110" s="122">
        <v>0</v>
      </c>
      <c r="C110" s="122">
        <v>0</v>
      </c>
      <c r="D110" s="218"/>
      <c r="E110" s="214">
        <v>0</v>
      </c>
    </row>
    <row r="111" spans="1:5" ht="12.75">
      <c r="A111" s="217" t="s">
        <v>604</v>
      </c>
      <c r="B111" s="214">
        <v>0</v>
      </c>
      <c r="C111" s="214">
        <v>0</v>
      </c>
      <c r="D111" s="219"/>
      <c r="E111" s="214">
        <v>0</v>
      </c>
    </row>
    <row r="112" spans="1:5" ht="12.75">
      <c r="A112" s="217" t="s">
        <v>605</v>
      </c>
      <c r="B112" s="214">
        <v>0</v>
      </c>
      <c r="C112" s="214">
        <v>0</v>
      </c>
      <c r="D112" s="219"/>
      <c r="E112" s="214">
        <v>0</v>
      </c>
    </row>
    <row r="113" spans="1:5" ht="12.75">
      <c r="A113" s="16" t="s">
        <v>617</v>
      </c>
      <c r="B113" s="122"/>
      <c r="C113" s="122"/>
      <c r="D113" s="206"/>
      <c r="E113" s="214"/>
    </row>
    <row r="114" spans="1:5" ht="12.75">
      <c r="A114" s="216" t="s">
        <v>607</v>
      </c>
      <c r="B114" s="122">
        <v>0</v>
      </c>
      <c r="C114" s="122">
        <v>0</v>
      </c>
      <c r="D114" s="218"/>
      <c r="E114" s="214">
        <v>0</v>
      </c>
    </row>
    <row r="115" spans="1:5" ht="12.75">
      <c r="A115" s="187" t="s">
        <v>603</v>
      </c>
      <c r="B115" s="122">
        <v>0</v>
      </c>
      <c r="C115" s="122">
        <v>0</v>
      </c>
      <c r="D115" s="218"/>
      <c r="E115" s="214">
        <v>0</v>
      </c>
    </row>
    <row r="116" spans="1:5" ht="12.75">
      <c r="A116" s="217" t="s">
        <v>604</v>
      </c>
      <c r="B116" s="214">
        <v>0</v>
      </c>
      <c r="C116" s="214">
        <v>0</v>
      </c>
      <c r="D116" s="219"/>
      <c r="E116" s="214">
        <v>0</v>
      </c>
    </row>
    <row r="117" spans="1:5" ht="12.75">
      <c r="A117" s="217" t="s">
        <v>605</v>
      </c>
      <c r="B117" s="214">
        <v>0</v>
      </c>
      <c r="C117" s="214">
        <v>0</v>
      </c>
      <c r="D117" s="219"/>
      <c r="E117" s="214">
        <v>0</v>
      </c>
    </row>
    <row r="118" spans="1:5" ht="12.75">
      <c r="A118" s="16" t="s">
        <v>618</v>
      </c>
      <c r="B118" s="122"/>
      <c r="C118" s="122"/>
      <c r="D118" s="206"/>
      <c r="E118" s="214"/>
    </row>
    <row r="119" spans="1:5" ht="12.75">
      <c r="A119" s="216" t="s">
        <v>607</v>
      </c>
      <c r="B119" s="122">
        <v>0</v>
      </c>
      <c r="C119" s="122">
        <v>0</v>
      </c>
      <c r="D119" s="218"/>
      <c r="E119" s="214">
        <v>0</v>
      </c>
    </row>
    <row r="120" spans="1:5" ht="12.75">
      <c r="A120" s="187" t="s">
        <v>603</v>
      </c>
      <c r="B120" s="122">
        <v>0</v>
      </c>
      <c r="C120" s="122">
        <v>0</v>
      </c>
      <c r="D120" s="218"/>
      <c r="E120" s="214">
        <v>0</v>
      </c>
    </row>
    <row r="121" spans="1:5" ht="12.75">
      <c r="A121" s="217" t="s">
        <v>604</v>
      </c>
      <c r="B121" s="214">
        <v>0</v>
      </c>
      <c r="C121" s="214">
        <v>0</v>
      </c>
      <c r="D121" s="219"/>
      <c r="E121" s="214">
        <v>0</v>
      </c>
    </row>
    <row r="122" spans="1:5" ht="12.75">
      <c r="A122" s="217" t="s">
        <v>605</v>
      </c>
      <c r="B122" s="214">
        <v>0</v>
      </c>
      <c r="C122" s="214">
        <v>0</v>
      </c>
      <c r="D122" s="219"/>
      <c r="E122" s="214">
        <v>0</v>
      </c>
    </row>
    <row r="123" spans="1:5" ht="12.75">
      <c r="A123" s="16" t="s">
        <v>619</v>
      </c>
      <c r="B123" s="122"/>
      <c r="C123" s="122"/>
      <c r="D123" s="206"/>
      <c r="E123" s="214"/>
    </row>
    <row r="124" spans="1:5" ht="12.75">
      <c r="A124" s="216" t="s">
        <v>607</v>
      </c>
      <c r="B124" s="122">
        <v>0</v>
      </c>
      <c r="C124" s="122">
        <v>0</v>
      </c>
      <c r="D124" s="218"/>
      <c r="E124" s="214">
        <v>0</v>
      </c>
    </row>
    <row r="125" spans="1:5" ht="12.75">
      <c r="A125" s="187" t="s">
        <v>603</v>
      </c>
      <c r="B125" s="122">
        <v>0</v>
      </c>
      <c r="C125" s="122">
        <v>0</v>
      </c>
      <c r="D125" s="218"/>
      <c r="E125" s="214">
        <v>0</v>
      </c>
    </row>
    <row r="126" spans="1:5" ht="12.75">
      <c r="A126" s="217" t="s">
        <v>604</v>
      </c>
      <c r="B126" s="214">
        <v>0</v>
      </c>
      <c r="C126" s="214">
        <v>0</v>
      </c>
      <c r="D126" s="219"/>
      <c r="E126" s="214">
        <v>0</v>
      </c>
    </row>
    <row r="127" spans="1:5" ht="12.75">
      <c r="A127" s="217" t="s">
        <v>605</v>
      </c>
      <c r="B127" s="214">
        <v>0</v>
      </c>
      <c r="C127" s="214">
        <v>0</v>
      </c>
      <c r="D127" s="219"/>
      <c r="E127" s="214">
        <v>0</v>
      </c>
    </row>
    <row r="128" spans="1:5" ht="12.75">
      <c r="A128" s="16" t="s">
        <v>620</v>
      </c>
      <c r="B128" s="122"/>
      <c r="C128" s="122"/>
      <c r="D128" s="206"/>
      <c r="E128" s="214"/>
    </row>
    <row r="129" spans="1:5" ht="12.75">
      <c r="A129" s="216" t="s">
        <v>607</v>
      </c>
      <c r="B129" s="122">
        <v>0</v>
      </c>
      <c r="C129" s="122">
        <v>0</v>
      </c>
      <c r="D129" s="218"/>
      <c r="E129" s="214">
        <v>0</v>
      </c>
    </row>
    <row r="130" spans="1:5" ht="12.75">
      <c r="A130" s="187" t="s">
        <v>603</v>
      </c>
      <c r="B130" s="122">
        <v>0</v>
      </c>
      <c r="C130" s="122">
        <v>0</v>
      </c>
      <c r="D130" s="218"/>
      <c r="E130" s="214">
        <v>0</v>
      </c>
    </row>
    <row r="131" spans="1:5" ht="12.75">
      <c r="A131" s="217" t="s">
        <v>604</v>
      </c>
      <c r="B131" s="214">
        <v>0</v>
      </c>
      <c r="C131" s="214">
        <v>0</v>
      </c>
      <c r="D131" s="219"/>
      <c r="E131" s="214">
        <v>0</v>
      </c>
    </row>
    <row r="132" spans="1:5" ht="12.75">
      <c r="A132" s="217" t="s">
        <v>605</v>
      </c>
      <c r="B132" s="214">
        <v>0</v>
      </c>
      <c r="C132" s="214">
        <v>0</v>
      </c>
      <c r="D132" s="219"/>
      <c r="E132" s="214">
        <v>0</v>
      </c>
    </row>
    <row r="133" spans="1:5" ht="12.75">
      <c r="A133" s="16" t="s">
        <v>621</v>
      </c>
      <c r="B133" s="122"/>
      <c r="C133" s="122"/>
      <c r="D133" s="206"/>
      <c r="E133" s="214"/>
    </row>
    <row r="134" spans="1:5" ht="12.75">
      <c r="A134" s="216" t="s">
        <v>607</v>
      </c>
      <c r="B134" s="122">
        <v>0</v>
      </c>
      <c r="C134" s="122">
        <v>0</v>
      </c>
      <c r="D134" s="218"/>
      <c r="E134" s="214">
        <v>0</v>
      </c>
    </row>
    <row r="135" spans="1:5" ht="12.75">
      <c r="A135" s="187" t="s">
        <v>603</v>
      </c>
      <c r="B135" s="122">
        <v>0</v>
      </c>
      <c r="C135" s="122">
        <v>0</v>
      </c>
      <c r="D135" s="218"/>
      <c r="E135" s="214">
        <v>0</v>
      </c>
    </row>
    <row r="136" spans="1:5" ht="12.75">
      <c r="A136" s="217" t="s">
        <v>604</v>
      </c>
      <c r="B136" s="214">
        <v>0</v>
      </c>
      <c r="C136" s="214">
        <v>0</v>
      </c>
      <c r="D136" s="219"/>
      <c r="E136" s="214">
        <v>0</v>
      </c>
    </row>
    <row r="137" spans="1:5" ht="12.75">
      <c r="A137" s="217" t="s">
        <v>605</v>
      </c>
      <c r="B137" s="214">
        <v>0</v>
      </c>
      <c r="C137" s="214">
        <v>0</v>
      </c>
      <c r="D137" s="219"/>
      <c r="E137" s="214">
        <v>0</v>
      </c>
    </row>
    <row r="138" spans="1:5" ht="38.25">
      <c r="A138" s="177" t="s">
        <v>516</v>
      </c>
      <c r="B138" s="122"/>
      <c r="C138" s="122"/>
      <c r="D138" s="206"/>
      <c r="E138" s="214"/>
    </row>
    <row r="139" spans="1:5" ht="12.75">
      <c r="A139" s="216" t="s">
        <v>607</v>
      </c>
      <c r="B139" s="122">
        <v>0</v>
      </c>
      <c r="C139" s="122">
        <v>0</v>
      </c>
      <c r="D139" s="218"/>
      <c r="E139" s="214">
        <v>0</v>
      </c>
    </row>
    <row r="140" spans="1:5" ht="12.75">
      <c r="A140" s="187" t="s">
        <v>603</v>
      </c>
      <c r="B140" s="122">
        <v>0</v>
      </c>
      <c r="C140" s="122">
        <v>0</v>
      </c>
      <c r="D140" s="218"/>
      <c r="E140" s="214">
        <v>0</v>
      </c>
    </row>
    <row r="141" spans="1:5" ht="12.75">
      <c r="A141" s="217" t="s">
        <v>604</v>
      </c>
      <c r="B141" s="214">
        <v>0</v>
      </c>
      <c r="C141" s="214">
        <v>0</v>
      </c>
      <c r="D141" s="219"/>
      <c r="E141" s="214">
        <v>0</v>
      </c>
    </row>
    <row r="142" spans="1:5" ht="12.75">
      <c r="A142" s="217" t="s">
        <v>605</v>
      </c>
      <c r="B142" s="214">
        <v>0</v>
      </c>
      <c r="C142" s="214">
        <v>0</v>
      </c>
      <c r="D142" s="219"/>
      <c r="E142" s="214">
        <v>0</v>
      </c>
    </row>
    <row r="143" spans="1:5" ht="25.5">
      <c r="A143" s="177" t="s">
        <v>622</v>
      </c>
      <c r="B143" s="122"/>
      <c r="C143" s="122"/>
      <c r="D143" s="206"/>
      <c r="E143" s="214"/>
    </row>
    <row r="144" spans="1:5" ht="12.75">
      <c r="A144" s="216" t="s">
        <v>607</v>
      </c>
      <c r="B144" s="122">
        <v>0</v>
      </c>
      <c r="C144" s="122">
        <v>5</v>
      </c>
      <c r="D144" s="218"/>
      <c r="E144" s="214">
        <v>0</v>
      </c>
    </row>
    <row r="145" spans="1:5" ht="12.75">
      <c r="A145" s="187" t="s">
        <v>603</v>
      </c>
      <c r="B145" s="122">
        <v>0</v>
      </c>
      <c r="C145" s="122">
        <v>0</v>
      </c>
      <c r="D145" s="218"/>
      <c r="E145" s="214">
        <v>0</v>
      </c>
    </row>
    <row r="146" spans="1:5" ht="12.75">
      <c r="A146" s="217" t="s">
        <v>604</v>
      </c>
      <c r="B146" s="214">
        <v>0</v>
      </c>
      <c r="C146" s="214">
        <v>0</v>
      </c>
      <c r="D146" s="219"/>
      <c r="E146" s="214">
        <v>0</v>
      </c>
    </row>
    <row r="147" spans="1:5" ht="12.75">
      <c r="A147" s="217" t="s">
        <v>605</v>
      </c>
      <c r="B147" s="214">
        <v>0</v>
      </c>
      <c r="C147" s="214">
        <v>0</v>
      </c>
      <c r="D147" s="219"/>
      <c r="E147" s="214">
        <v>0</v>
      </c>
    </row>
    <row r="148" spans="1:5" ht="25.5">
      <c r="A148" s="177" t="s">
        <v>623</v>
      </c>
      <c r="B148" s="122"/>
      <c r="C148" s="122"/>
      <c r="D148" s="206"/>
      <c r="E148" s="214"/>
    </row>
    <row r="149" spans="1:5" ht="12.75">
      <c r="A149" s="216" t="s">
        <v>607</v>
      </c>
      <c r="B149" s="122">
        <v>0</v>
      </c>
      <c r="C149" s="122">
        <v>0</v>
      </c>
      <c r="D149" s="218"/>
      <c r="E149" s="214">
        <v>0</v>
      </c>
    </row>
    <row r="150" spans="1:5" ht="12.75">
      <c r="A150" s="187" t="s">
        <v>603</v>
      </c>
      <c r="B150" s="122">
        <v>0</v>
      </c>
      <c r="C150" s="122">
        <v>0</v>
      </c>
      <c r="D150" s="218"/>
      <c r="E150" s="214">
        <v>0</v>
      </c>
    </row>
    <row r="151" spans="1:5" ht="12.75">
      <c r="A151" s="217" t="s">
        <v>604</v>
      </c>
      <c r="B151" s="214">
        <v>0</v>
      </c>
      <c r="C151" s="214">
        <v>0</v>
      </c>
      <c r="D151" s="219"/>
      <c r="E151" s="214">
        <v>0</v>
      </c>
    </row>
    <row r="152" spans="1:5" ht="12.75">
      <c r="A152" s="217" t="s">
        <v>605</v>
      </c>
      <c r="B152" s="214">
        <v>0</v>
      </c>
      <c r="C152" s="214">
        <v>0</v>
      </c>
      <c r="D152" s="219"/>
      <c r="E152" s="214">
        <v>0</v>
      </c>
    </row>
    <row r="153" spans="1:5" ht="38.25" customHeight="1">
      <c r="A153" s="665" t="s">
        <v>624</v>
      </c>
      <c r="B153" s="665"/>
      <c r="C153" s="28"/>
      <c r="D153" s="28"/>
      <c r="E153" s="28"/>
    </row>
    <row r="154" spans="2:5" ht="12.75">
      <c r="B154" s="28"/>
      <c r="C154" s="28"/>
      <c r="D154" s="28"/>
      <c r="E154" s="28"/>
    </row>
    <row r="155" spans="1:5" ht="12.75">
      <c r="A155" s="64"/>
      <c r="B155" s="28"/>
      <c r="C155" s="28"/>
      <c r="D155" s="28"/>
      <c r="E155" s="28"/>
    </row>
    <row r="156" spans="1:5" ht="12.75">
      <c r="A156" s="64" t="s">
        <v>625</v>
      </c>
      <c r="B156" s="4"/>
      <c r="C156" s="4"/>
      <c r="D156" s="4"/>
      <c r="E156" s="4" t="s">
        <v>626</v>
      </c>
    </row>
    <row r="157" spans="2:5" ht="12.75">
      <c r="B157" s="28"/>
      <c r="C157" s="28"/>
      <c r="D157" s="28"/>
      <c r="E157" s="28"/>
    </row>
    <row r="158" spans="1:5" ht="12.75">
      <c r="A158" s="24" t="s">
        <v>349</v>
      </c>
      <c r="B158" s="28"/>
      <c r="C158" s="28"/>
      <c r="D158" s="28"/>
      <c r="E158" s="28"/>
    </row>
    <row r="159" spans="1:5" ht="12.75">
      <c r="A159" s="24" t="s">
        <v>350</v>
      </c>
      <c r="B159" s="28"/>
      <c r="C159" s="28"/>
      <c r="D159" s="28"/>
      <c r="E159" s="28"/>
    </row>
    <row r="160" spans="2:5" ht="12.75">
      <c r="B160" s="28"/>
      <c r="C160" s="28"/>
      <c r="D160" s="28"/>
      <c r="E160" s="28"/>
    </row>
    <row r="161" spans="2:5" ht="12.75">
      <c r="B161" s="28"/>
      <c r="C161" s="28"/>
      <c r="D161" s="28"/>
      <c r="E161" s="28"/>
    </row>
    <row r="162" spans="2:5" ht="12.75">
      <c r="B162" s="28"/>
      <c r="C162" s="28"/>
      <c r="D162" s="28"/>
      <c r="E162" s="28"/>
    </row>
    <row r="163" spans="2:5" ht="12.75">
      <c r="B163" s="28"/>
      <c r="C163" s="28"/>
      <c r="D163" s="28"/>
      <c r="E163" s="28"/>
    </row>
    <row r="164" spans="2:5" ht="12.75">
      <c r="B164" s="28"/>
      <c r="C164" s="28"/>
      <c r="D164" s="28"/>
      <c r="E164" s="28"/>
    </row>
    <row r="165" spans="2:5" ht="12.75">
      <c r="B165" s="28"/>
      <c r="C165" s="28"/>
      <c r="D165" s="28"/>
      <c r="E165" s="28"/>
    </row>
    <row r="166" spans="2:5" ht="12.75">
      <c r="B166" s="28"/>
      <c r="C166" s="28"/>
      <c r="D166" s="28"/>
      <c r="E166" s="28"/>
    </row>
    <row r="167" spans="2:5" ht="12.75">
      <c r="B167" s="28"/>
      <c r="C167" s="28"/>
      <c r="D167" s="28"/>
      <c r="E167" s="28"/>
    </row>
  </sheetData>
  <mergeCells count="4">
    <mergeCell ref="A2:E2"/>
    <mergeCell ref="A4:E4"/>
    <mergeCell ref="A5:E5"/>
    <mergeCell ref="A153:B153"/>
  </mergeCells>
  <printOptions/>
  <pageMargins left="0.75" right="0.19" top="0.31" bottom="0.35" header="0.17" footer="0.1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F1">
      <selection activeCell="A7" sqref="A7"/>
    </sheetView>
  </sheetViews>
  <sheetFormatPr defaultColWidth="9.140625" defaultRowHeight="17.25" customHeight="1"/>
  <cols>
    <col min="1" max="1" width="37.421875" style="167" hidden="1" customWidth="1"/>
    <col min="2" max="2" width="13.140625" style="167" hidden="1" customWidth="1"/>
    <col min="3" max="3" width="11.7109375" style="172" hidden="1" customWidth="1"/>
    <col min="4" max="4" width="12.421875" style="4" hidden="1" customWidth="1"/>
    <col min="5" max="5" width="11.00390625" style="65" hidden="1" customWidth="1"/>
    <col min="6" max="6" width="37.421875" style="167" customWidth="1"/>
    <col min="7" max="7" width="13.140625" style="167" customWidth="1"/>
    <col min="8" max="8" width="8.8515625" style="65" customWidth="1"/>
    <col min="9" max="9" width="12.421875" style="4" customWidth="1"/>
    <col min="10" max="10" width="9.8515625" style="65" customWidth="1"/>
  </cols>
  <sheetData>
    <row r="1" spans="2:10" ht="17.25" customHeight="1">
      <c r="B1" s="72"/>
      <c r="E1" s="172" t="s">
        <v>565</v>
      </c>
      <c r="G1" s="72"/>
      <c r="H1" s="169"/>
      <c r="J1" s="172" t="s">
        <v>565</v>
      </c>
    </row>
    <row r="2" spans="1:6" ht="17.25" customHeight="1">
      <c r="A2" s="167" t="s">
        <v>566</v>
      </c>
      <c r="F2" s="167" t="s">
        <v>566</v>
      </c>
    </row>
    <row r="4" spans="1:10" ht="32.25" customHeight="1">
      <c r="A4" s="668" t="s">
        <v>567</v>
      </c>
      <c r="B4" s="668"/>
      <c r="C4" s="668"/>
      <c r="D4" s="668"/>
      <c r="E4" s="668"/>
      <c r="F4" s="669" t="s">
        <v>567</v>
      </c>
      <c r="G4" s="669"/>
      <c r="H4" s="669"/>
      <c r="I4" s="669"/>
      <c r="J4" s="669"/>
    </row>
    <row r="5" spans="1:10" ht="17.25" customHeight="1">
      <c r="A5" s="653" t="s">
        <v>527</v>
      </c>
      <c r="B5" s="653"/>
      <c r="C5" s="653"/>
      <c r="D5" s="653"/>
      <c r="E5" s="653"/>
      <c r="F5" s="653" t="s">
        <v>527</v>
      </c>
      <c r="G5" s="653"/>
      <c r="H5" s="653"/>
      <c r="I5" s="653"/>
      <c r="J5" s="653"/>
    </row>
    <row r="6" spans="5:10" ht="17.25" customHeight="1">
      <c r="E6" s="172" t="s">
        <v>317</v>
      </c>
      <c r="J6" s="172" t="s">
        <v>317</v>
      </c>
    </row>
    <row r="7" spans="1:10" ht="51">
      <c r="A7" s="8" t="s">
        <v>318</v>
      </c>
      <c r="B7" s="8" t="s">
        <v>490</v>
      </c>
      <c r="C7" s="173" t="s">
        <v>529</v>
      </c>
      <c r="D7" s="8" t="s">
        <v>530</v>
      </c>
      <c r="E7" s="34" t="s">
        <v>531</v>
      </c>
      <c r="F7" s="8" t="s">
        <v>318</v>
      </c>
      <c r="G7" s="8" t="s">
        <v>490</v>
      </c>
      <c r="H7" s="173" t="s">
        <v>529</v>
      </c>
      <c r="I7" s="8" t="s">
        <v>530</v>
      </c>
      <c r="J7" s="34" t="s">
        <v>531</v>
      </c>
    </row>
    <row r="8" spans="1:10" ht="12.75">
      <c r="A8" s="174">
        <v>1</v>
      </c>
      <c r="B8" s="174">
        <v>2</v>
      </c>
      <c r="C8" s="175">
        <v>3</v>
      </c>
      <c r="D8" s="174">
        <v>4</v>
      </c>
      <c r="E8" s="176">
        <v>5</v>
      </c>
      <c r="F8" s="174">
        <v>1</v>
      </c>
      <c r="G8" s="174">
        <v>2</v>
      </c>
      <c r="H8" s="176">
        <v>3</v>
      </c>
      <c r="I8" s="174">
        <v>4</v>
      </c>
      <c r="J8" s="176">
        <v>5</v>
      </c>
    </row>
    <row r="9" spans="1:10" ht="25.5">
      <c r="A9" s="177" t="s">
        <v>568</v>
      </c>
      <c r="B9" s="177">
        <f>SUM(B10:B12)</f>
        <v>1438619</v>
      </c>
      <c r="C9" s="178">
        <f>SUM(C10:C12)</f>
        <v>593285.3400000001</v>
      </c>
      <c r="D9" s="179">
        <f>C9/B9*100</f>
        <v>41.239921063186294</v>
      </c>
      <c r="E9" s="180">
        <f>E10+E11+E12</f>
        <v>171864.34000000003</v>
      </c>
      <c r="F9" s="177" t="s">
        <v>568</v>
      </c>
      <c r="G9" s="178">
        <f>SUM(G10:G12)</f>
        <v>1439</v>
      </c>
      <c r="H9" s="178">
        <f>SUM(H10:H12)</f>
        <v>594</v>
      </c>
      <c r="I9" s="181">
        <f>H9/G9*100</f>
        <v>41.278665740097296</v>
      </c>
      <c r="J9" s="178">
        <f>SUM(J10:J12)</f>
        <v>173</v>
      </c>
    </row>
    <row r="10" spans="1:10" ht="25.5">
      <c r="A10" s="89" t="s">
        <v>569</v>
      </c>
      <c r="B10" s="175">
        <v>1366400</v>
      </c>
      <c r="C10" s="175">
        <v>521066.34</v>
      </c>
      <c r="D10" s="182">
        <f aca="true" t="shared" si="0" ref="D10:D34">C10/B10*100</f>
        <v>38.134246194379394</v>
      </c>
      <c r="E10" s="175">
        <f>C10-'[5]janvāris'!C10</f>
        <v>135728.34000000003</v>
      </c>
      <c r="F10" s="89" t="s">
        <v>569</v>
      </c>
      <c r="G10" s="183">
        <f>ROUND(B10/1000,)+1</f>
        <v>1367</v>
      </c>
      <c r="H10" s="183">
        <f>ROUND(C10/1000,)+1</f>
        <v>522</v>
      </c>
      <c r="I10" s="184">
        <f aca="true" t="shared" si="1" ref="I10:I16">H10/G10*100</f>
        <v>38.18580833942941</v>
      </c>
      <c r="J10" s="183">
        <f>ROUND(E10/1000,)+1</f>
        <v>137</v>
      </c>
    </row>
    <row r="11" spans="1:10" ht="25.5">
      <c r="A11" s="89" t="s">
        <v>570</v>
      </c>
      <c r="B11" s="175">
        <f>159616-87397</f>
        <v>72219</v>
      </c>
      <c r="C11" s="175">
        <f>159616-87397</f>
        <v>72219</v>
      </c>
      <c r="D11" s="182">
        <f t="shared" si="0"/>
        <v>100</v>
      </c>
      <c r="E11" s="175">
        <f>C11-'[5]janvāris'!C11</f>
        <v>36136</v>
      </c>
      <c r="F11" s="89" t="s">
        <v>570</v>
      </c>
      <c r="G11" s="183">
        <f>ROUND(B11/1000,)</f>
        <v>72</v>
      </c>
      <c r="H11" s="183">
        <f>ROUND(C11/1000,)</f>
        <v>72</v>
      </c>
      <c r="I11" s="184">
        <f t="shared" si="1"/>
        <v>100</v>
      </c>
      <c r="J11" s="183">
        <f>ROUND(E11/1000,)</f>
        <v>36</v>
      </c>
    </row>
    <row r="12" spans="1:10" ht="25.5">
      <c r="A12" s="89" t="s">
        <v>571</v>
      </c>
      <c r="B12" s="183"/>
      <c r="C12" s="175"/>
      <c r="D12" s="182"/>
      <c r="E12" s="175"/>
      <c r="F12" s="89" t="s">
        <v>571</v>
      </c>
      <c r="G12" s="183"/>
      <c r="H12" s="183"/>
      <c r="I12" s="184"/>
      <c r="J12" s="183"/>
    </row>
    <row r="13" spans="1:10" ht="17.25" customHeight="1">
      <c r="A13" s="177" t="s">
        <v>572</v>
      </c>
      <c r="B13" s="185">
        <f>SUM(B14,B31)</f>
        <v>1690543</v>
      </c>
      <c r="C13" s="186">
        <f>SUM(C14,C31)</f>
        <v>591102.75</v>
      </c>
      <c r="D13" s="179">
        <f t="shared" si="0"/>
        <v>34.96525968283563</v>
      </c>
      <c r="E13" s="175">
        <f>C13-'[5]janvāris'!C13</f>
        <v>351156.99</v>
      </c>
      <c r="F13" s="177" t="s">
        <v>572</v>
      </c>
      <c r="G13" s="186">
        <f>SUM(G14,G31)</f>
        <v>1691</v>
      </c>
      <c r="H13" s="186">
        <f>SUM(H14,H31)</f>
        <v>589</v>
      </c>
      <c r="I13" s="181">
        <f t="shared" si="1"/>
        <v>34.831460674157306</v>
      </c>
      <c r="J13" s="186">
        <f>J14+J31</f>
        <v>344</v>
      </c>
    </row>
    <row r="14" spans="1:10" ht="17.25" customHeight="1">
      <c r="A14" s="187" t="s">
        <v>573</v>
      </c>
      <c r="B14" s="185">
        <f>SUM(B15,B22,B25)</f>
        <v>1479338</v>
      </c>
      <c r="C14" s="188">
        <f>SUM(C15,C22,C25)</f>
        <v>537714.44</v>
      </c>
      <c r="D14" s="179">
        <f t="shared" si="0"/>
        <v>36.348315259933834</v>
      </c>
      <c r="E14" s="175">
        <f>C14-'[5]janvāris'!C14</f>
        <v>325049.7899999999</v>
      </c>
      <c r="F14" s="187" t="s">
        <v>573</v>
      </c>
      <c r="G14" s="186">
        <f>SUM(G15,G22,G25)</f>
        <v>1480</v>
      </c>
      <c r="H14" s="186">
        <f>SUM(H15,H22,H25)-1</f>
        <v>536</v>
      </c>
      <c r="I14" s="181">
        <f t="shared" si="1"/>
        <v>36.21621621621622</v>
      </c>
      <c r="J14" s="186">
        <f>J15+J22+J25</f>
        <v>318</v>
      </c>
    </row>
    <row r="15" spans="1:10" ht="17.25" customHeight="1">
      <c r="A15" s="187" t="s">
        <v>574</v>
      </c>
      <c r="B15" s="186">
        <f>SUM(B16,B17,B18,B21)</f>
        <v>1278577</v>
      </c>
      <c r="C15" s="188">
        <f>SUM(C16,C17,C18,C21)</f>
        <v>461405.76</v>
      </c>
      <c r="D15" s="179">
        <f t="shared" si="0"/>
        <v>36.087444088232466</v>
      </c>
      <c r="E15" s="175">
        <f>C15-'[5]janvāris'!C15</f>
        <v>301589.11</v>
      </c>
      <c r="F15" s="187" t="s">
        <v>574</v>
      </c>
      <c r="G15" s="186">
        <f>SUM(G16,G17,G18,G21)</f>
        <v>1279</v>
      </c>
      <c r="H15" s="186">
        <f>SUM(H16,H17,H18,H21)</f>
        <v>461</v>
      </c>
      <c r="I15" s="181">
        <f t="shared" si="1"/>
        <v>36.04378420641126</v>
      </c>
      <c r="J15" s="186">
        <f>SUM(J16:J18)</f>
        <v>295</v>
      </c>
    </row>
    <row r="16" spans="1:10" ht="17.25" customHeight="1">
      <c r="A16" s="189" t="s">
        <v>575</v>
      </c>
      <c r="B16" s="175">
        <v>157502</v>
      </c>
      <c r="C16" s="175">
        <f>'[5]darbam'!B9</f>
        <v>66924.26</v>
      </c>
      <c r="D16" s="182">
        <f t="shared" si="0"/>
        <v>42.49105408185292</v>
      </c>
      <c r="E16" s="175">
        <f>C16-'[5]janvāris'!C16</f>
        <v>43868.259999999995</v>
      </c>
      <c r="F16" s="189" t="s">
        <v>575</v>
      </c>
      <c r="G16" s="183">
        <f>ROUND(B16/1000,)</f>
        <v>158</v>
      </c>
      <c r="H16" s="183">
        <f>ROUND(C16/1000,)</f>
        <v>67</v>
      </c>
      <c r="I16" s="184">
        <f t="shared" si="1"/>
        <v>42.405063291139236</v>
      </c>
      <c r="J16" s="183">
        <f>ROUND(E16/1000,)</f>
        <v>44</v>
      </c>
    </row>
    <row r="17" spans="1:10" ht="25.5">
      <c r="A17" s="89" t="s">
        <v>576</v>
      </c>
      <c r="B17" s="190" t="s">
        <v>360</v>
      </c>
      <c r="C17" s="175">
        <f>'[5]darbam'!B10</f>
        <v>9393.7</v>
      </c>
      <c r="D17" s="182" t="s">
        <v>577</v>
      </c>
      <c r="E17" s="175">
        <f>C17-'[5]janvāris'!C17</f>
        <v>9393.7</v>
      </c>
      <c r="F17" s="89" t="s">
        <v>576</v>
      </c>
      <c r="G17" s="191" t="s">
        <v>360</v>
      </c>
      <c r="H17" s="183">
        <f>ROUND(C17/1000,)</f>
        <v>9</v>
      </c>
      <c r="I17" s="184"/>
      <c r="J17" s="183">
        <f>ROUND(E17/1000,)-1</f>
        <v>8</v>
      </c>
    </row>
    <row r="18" spans="1:10" ht="17.25" customHeight="1">
      <c r="A18" s="89" t="s">
        <v>578</v>
      </c>
      <c r="B18" s="191">
        <f>1048856+159616-87397</f>
        <v>1121075</v>
      </c>
      <c r="C18" s="192">
        <f>C19+C20</f>
        <v>385087.8</v>
      </c>
      <c r="D18" s="182">
        <f t="shared" si="0"/>
        <v>34.349869544856496</v>
      </c>
      <c r="E18" s="175">
        <f>C18-'[5]janvāris'!C18</f>
        <v>248327.15</v>
      </c>
      <c r="F18" s="89" t="s">
        <v>578</v>
      </c>
      <c r="G18" s="183">
        <f>ROUND(B18/1000,)</f>
        <v>1121</v>
      </c>
      <c r="H18" s="183">
        <f>ROUND(C18/1000,)</f>
        <v>385</v>
      </c>
      <c r="I18" s="184">
        <f>H18/G18*100</f>
        <v>34.34433541480821</v>
      </c>
      <c r="J18" s="183">
        <f>SUM(J19:J20)</f>
        <v>243</v>
      </c>
    </row>
    <row r="19" spans="1:10" ht="17.25" customHeight="1">
      <c r="A19" s="193" t="s">
        <v>579</v>
      </c>
      <c r="B19" s="194" t="s">
        <v>360</v>
      </c>
      <c r="C19" s="195">
        <f>'[5]darbam'!B12+159616-87397</f>
        <v>346616.76</v>
      </c>
      <c r="D19" s="182"/>
      <c r="E19" s="175">
        <f>C19-'[5]janvāris'!C19-6000</f>
        <v>218062.76</v>
      </c>
      <c r="F19" s="193" t="s">
        <v>579</v>
      </c>
      <c r="G19" s="196" t="s">
        <v>360</v>
      </c>
      <c r="H19" s="183">
        <f>ROUND(C19/1000,)</f>
        <v>347</v>
      </c>
      <c r="I19" s="184"/>
      <c r="J19" s="183">
        <f>ROUND(E19/1000,)+2</f>
        <v>220</v>
      </c>
    </row>
    <row r="20" spans="1:10" ht="12.75">
      <c r="A20" s="193" t="s">
        <v>580</v>
      </c>
      <c r="B20" s="194" t="s">
        <v>360</v>
      </c>
      <c r="C20" s="195">
        <f>'[5]darbam'!B13</f>
        <v>38471.04</v>
      </c>
      <c r="D20" s="182"/>
      <c r="E20" s="175">
        <f>C20-'[5]janvāris'!C20</f>
        <v>24264.39</v>
      </c>
      <c r="F20" s="193" t="s">
        <v>580</v>
      </c>
      <c r="G20" s="196" t="s">
        <v>360</v>
      </c>
      <c r="H20" s="183">
        <f>ROUND(C20/1000,)</f>
        <v>38</v>
      </c>
      <c r="I20" s="184"/>
      <c r="J20" s="183">
        <f>ROUND(E20/1000,)-1</f>
        <v>23</v>
      </c>
    </row>
    <row r="21" spans="1:10" ht="12.75">
      <c r="A21" s="89" t="s">
        <v>581</v>
      </c>
      <c r="B21" s="190"/>
      <c r="C21" s="175"/>
      <c r="D21" s="182"/>
      <c r="E21" s="175">
        <f>C21-'[5]janvāris'!C21</f>
        <v>0</v>
      </c>
      <c r="F21" s="89" t="s">
        <v>581</v>
      </c>
      <c r="G21" s="191"/>
      <c r="H21" s="175"/>
      <c r="I21" s="184"/>
      <c r="J21" s="175"/>
    </row>
    <row r="22" spans="1:10" ht="25.5">
      <c r="A22" s="95" t="s">
        <v>582</v>
      </c>
      <c r="B22" s="190"/>
      <c r="C22" s="186"/>
      <c r="D22" s="182"/>
      <c r="E22" s="175"/>
      <c r="F22" s="95" t="s">
        <v>582</v>
      </c>
      <c r="G22" s="191"/>
      <c r="H22" s="186"/>
      <c r="I22" s="184"/>
      <c r="J22" s="186"/>
    </row>
    <row r="23" spans="1:10" ht="25.5">
      <c r="A23" s="89" t="s">
        <v>583</v>
      </c>
      <c r="B23" s="190"/>
      <c r="C23" s="175"/>
      <c r="D23" s="182"/>
      <c r="E23" s="175"/>
      <c r="F23" s="89" t="s">
        <v>583</v>
      </c>
      <c r="G23" s="191"/>
      <c r="H23" s="175"/>
      <c r="I23" s="184"/>
      <c r="J23" s="175"/>
    </row>
    <row r="24" spans="1:10" ht="25.5">
      <c r="A24" s="89" t="s">
        <v>584</v>
      </c>
      <c r="B24" s="190"/>
      <c r="C24" s="175"/>
      <c r="D24" s="182"/>
      <c r="E24" s="175"/>
      <c r="F24" s="89" t="s">
        <v>584</v>
      </c>
      <c r="G24" s="191"/>
      <c r="H24" s="175"/>
      <c r="I24" s="184"/>
      <c r="J24" s="175"/>
    </row>
    <row r="25" spans="1:10" ht="12.75">
      <c r="A25" s="57" t="s">
        <v>585</v>
      </c>
      <c r="B25" s="186">
        <f>SUM(B26:B30)</f>
        <v>200761</v>
      </c>
      <c r="C25" s="186">
        <f>SUM(C26:C30)</f>
        <v>76308.68</v>
      </c>
      <c r="D25" s="179">
        <f t="shared" si="0"/>
        <v>38.009713041875656</v>
      </c>
      <c r="E25" s="175">
        <f>C25-'[5]janvāris'!C25</f>
        <v>23460.679999999993</v>
      </c>
      <c r="F25" s="57" t="s">
        <v>585</v>
      </c>
      <c r="G25" s="186">
        <f>SUM(G26:G30)</f>
        <v>201</v>
      </c>
      <c r="H25" s="186">
        <f>SUM(H26:H30)</f>
        <v>76</v>
      </c>
      <c r="I25" s="181">
        <f aca="true" t="shared" si="2" ref="I25:I34">H25/G25*100</f>
        <v>37.81094527363184</v>
      </c>
      <c r="J25" s="186">
        <f aca="true" t="shared" si="3" ref="J25:J36">ROUND(E25/1000,)</f>
        <v>23</v>
      </c>
    </row>
    <row r="26" spans="1:10" ht="12.75">
      <c r="A26" s="189" t="s">
        <v>586</v>
      </c>
      <c r="B26" s="191">
        <v>8100</v>
      </c>
      <c r="C26" s="175">
        <f>'[5]darbam'!B20</f>
        <v>4100</v>
      </c>
      <c r="D26" s="179">
        <f t="shared" si="0"/>
        <v>50.617283950617285</v>
      </c>
      <c r="E26" s="175">
        <f>C26-'[5]janvāris'!C26</f>
        <v>4100</v>
      </c>
      <c r="F26" s="189" t="s">
        <v>586</v>
      </c>
      <c r="G26" s="183">
        <f>ROUND(B26/1000,)</f>
        <v>8</v>
      </c>
      <c r="H26" s="183">
        <f>ROUND(C26/1000,)</f>
        <v>4</v>
      </c>
      <c r="I26" s="184">
        <f t="shared" si="2"/>
        <v>50</v>
      </c>
      <c r="J26" s="183">
        <f t="shared" si="3"/>
        <v>4</v>
      </c>
    </row>
    <row r="27" spans="1:10" ht="12.75">
      <c r="A27" s="189" t="s">
        <v>587</v>
      </c>
      <c r="B27" s="191"/>
      <c r="C27" s="175">
        <f>'[5]darbam'!B21</f>
        <v>300</v>
      </c>
      <c r="D27" s="179"/>
      <c r="E27" s="175">
        <f>C27-'[5]janvāris'!C27</f>
        <v>300</v>
      </c>
      <c r="F27" s="189" t="s">
        <v>587</v>
      </c>
      <c r="G27" s="191"/>
      <c r="H27" s="183"/>
      <c r="I27" s="184"/>
      <c r="J27" s="183">
        <f t="shared" si="3"/>
        <v>0</v>
      </c>
    </row>
    <row r="28" spans="1:10" ht="12.75">
      <c r="A28" s="89" t="s">
        <v>588</v>
      </c>
      <c r="B28" s="191"/>
      <c r="C28" s="175"/>
      <c r="D28" s="182"/>
      <c r="E28" s="175"/>
      <c r="F28" s="89" t="s">
        <v>588</v>
      </c>
      <c r="G28" s="191"/>
      <c r="H28" s="183"/>
      <c r="I28" s="184"/>
      <c r="J28" s="183">
        <f t="shared" si="3"/>
        <v>0</v>
      </c>
    </row>
    <row r="29" spans="1:10" ht="12.75">
      <c r="A29" s="89" t="s">
        <v>589</v>
      </c>
      <c r="B29" s="175">
        <v>57589</v>
      </c>
      <c r="C29" s="175">
        <f>'[5]darbam'!B23</f>
        <v>13294.8</v>
      </c>
      <c r="D29" s="182">
        <f t="shared" si="0"/>
        <v>23.085658719547133</v>
      </c>
      <c r="E29" s="175">
        <f>C29-'[5]janvāris'!C29</f>
        <v>6772.799999999999</v>
      </c>
      <c r="F29" s="89" t="s">
        <v>589</v>
      </c>
      <c r="G29" s="183">
        <f>ROUND(B29/1000,)</f>
        <v>58</v>
      </c>
      <c r="H29" s="183">
        <f>ROUND(C29/1000,)</f>
        <v>13</v>
      </c>
      <c r="I29" s="184">
        <f t="shared" si="2"/>
        <v>22.413793103448278</v>
      </c>
      <c r="J29" s="183">
        <f>ROUND(E29/1000,)-1</f>
        <v>6</v>
      </c>
    </row>
    <row r="30" spans="1:10" ht="12.75">
      <c r="A30" s="89" t="s">
        <v>590</v>
      </c>
      <c r="B30" s="175">
        <v>135072</v>
      </c>
      <c r="C30" s="175">
        <f>'[5]darbam'!B24</f>
        <v>58613.88</v>
      </c>
      <c r="D30" s="182">
        <f t="shared" si="0"/>
        <v>43.39454513148543</v>
      </c>
      <c r="E30" s="175">
        <f>C30-'[5]janvāris'!C30</f>
        <v>12287.879999999997</v>
      </c>
      <c r="F30" s="89" t="s">
        <v>590</v>
      </c>
      <c r="G30" s="183">
        <f>ROUND(B30/1000,)</f>
        <v>135</v>
      </c>
      <c r="H30" s="183">
        <f>ROUND(C30/1000,)</f>
        <v>59</v>
      </c>
      <c r="I30" s="184">
        <f t="shared" si="2"/>
        <v>43.7037037037037</v>
      </c>
      <c r="J30" s="183">
        <f>ROUND(E30/1000,)+1</f>
        <v>13</v>
      </c>
    </row>
    <row r="31" spans="1:10" ht="12.75">
      <c r="A31" s="197" t="s">
        <v>591</v>
      </c>
      <c r="B31" s="186">
        <f>SUM(B32:B33)</f>
        <v>211205</v>
      </c>
      <c r="C31" s="186">
        <f>SUM(C32:C33)</f>
        <v>53388.31</v>
      </c>
      <c r="D31" s="179">
        <f t="shared" si="0"/>
        <v>25.277957434719823</v>
      </c>
      <c r="E31" s="175">
        <f>C31-'[5]janvāris'!C31</f>
        <v>26107.199999999997</v>
      </c>
      <c r="F31" s="197" t="s">
        <v>591</v>
      </c>
      <c r="G31" s="186">
        <f>SUM(G32:G33)</f>
        <v>211</v>
      </c>
      <c r="H31" s="198">
        <f>SUM(H32:H33)</f>
        <v>53</v>
      </c>
      <c r="I31" s="181">
        <f>H31/G31*100</f>
        <v>25.118483412322274</v>
      </c>
      <c r="J31" s="198">
        <f t="shared" si="3"/>
        <v>26</v>
      </c>
    </row>
    <row r="32" spans="1:10" ht="17.25" customHeight="1">
      <c r="A32" s="89" t="s">
        <v>592</v>
      </c>
      <c r="B32" s="175">
        <v>211205</v>
      </c>
      <c r="C32" s="175">
        <f>'[5]darbam'!B27</f>
        <v>53388.31</v>
      </c>
      <c r="D32" s="182">
        <f t="shared" si="0"/>
        <v>25.277957434719823</v>
      </c>
      <c r="E32" s="175">
        <f>C32-'[5]janvāris'!C32</f>
        <v>26107.199999999997</v>
      </c>
      <c r="F32" s="89" t="s">
        <v>592</v>
      </c>
      <c r="G32" s="183">
        <f>ROUND(B32/1000,)</f>
        <v>211</v>
      </c>
      <c r="H32" s="183">
        <f>ROUND(C32/1000,)</f>
        <v>53</v>
      </c>
      <c r="I32" s="184">
        <f t="shared" si="2"/>
        <v>25.118483412322274</v>
      </c>
      <c r="J32" s="183">
        <f t="shared" si="3"/>
        <v>26</v>
      </c>
    </row>
    <row r="33" spans="1:10" ht="17.25" customHeight="1">
      <c r="A33" s="89" t="s">
        <v>593</v>
      </c>
      <c r="B33" s="183"/>
      <c r="C33" s="175"/>
      <c r="D33" s="182"/>
      <c r="E33" s="175"/>
      <c r="F33" s="89" t="s">
        <v>593</v>
      </c>
      <c r="G33" s="183">
        <f>ROUND(B33/1000,)</f>
        <v>0</v>
      </c>
      <c r="H33" s="183">
        <f>ROUND(C33/1000,)</f>
        <v>0</v>
      </c>
      <c r="I33" s="184"/>
      <c r="J33" s="183"/>
    </row>
    <row r="34" spans="1:10" ht="12.75">
      <c r="A34" s="197" t="s">
        <v>594</v>
      </c>
      <c r="B34" s="191">
        <f>B9-B13</f>
        <v>-251924</v>
      </c>
      <c r="C34" s="191">
        <f>C9-C13</f>
        <v>2182.590000000084</v>
      </c>
      <c r="D34" s="182">
        <f t="shared" si="0"/>
        <v>-0.8663684285737302</v>
      </c>
      <c r="E34" s="175">
        <f>E9-E13</f>
        <v>-179292.64999999997</v>
      </c>
      <c r="F34" s="197" t="s">
        <v>594</v>
      </c>
      <c r="G34" s="191">
        <f>G9-G13</f>
        <v>-252</v>
      </c>
      <c r="H34" s="183">
        <f>H9-H13</f>
        <v>5</v>
      </c>
      <c r="I34" s="184">
        <f t="shared" si="2"/>
        <v>-1.984126984126984</v>
      </c>
      <c r="J34" s="183">
        <f t="shared" si="3"/>
        <v>-179</v>
      </c>
    </row>
    <row r="35" spans="1:10" ht="12.75">
      <c r="A35" s="197" t="s">
        <v>595</v>
      </c>
      <c r="B35" s="199">
        <f>-B34</f>
        <v>251924</v>
      </c>
      <c r="C35" s="199">
        <f>-C34</f>
        <v>-2182.590000000084</v>
      </c>
      <c r="D35" s="200"/>
      <c r="E35" s="175">
        <f>-E34</f>
        <v>179292.64999999997</v>
      </c>
      <c r="F35" s="197" t="s">
        <v>595</v>
      </c>
      <c r="G35" s="191">
        <f>ROUND(B35/1000,)</f>
        <v>252</v>
      </c>
      <c r="H35" s="175">
        <f>-H34</f>
        <v>-5</v>
      </c>
      <c r="I35" s="184">
        <f>-H35/G35*100</f>
        <v>1.984126984126984</v>
      </c>
      <c r="J35" s="175">
        <f t="shared" si="3"/>
        <v>179</v>
      </c>
    </row>
    <row r="36" spans="1:10" ht="25.5">
      <c r="A36" s="201" t="s">
        <v>596</v>
      </c>
      <c r="B36" s="199">
        <v>251924</v>
      </c>
      <c r="C36" s="175"/>
      <c r="D36" s="200"/>
      <c r="E36" s="175">
        <f>C36-'[5]janvāris'!C36</f>
        <v>0</v>
      </c>
      <c r="F36" s="201" t="s">
        <v>596</v>
      </c>
      <c r="G36" s="191">
        <f>ROUND(B36/1000,)</f>
        <v>252</v>
      </c>
      <c r="H36" s="175">
        <f>H35</f>
        <v>-5</v>
      </c>
      <c r="I36" s="202"/>
      <c r="J36" s="175">
        <f t="shared" si="3"/>
        <v>0</v>
      </c>
    </row>
    <row r="37" spans="1:10" ht="17.25" customHeight="1">
      <c r="A37" s="666"/>
      <c r="B37" s="666"/>
      <c r="C37" s="666"/>
      <c r="D37" s="666"/>
      <c r="E37" s="666"/>
      <c r="F37" s="667"/>
      <c r="G37" s="667"/>
      <c r="H37" s="667"/>
      <c r="I37" s="667"/>
      <c r="J37" s="667"/>
    </row>
    <row r="38" spans="1:10" ht="17.25" customHeight="1">
      <c r="A38" s="64" t="s">
        <v>564</v>
      </c>
      <c r="B38" s="4"/>
      <c r="C38" s="3"/>
      <c r="D38" s="4" t="s">
        <v>348</v>
      </c>
      <c r="E38" s="28"/>
      <c r="F38" s="64" t="s">
        <v>564</v>
      </c>
      <c r="G38" s="4"/>
      <c r="H38" s="4"/>
      <c r="I38" s="4" t="s">
        <v>348</v>
      </c>
      <c r="J38" s="28"/>
    </row>
    <row r="39" spans="1:10" ht="17.25" customHeight="1">
      <c r="A39" s="103"/>
      <c r="B39" s="164"/>
      <c r="C39" s="203"/>
      <c r="D39" s="166"/>
      <c r="E39" s="165"/>
      <c r="F39" s="103"/>
      <c r="G39" s="164"/>
      <c r="H39" s="165"/>
      <c r="I39" s="166"/>
      <c r="J39" s="165"/>
    </row>
    <row r="40" spans="1:10" ht="17.25" customHeight="1">
      <c r="A40" s="103"/>
      <c r="B40" s="103"/>
      <c r="C40" s="203"/>
      <c r="D40" s="138"/>
      <c r="E40" s="165"/>
      <c r="G40" s="103"/>
      <c r="H40" s="204"/>
      <c r="I40" s="138"/>
      <c r="J40" s="165"/>
    </row>
    <row r="42" spans="1:9" ht="17.25" customHeight="1">
      <c r="A42" s="103"/>
      <c r="B42" s="164"/>
      <c r="C42" s="203"/>
      <c r="D42" s="166"/>
      <c r="F42" s="167" t="s">
        <v>398</v>
      </c>
      <c r="G42" s="164"/>
      <c r="H42" s="165"/>
      <c r="I42" s="166"/>
    </row>
    <row r="43" spans="2:10" ht="17.25" customHeight="1">
      <c r="B43" s="168"/>
      <c r="D43" s="170"/>
      <c r="E43" s="169"/>
      <c r="F43" s="167" t="s">
        <v>399</v>
      </c>
      <c r="G43" s="168"/>
      <c r="H43" s="169"/>
      <c r="I43" s="170"/>
      <c r="J43" s="169"/>
    </row>
    <row r="44" spans="2:9" ht="17.25" customHeight="1">
      <c r="B44" s="65"/>
      <c r="D44" s="170"/>
      <c r="G44" s="65"/>
      <c r="I44" s="170"/>
    </row>
    <row r="45" spans="2:9" ht="17.25" customHeight="1">
      <c r="B45" s="65"/>
      <c r="D45" s="170"/>
      <c r="G45" s="65"/>
      <c r="I45" s="170"/>
    </row>
    <row r="46" spans="2:9" ht="17.25" customHeight="1">
      <c r="B46" s="65"/>
      <c r="D46" s="170"/>
      <c r="G46" s="65"/>
      <c r="I46" s="170"/>
    </row>
    <row r="47" spans="1:9" ht="17.25" customHeight="1">
      <c r="A47" s="28"/>
      <c r="B47" s="65"/>
      <c r="D47" s="170"/>
      <c r="F47" s="28"/>
      <c r="G47" s="65"/>
      <c r="I47" s="170"/>
    </row>
    <row r="48" spans="1:6" ht="17.25" customHeight="1">
      <c r="A48" s="28"/>
      <c r="F48" s="28"/>
    </row>
    <row r="49" spans="1:6" ht="17.25" customHeight="1">
      <c r="A49" s="171"/>
      <c r="F49" s="171"/>
    </row>
    <row r="50" spans="2:9" ht="17.25" customHeight="1">
      <c r="B50" s="65"/>
      <c r="D50" s="170"/>
      <c r="G50" s="65"/>
      <c r="I50" s="170"/>
    </row>
  </sheetData>
  <mergeCells count="6">
    <mergeCell ref="A37:E37"/>
    <mergeCell ref="F37:J37"/>
    <mergeCell ref="A4:E4"/>
    <mergeCell ref="F4:J4"/>
    <mergeCell ref="A5:E5"/>
    <mergeCell ref="F5:J5"/>
  </mergeCells>
  <printOptions/>
  <pageMargins left="0.75" right="0.76" top="0.36" bottom="0.44" header="0.17" footer="0.1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H1">
      <selection activeCell="A7" sqref="A7"/>
    </sheetView>
  </sheetViews>
  <sheetFormatPr defaultColWidth="9.140625" defaultRowHeight="12.75"/>
  <cols>
    <col min="1" max="1" width="32.7109375" style="0" hidden="1" customWidth="1"/>
    <col min="2" max="3" width="9.140625" style="0" hidden="1" customWidth="1"/>
    <col min="4" max="4" width="10.00390625" style="0" hidden="1" customWidth="1"/>
    <col min="5" max="6" width="9.140625" style="0" hidden="1" customWidth="1"/>
    <col min="7" max="7" width="9.140625" style="142" hidden="1" customWidth="1"/>
    <col min="8" max="8" width="32.7109375" style="0" customWidth="1"/>
    <col min="10" max="10" width="10.57421875" style="0" customWidth="1"/>
    <col min="11" max="11" width="10.00390625" style="0" customWidth="1"/>
    <col min="12" max="12" width="10.7109375" style="0" customWidth="1"/>
  </cols>
  <sheetData>
    <row r="1" ht="12.75">
      <c r="M1" s="24" t="s">
        <v>524</v>
      </c>
    </row>
    <row r="2" spans="2:13" ht="12.75">
      <c r="B2" t="s">
        <v>312</v>
      </c>
      <c r="H2" s="670" t="s">
        <v>312</v>
      </c>
      <c r="I2" s="670"/>
      <c r="J2" s="670"/>
      <c r="K2" s="670"/>
      <c r="L2" s="670"/>
      <c r="M2" s="670"/>
    </row>
    <row r="4" spans="1:13" ht="12.75">
      <c r="A4" s="670" t="s">
        <v>525</v>
      </c>
      <c r="B4" s="670"/>
      <c r="C4" s="670"/>
      <c r="D4" s="670"/>
      <c r="E4" s="670"/>
      <c r="H4" s="671" t="s">
        <v>525</v>
      </c>
      <c r="I4" s="671"/>
      <c r="J4" s="671"/>
      <c r="K4" s="671"/>
      <c r="L4" s="671"/>
      <c r="M4" s="671"/>
    </row>
    <row r="5" spans="2:13" ht="12.75">
      <c r="B5" s="143" t="s">
        <v>526</v>
      </c>
      <c r="H5" s="654" t="s">
        <v>527</v>
      </c>
      <c r="I5" s="654"/>
      <c r="J5" s="654"/>
      <c r="K5" s="654"/>
      <c r="L5" s="654"/>
      <c r="M5" s="654"/>
    </row>
    <row r="7" spans="1:13" ht="56.25">
      <c r="A7" s="144" t="s">
        <v>318</v>
      </c>
      <c r="B7" s="145" t="s">
        <v>528</v>
      </c>
      <c r="C7" s="146" t="s">
        <v>490</v>
      </c>
      <c r="D7" s="147" t="s">
        <v>529</v>
      </c>
      <c r="E7" s="146" t="s">
        <v>530</v>
      </c>
      <c r="F7" s="146" t="s">
        <v>531</v>
      </c>
      <c r="H7" s="148" t="s">
        <v>318</v>
      </c>
      <c r="I7" s="149" t="s">
        <v>528</v>
      </c>
      <c r="J7" s="146" t="s">
        <v>490</v>
      </c>
      <c r="K7" s="147" t="s">
        <v>529</v>
      </c>
      <c r="L7" s="146" t="s">
        <v>532</v>
      </c>
      <c r="M7" s="146" t="s">
        <v>531</v>
      </c>
    </row>
    <row r="8" spans="1:13" ht="12.75">
      <c r="A8" s="144">
        <v>1</v>
      </c>
      <c r="B8" s="144">
        <v>2</v>
      </c>
      <c r="D8" s="144">
        <v>3</v>
      </c>
      <c r="E8" s="144">
        <v>4</v>
      </c>
      <c r="F8" s="144">
        <v>5</v>
      </c>
      <c r="H8" s="150">
        <v>1</v>
      </c>
      <c r="I8" s="150">
        <v>2</v>
      </c>
      <c r="J8" s="150">
        <v>3</v>
      </c>
      <c r="K8" s="150">
        <v>4</v>
      </c>
      <c r="L8" s="150">
        <v>5</v>
      </c>
      <c r="M8" s="111">
        <v>6</v>
      </c>
    </row>
    <row r="9" spans="1:13" ht="19.5" customHeight="1">
      <c r="A9" s="151" t="s">
        <v>533</v>
      </c>
      <c r="B9" s="143"/>
      <c r="C9" s="142">
        <f>SUM(C10:C23)</f>
        <v>1690642.31</v>
      </c>
      <c r="D9" s="142">
        <f>SUM(D10:D23)</f>
        <v>591102.3</v>
      </c>
      <c r="E9" s="152">
        <f>D9/C9*100</f>
        <v>34.96317917182612</v>
      </c>
      <c r="F9" s="142">
        <f>SUM(F10:F23)</f>
        <v>335923.68999999994</v>
      </c>
      <c r="G9" s="142">
        <f>SUM(G10:G23)</f>
        <v>423321.1000000001</v>
      </c>
      <c r="H9" s="153" t="s">
        <v>533</v>
      </c>
      <c r="I9" s="154"/>
      <c r="J9" s="155">
        <f>SUM(J10:J23)</f>
        <v>1691</v>
      </c>
      <c r="K9" s="155">
        <f>SUM(K10:K23)</f>
        <v>589</v>
      </c>
      <c r="L9" s="156">
        <f>K9/J9*100</f>
        <v>34.831460674157306</v>
      </c>
      <c r="M9" s="157">
        <f>SUM(M10:M23)</f>
        <v>344</v>
      </c>
    </row>
    <row r="10" spans="1:13" ht="19.5" customHeight="1">
      <c r="A10" s="143" t="s">
        <v>534</v>
      </c>
      <c r="B10" s="158" t="s">
        <v>535</v>
      </c>
      <c r="C10" s="142">
        <v>123423.84</v>
      </c>
      <c r="D10" s="142">
        <v>41440.4</v>
      </c>
      <c r="E10" s="152">
        <f aca="true" t="shared" si="0" ref="E10:E22">D10/C10*100</f>
        <v>33.57568521608144</v>
      </c>
      <c r="F10" s="142">
        <f>D10-'[4]janvāris'!D10</f>
        <v>36302.54</v>
      </c>
      <c r="G10" s="142">
        <f>41440.4-5137.8</f>
        <v>36302.6</v>
      </c>
      <c r="H10" s="154" t="s">
        <v>534</v>
      </c>
      <c r="I10" s="159" t="s">
        <v>535</v>
      </c>
      <c r="J10" s="160">
        <f>ROUND(C10/1000,)</f>
        <v>123</v>
      </c>
      <c r="K10" s="160">
        <f>ROUND(D10/1000,)</f>
        <v>41</v>
      </c>
      <c r="L10" s="161">
        <f>K10/J10*100</f>
        <v>33.33333333333333</v>
      </c>
      <c r="M10" s="154">
        <f>ROUND(F10/1000,)</f>
        <v>36</v>
      </c>
    </row>
    <row r="11" spans="1:13" ht="19.5" customHeight="1">
      <c r="A11" s="143" t="s">
        <v>536</v>
      </c>
      <c r="B11" s="158" t="s">
        <v>537</v>
      </c>
      <c r="C11" s="142">
        <v>19961.35</v>
      </c>
      <c r="D11" s="142">
        <v>1615.1</v>
      </c>
      <c r="E11" s="152">
        <f t="shared" si="0"/>
        <v>8.091136120552969</v>
      </c>
      <c r="F11" s="142">
        <f>D11-'[4]janvāris'!D11</f>
        <v>461.79999999999995</v>
      </c>
      <c r="G11" s="142">
        <f>1615.1-1153.3</f>
        <v>461.79999999999995</v>
      </c>
      <c r="H11" s="154" t="s">
        <v>536</v>
      </c>
      <c r="I11" s="159" t="s">
        <v>537</v>
      </c>
      <c r="J11" s="160">
        <f aca="true" t="shared" si="1" ref="J11:K23">ROUND(C11/1000,)</f>
        <v>20</v>
      </c>
      <c r="K11" s="160">
        <f t="shared" si="1"/>
        <v>2</v>
      </c>
      <c r="L11" s="161">
        <f aca="true" t="shared" si="2" ref="L11:L22">K11/J11*100</f>
        <v>10</v>
      </c>
      <c r="M11" s="154">
        <f>ROUND(F11/1000,)+1</f>
        <v>1</v>
      </c>
    </row>
    <row r="12" spans="1:13" ht="26.25" customHeight="1">
      <c r="A12" s="162" t="s">
        <v>538</v>
      </c>
      <c r="B12" s="144" t="s">
        <v>539</v>
      </c>
      <c r="C12" s="142">
        <v>135026</v>
      </c>
      <c r="D12" s="142">
        <v>21468</v>
      </c>
      <c r="E12" s="152">
        <f t="shared" si="0"/>
        <v>15.899160161746625</v>
      </c>
      <c r="F12" s="142">
        <f>D12-'[4]janvāris'!D12</f>
        <v>13509.77</v>
      </c>
      <c r="G12" s="142">
        <f>21468-7958.2</f>
        <v>13509.8</v>
      </c>
      <c r="H12" s="163" t="s">
        <v>538</v>
      </c>
      <c r="I12" s="150" t="s">
        <v>539</v>
      </c>
      <c r="J12" s="160">
        <f t="shared" si="1"/>
        <v>135</v>
      </c>
      <c r="K12" s="160">
        <f t="shared" si="1"/>
        <v>21</v>
      </c>
      <c r="L12" s="161">
        <f t="shared" si="2"/>
        <v>15.555555555555555</v>
      </c>
      <c r="M12" s="154">
        <f>ROUND(F12/1000,)-1</f>
        <v>13</v>
      </c>
    </row>
    <row r="13" spans="1:13" ht="19.5" customHeight="1">
      <c r="A13" s="143" t="s">
        <v>540</v>
      </c>
      <c r="B13" s="144" t="s">
        <v>541</v>
      </c>
      <c r="C13" s="142">
        <v>806211.48</v>
      </c>
      <c r="D13" s="142">
        <v>283007.7</v>
      </c>
      <c r="E13" s="152">
        <f t="shared" si="0"/>
        <v>35.10340735907159</v>
      </c>
      <c r="F13" s="142">
        <f>D13-'[4]janvāris'!D13</f>
        <v>163666.13</v>
      </c>
      <c r="G13" s="142">
        <f>283007.7-119341.5</f>
        <v>163666.2</v>
      </c>
      <c r="H13" s="154" t="s">
        <v>540</v>
      </c>
      <c r="I13" s="150" t="s">
        <v>541</v>
      </c>
      <c r="J13" s="160">
        <f t="shared" si="1"/>
        <v>806</v>
      </c>
      <c r="K13" s="160">
        <f t="shared" si="1"/>
        <v>283</v>
      </c>
      <c r="L13" s="161">
        <f t="shared" si="2"/>
        <v>35.111662531017366</v>
      </c>
      <c r="M13" s="154">
        <f aca="true" t="shared" si="3" ref="M13:M23">ROUND(F13/1000,)</f>
        <v>164</v>
      </c>
    </row>
    <row r="14" spans="1:13" ht="19.5" customHeight="1">
      <c r="A14" s="143" t="s">
        <v>542</v>
      </c>
      <c r="B14" s="144" t="s">
        <v>543</v>
      </c>
      <c r="C14" s="142">
        <v>102140</v>
      </c>
      <c r="D14" s="142">
        <v>58491</v>
      </c>
      <c r="E14" s="152">
        <f t="shared" si="0"/>
        <v>57.26551791658508</v>
      </c>
      <c r="F14" s="142">
        <f>D14-'[4]janvāris'!D14</f>
        <v>37910.75</v>
      </c>
      <c r="G14" s="142">
        <f>58491-20580.2</f>
        <v>37910.8</v>
      </c>
      <c r="H14" s="154" t="s">
        <v>542</v>
      </c>
      <c r="I14" s="150" t="s">
        <v>543</v>
      </c>
      <c r="J14" s="160">
        <f t="shared" si="1"/>
        <v>102</v>
      </c>
      <c r="K14" s="160">
        <f t="shared" si="1"/>
        <v>58</v>
      </c>
      <c r="L14" s="161">
        <f t="shared" si="2"/>
        <v>56.86274509803921</v>
      </c>
      <c r="M14" s="154">
        <f>ROUND(F14/1000,)-1</f>
        <v>37</v>
      </c>
    </row>
    <row r="15" spans="1:13" ht="19.5" customHeight="1">
      <c r="A15" s="162" t="s">
        <v>544</v>
      </c>
      <c r="B15" s="144" t="s">
        <v>545</v>
      </c>
      <c r="C15" s="142">
        <v>16714.81</v>
      </c>
      <c r="D15" s="142">
        <v>6674.7</v>
      </c>
      <c r="E15" s="152">
        <f t="shared" si="0"/>
        <v>39.93284996957787</v>
      </c>
      <c r="F15" s="142">
        <f>D15-'[4]janvāris'!D15</f>
        <v>4762.83</v>
      </c>
      <c r="G15" s="142">
        <f>6674.7-1911.8</f>
        <v>4762.9</v>
      </c>
      <c r="H15" s="163" t="s">
        <v>544</v>
      </c>
      <c r="I15" s="150" t="s">
        <v>545</v>
      </c>
      <c r="J15" s="160">
        <f t="shared" si="1"/>
        <v>17</v>
      </c>
      <c r="K15" s="160">
        <f t="shared" si="1"/>
        <v>7</v>
      </c>
      <c r="L15" s="161">
        <f t="shared" si="2"/>
        <v>41.17647058823529</v>
      </c>
      <c r="M15" s="154">
        <f t="shared" si="3"/>
        <v>5</v>
      </c>
    </row>
    <row r="16" spans="1:13" ht="19.5" customHeight="1">
      <c r="A16" s="162" t="s">
        <v>546</v>
      </c>
      <c r="B16" s="144" t="s">
        <v>547</v>
      </c>
      <c r="C16" s="142">
        <v>49409</v>
      </c>
      <c r="D16" s="142">
        <v>1052.9</v>
      </c>
      <c r="E16" s="152">
        <f t="shared" si="0"/>
        <v>2.130988281487179</v>
      </c>
      <c r="F16" s="142">
        <f>D16+'[4]janvāris'!D16</f>
        <v>732.0500000000001</v>
      </c>
      <c r="G16" s="142">
        <f>1052.9-320.8</f>
        <v>732.1000000000001</v>
      </c>
      <c r="H16" s="163" t="s">
        <v>546</v>
      </c>
      <c r="I16" s="150" t="s">
        <v>547</v>
      </c>
      <c r="J16" s="160">
        <f t="shared" si="1"/>
        <v>49</v>
      </c>
      <c r="K16" s="160">
        <f t="shared" si="1"/>
        <v>1</v>
      </c>
      <c r="L16" s="161">
        <f t="shared" si="2"/>
        <v>2.0408163265306123</v>
      </c>
      <c r="M16" s="154">
        <f t="shared" si="3"/>
        <v>1</v>
      </c>
    </row>
    <row r="17" spans="1:13" ht="19.5" customHeight="1">
      <c r="A17" s="143" t="s">
        <v>548</v>
      </c>
      <c r="B17" s="144" t="s">
        <v>549</v>
      </c>
      <c r="C17" s="142">
        <v>339606.33</v>
      </c>
      <c r="D17" s="142">
        <v>93608.8</v>
      </c>
      <c r="E17" s="152">
        <f t="shared" si="0"/>
        <v>27.56391496000678</v>
      </c>
      <c r="F17" s="142">
        <f>D17-'[4]janvāris'!D17</f>
        <v>46937.520000000004</v>
      </c>
      <c r="G17" s="142">
        <f>93608.8-46671.2</f>
        <v>46937.600000000006</v>
      </c>
      <c r="H17" s="154" t="s">
        <v>548</v>
      </c>
      <c r="I17" s="150" t="s">
        <v>549</v>
      </c>
      <c r="J17" s="160">
        <f t="shared" si="1"/>
        <v>340</v>
      </c>
      <c r="K17" s="160">
        <f>ROUND(D17/1000,)-1</f>
        <v>93</v>
      </c>
      <c r="L17" s="161">
        <f t="shared" si="2"/>
        <v>27.35294117647059</v>
      </c>
      <c r="M17" s="154">
        <f>ROUND(F17/1000,)-1</f>
        <v>46</v>
      </c>
    </row>
    <row r="18" spans="1:13" ht="19.5" customHeight="1">
      <c r="A18" s="143" t="s">
        <v>550</v>
      </c>
      <c r="B18" s="144" t="s">
        <v>551</v>
      </c>
      <c r="C18" s="142"/>
      <c r="D18" s="142"/>
      <c r="E18" s="152"/>
      <c r="F18" s="142">
        <f>D18-'[4]janvāris'!D18</f>
        <v>0</v>
      </c>
      <c r="H18" s="154" t="s">
        <v>550</v>
      </c>
      <c r="I18" s="150" t="s">
        <v>551</v>
      </c>
      <c r="J18" s="160">
        <f t="shared" si="1"/>
        <v>0</v>
      </c>
      <c r="K18" s="160">
        <f t="shared" si="1"/>
        <v>0</v>
      </c>
      <c r="L18" s="161"/>
      <c r="M18" s="154">
        <f t="shared" si="3"/>
        <v>0</v>
      </c>
    </row>
    <row r="19" spans="1:13" ht="27.75" customHeight="1">
      <c r="A19" s="162" t="s">
        <v>552</v>
      </c>
      <c r="B19" s="144" t="s">
        <v>553</v>
      </c>
      <c r="C19" s="142">
        <v>21666.5</v>
      </c>
      <c r="D19" s="142">
        <v>10959.3</v>
      </c>
      <c r="E19" s="152">
        <f t="shared" si="0"/>
        <v>50.58177370595158</v>
      </c>
      <c r="F19" s="142">
        <f>D19-'[4]janvāris'!D19</f>
        <v>5005.9</v>
      </c>
      <c r="G19" s="142">
        <f>10959.3-5953.4</f>
        <v>5005.9</v>
      </c>
      <c r="H19" s="163" t="s">
        <v>552</v>
      </c>
      <c r="I19" s="150" t="s">
        <v>553</v>
      </c>
      <c r="J19" s="160">
        <f t="shared" si="1"/>
        <v>22</v>
      </c>
      <c r="K19" s="160">
        <f t="shared" si="1"/>
        <v>11</v>
      </c>
      <c r="L19" s="161">
        <f t="shared" si="2"/>
        <v>50</v>
      </c>
      <c r="M19" s="154">
        <f t="shared" si="3"/>
        <v>5</v>
      </c>
    </row>
    <row r="20" spans="1:13" ht="22.5" customHeight="1">
      <c r="A20" s="162" t="s">
        <v>554</v>
      </c>
      <c r="B20" s="144" t="s">
        <v>555</v>
      </c>
      <c r="C20" s="142"/>
      <c r="D20" s="142"/>
      <c r="E20" s="152"/>
      <c r="F20" s="142">
        <f>D20-'[4]janvāris'!D20</f>
        <v>0</v>
      </c>
      <c r="H20" s="163" t="s">
        <v>554</v>
      </c>
      <c r="I20" s="150" t="s">
        <v>555</v>
      </c>
      <c r="J20" s="160"/>
      <c r="K20" s="160"/>
      <c r="L20" s="161"/>
      <c r="M20" s="154">
        <f t="shared" si="3"/>
        <v>0</v>
      </c>
    </row>
    <row r="21" spans="1:13" ht="19.5" customHeight="1">
      <c r="A21" s="143" t="s">
        <v>556</v>
      </c>
      <c r="B21" s="144" t="s">
        <v>557</v>
      </c>
      <c r="C21" s="142"/>
      <c r="D21" s="142"/>
      <c r="E21" s="152"/>
      <c r="F21" s="142">
        <f>D21-'[4]janvāris'!D21</f>
        <v>0</v>
      </c>
      <c r="H21" s="154" t="s">
        <v>556</v>
      </c>
      <c r="I21" s="150" t="s">
        <v>557</v>
      </c>
      <c r="J21" s="160"/>
      <c r="K21" s="160"/>
      <c r="L21" s="161"/>
      <c r="M21" s="154">
        <f t="shared" si="3"/>
        <v>0</v>
      </c>
    </row>
    <row r="22" spans="1:13" ht="19.5" customHeight="1">
      <c r="A22" s="143" t="s">
        <v>558</v>
      </c>
      <c r="B22" s="144" t="s">
        <v>559</v>
      </c>
      <c r="C22" s="142">
        <f>4264+159616-87397</f>
        <v>76483</v>
      </c>
      <c r="D22" s="142">
        <f>565.4+159616-87397</f>
        <v>72784.4</v>
      </c>
      <c r="E22" s="152">
        <f t="shared" si="0"/>
        <v>95.16415412575343</v>
      </c>
      <c r="F22" s="142">
        <f>D22-'[4]janvāris'!D22</f>
        <v>26634.399999999994</v>
      </c>
      <c r="G22" s="142">
        <f>565.4+159616-46150</f>
        <v>114031.4</v>
      </c>
      <c r="H22" s="154" t="s">
        <v>558</v>
      </c>
      <c r="I22" s="150" t="s">
        <v>559</v>
      </c>
      <c r="J22" s="160">
        <f>ROUND(C22/1000,)+1</f>
        <v>77</v>
      </c>
      <c r="K22" s="160">
        <f>ROUND(D22/1000,)-1</f>
        <v>72</v>
      </c>
      <c r="L22" s="161">
        <f t="shared" si="2"/>
        <v>93.5064935064935</v>
      </c>
      <c r="M22" s="154">
        <f>ROUND(F22/1000,)-1+10</f>
        <v>36</v>
      </c>
    </row>
    <row r="23" spans="1:13" ht="27" customHeight="1">
      <c r="A23" s="162" t="s">
        <v>560</v>
      </c>
      <c r="B23" s="144" t="s">
        <v>561</v>
      </c>
      <c r="C23" s="142"/>
      <c r="D23" s="142"/>
      <c r="E23" s="152"/>
      <c r="F23" s="142">
        <f>D23-'[4]janvāris'!D23</f>
        <v>0</v>
      </c>
      <c r="H23" s="163" t="s">
        <v>562</v>
      </c>
      <c r="I23" s="150" t="s">
        <v>561</v>
      </c>
      <c r="J23" s="160">
        <f t="shared" si="1"/>
        <v>0</v>
      </c>
      <c r="K23" s="160">
        <f t="shared" si="1"/>
        <v>0</v>
      </c>
      <c r="L23" s="161"/>
      <c r="M23" s="154">
        <f t="shared" si="3"/>
        <v>0</v>
      </c>
    </row>
    <row r="24" spans="1:13" ht="12.75">
      <c r="A24" s="143" t="s">
        <v>563</v>
      </c>
      <c r="B24" s="143"/>
      <c r="C24" s="142"/>
      <c r="D24" s="142"/>
      <c r="F24" s="142">
        <f>D24-'[4]janvāris'!D24</f>
        <v>0</v>
      </c>
      <c r="H24" s="143"/>
      <c r="I24" s="143"/>
      <c r="J24" s="142"/>
      <c r="K24" s="142"/>
      <c r="M24" s="143"/>
    </row>
    <row r="25" ht="12.75">
      <c r="L25" s="28"/>
    </row>
    <row r="26" spans="8:12" ht="12.75">
      <c r="H26" s="103"/>
      <c r="I26" s="164"/>
      <c r="J26" s="165"/>
      <c r="K26" s="166"/>
      <c r="L26" s="165"/>
    </row>
    <row r="27" spans="8:12" ht="12.75">
      <c r="H27" s="64" t="s">
        <v>564</v>
      </c>
      <c r="I27" s="4"/>
      <c r="J27" s="4"/>
      <c r="K27" s="4" t="s">
        <v>348</v>
      </c>
      <c r="L27" s="165"/>
    </row>
    <row r="28" spans="8:12" ht="12.75">
      <c r="H28" s="167"/>
      <c r="I28" s="167"/>
      <c r="J28" s="65"/>
      <c r="K28" s="4"/>
      <c r="L28" s="65"/>
    </row>
    <row r="29" spans="8:12" ht="12.75">
      <c r="H29" s="103"/>
      <c r="I29" s="164"/>
      <c r="J29" s="165"/>
      <c r="K29" s="166"/>
      <c r="L29" s="65"/>
    </row>
    <row r="30" spans="8:12" ht="12.75">
      <c r="H30" s="167"/>
      <c r="I30" s="168"/>
      <c r="J30" s="169"/>
      <c r="K30" s="170"/>
      <c r="L30" s="169"/>
    </row>
    <row r="31" spans="8:12" ht="12.75">
      <c r="H31" s="167"/>
      <c r="I31" s="65"/>
      <c r="J31" s="65"/>
      <c r="K31" s="170"/>
      <c r="L31" s="65"/>
    </row>
    <row r="32" spans="8:12" ht="12.75">
      <c r="H32" s="171" t="s">
        <v>398</v>
      </c>
      <c r="I32" s="65"/>
      <c r="J32" s="65"/>
      <c r="K32" s="170"/>
      <c r="L32" s="65"/>
    </row>
    <row r="33" spans="8:12" ht="12.75">
      <c r="H33" s="171" t="s">
        <v>399</v>
      </c>
      <c r="I33" s="65"/>
      <c r="J33" s="65"/>
      <c r="K33" s="170"/>
      <c r="L33" s="65"/>
    </row>
  </sheetData>
  <mergeCells count="4">
    <mergeCell ref="H2:M2"/>
    <mergeCell ref="A4:E4"/>
    <mergeCell ref="H4:M4"/>
    <mergeCell ref="H5:M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67"/>
  <sheetViews>
    <sheetView workbookViewId="0" topLeftCell="H1">
      <selection activeCell="A6" sqref="A6"/>
    </sheetView>
  </sheetViews>
  <sheetFormatPr defaultColWidth="9.140625" defaultRowHeight="12.75"/>
  <cols>
    <col min="1" max="1" width="36.00390625" style="1" hidden="1" customWidth="1"/>
    <col min="2" max="2" width="11.421875" style="1" hidden="1" customWidth="1"/>
    <col min="3" max="4" width="8.57421875" style="1" hidden="1" customWidth="1"/>
    <col min="5" max="5" width="2.7109375" style="1" hidden="1" customWidth="1"/>
    <col min="6" max="6" width="2.8515625" style="1" hidden="1" customWidth="1"/>
    <col min="7" max="7" width="7.421875" style="24" hidden="1" customWidth="1"/>
    <col min="8" max="8" width="33.57421875" style="1" customWidth="1"/>
    <col min="9" max="9" width="10.8515625" style="1" customWidth="1"/>
    <col min="10" max="10" width="10.57421875" style="1" customWidth="1"/>
    <col min="11" max="11" width="8.140625" style="1" customWidth="1"/>
    <col min="12" max="12" width="8.7109375" style="1" customWidth="1"/>
    <col min="13" max="13" width="9.57421875" style="1" customWidth="1"/>
    <col min="14" max="14" width="8.57421875" style="1" customWidth="1"/>
    <col min="15" max="104" width="11.421875" style="0" customWidth="1"/>
    <col min="105" max="16384" width="11.421875" style="1" customWidth="1"/>
  </cols>
  <sheetData>
    <row r="1" spans="1:14" ht="17.25" customHeight="1">
      <c r="A1" s="72" t="s">
        <v>483</v>
      </c>
      <c r="B1" s="72"/>
      <c r="C1" s="108"/>
      <c r="D1" s="72"/>
      <c r="E1" s="72"/>
      <c r="F1" s="108"/>
      <c r="G1" s="24" t="s">
        <v>484</v>
      </c>
      <c r="H1" s="72" t="s">
        <v>483</v>
      </c>
      <c r="I1" s="72"/>
      <c r="J1" s="108"/>
      <c r="K1" s="72"/>
      <c r="L1" s="72"/>
      <c r="M1" s="108"/>
      <c r="N1" s="28" t="s">
        <v>485</v>
      </c>
    </row>
    <row r="2" spans="1:14" ht="12.75">
      <c r="A2" s="72"/>
      <c r="B2" s="72"/>
      <c r="C2" s="108"/>
      <c r="D2" s="72"/>
      <c r="E2" s="72"/>
      <c r="F2" s="108"/>
      <c r="H2" s="72"/>
      <c r="I2" s="72"/>
      <c r="J2" s="108"/>
      <c r="K2" s="72"/>
      <c r="L2" s="72"/>
      <c r="M2" s="108"/>
      <c r="N2" s="28"/>
    </row>
    <row r="3" spans="1:14" ht="18.75" customHeight="1">
      <c r="A3" s="109" t="s">
        <v>486</v>
      </c>
      <c r="B3" s="108"/>
      <c r="C3" s="108"/>
      <c r="D3" s="108"/>
      <c r="E3" s="108"/>
      <c r="F3" s="108"/>
      <c r="H3" s="109" t="s">
        <v>486</v>
      </c>
      <c r="I3" s="108"/>
      <c r="J3" s="108"/>
      <c r="K3" s="108"/>
      <c r="L3" s="108"/>
      <c r="M3" s="108"/>
      <c r="N3" s="28"/>
    </row>
    <row r="4" spans="1:14" ht="15" customHeight="1">
      <c r="A4" s="109" t="s">
        <v>487</v>
      </c>
      <c r="B4" s="108"/>
      <c r="C4" s="108"/>
      <c r="D4" s="108"/>
      <c r="E4" s="108"/>
      <c r="F4" s="108"/>
      <c r="H4" s="110" t="s">
        <v>488</v>
      </c>
      <c r="I4" s="108"/>
      <c r="J4" s="108"/>
      <c r="K4" s="108"/>
      <c r="L4" s="108"/>
      <c r="M4" s="108"/>
      <c r="N4" s="28"/>
    </row>
    <row r="5" spans="1:14" ht="11.25" customHeight="1">
      <c r="A5" s="28"/>
      <c r="B5" s="28"/>
      <c r="C5" s="28"/>
      <c r="D5" s="31"/>
      <c r="E5" s="4"/>
      <c r="F5" s="28"/>
      <c r="G5" s="6" t="s">
        <v>316</v>
      </c>
      <c r="H5" s="28"/>
      <c r="I5" s="28"/>
      <c r="J5" s="28"/>
      <c r="K5" s="31"/>
      <c r="L5" s="4"/>
      <c r="M5" s="28"/>
      <c r="N5" s="6" t="s">
        <v>489</v>
      </c>
    </row>
    <row r="6" spans="1:14" ht="79.5" customHeight="1">
      <c r="A6" s="34" t="s">
        <v>318</v>
      </c>
      <c r="B6" s="34" t="s">
        <v>403</v>
      </c>
      <c r="C6" s="34" t="s">
        <v>490</v>
      </c>
      <c r="D6" s="34" t="s">
        <v>404</v>
      </c>
      <c r="E6" s="34" t="s">
        <v>491</v>
      </c>
      <c r="F6" s="34" t="s">
        <v>492</v>
      </c>
      <c r="G6" s="34" t="s">
        <v>493</v>
      </c>
      <c r="H6" s="34" t="s">
        <v>318</v>
      </c>
      <c r="I6" s="34" t="s">
        <v>403</v>
      </c>
      <c r="J6" s="34" t="s">
        <v>490</v>
      </c>
      <c r="K6" s="34" t="s">
        <v>404</v>
      </c>
      <c r="L6" s="34" t="s">
        <v>491</v>
      </c>
      <c r="M6" s="34" t="s">
        <v>494</v>
      </c>
      <c r="N6" s="34" t="s">
        <v>357</v>
      </c>
    </row>
    <row r="7" spans="1:14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29">
        <v>7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111">
        <v>7</v>
      </c>
    </row>
    <row r="8" spans="1:104" ht="38.25">
      <c r="A8" s="112" t="s">
        <v>495</v>
      </c>
      <c r="B8" s="113">
        <f>B9+B12</f>
        <v>68523734</v>
      </c>
      <c r="C8" s="113">
        <f>C9+C12</f>
        <v>7733683</v>
      </c>
      <c r="D8" s="113">
        <f>D9+D12</f>
        <v>3189206</v>
      </c>
      <c r="E8" s="114">
        <f aca="true" t="shared" si="0" ref="E8:E71">IF(ISERROR(D8/B8)," ",(D8/B8))</f>
        <v>0.04654162600070802</v>
      </c>
      <c r="F8" s="114">
        <f aca="true" t="shared" si="1" ref="F8:F71">IF(ISERROR(D8/C8)," ",(D8/C8))</f>
        <v>0.4123786816708158</v>
      </c>
      <c r="G8" s="115">
        <f>D8-'[3]Janvaris'!D8</f>
        <v>2187112</v>
      </c>
      <c r="H8" s="112" t="s">
        <v>495</v>
      </c>
      <c r="I8" s="113">
        <f>I9+I12</f>
        <v>68524</v>
      </c>
      <c r="J8" s="116">
        <f>J9+J12</f>
        <v>7734</v>
      </c>
      <c r="K8" s="116">
        <f>SUM(K15,K18,K23,K26,K32,K39,K46,K52,K59,K65,K72,K79,K98,K104)</f>
        <v>3189</v>
      </c>
      <c r="L8" s="117">
        <f aca="true" t="shared" si="2" ref="L8:L71">IF(ISERROR(ROUND(K8,0)/ROUND(I8,0))," ",(ROUND(K8,)/ROUND(I8,)))*100</f>
        <v>4.65384390870352</v>
      </c>
      <c r="M8" s="117">
        <f aca="true" t="shared" si="3" ref="M8:M28">IF(ISERROR(ROUND(K8,0)/ROUND(J8,0))," ",(ROUND(K8,)/ROUND(J8,)))*100</f>
        <v>41.23351435221102</v>
      </c>
      <c r="N8" s="116">
        <f>K8-'[3]Janvaris'!K8</f>
        <v>2187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s="119" customFormat="1" ht="15" customHeight="1">
      <c r="A9" s="118" t="s">
        <v>496</v>
      </c>
      <c r="B9" s="113">
        <f>SUM(B10:B11)</f>
        <v>56158811</v>
      </c>
      <c r="C9" s="113">
        <f>SUM(C10:C11)</f>
        <v>6751675</v>
      </c>
      <c r="D9" s="113">
        <f>SUM(D10:D11)</f>
        <v>2949530</v>
      </c>
      <c r="E9" s="114">
        <f t="shared" si="0"/>
        <v>0.05252123304391185</v>
      </c>
      <c r="F9" s="114">
        <f t="shared" si="1"/>
        <v>0.43685900165514485</v>
      </c>
      <c r="G9" s="115">
        <f>D9-'[3]Janvaris'!D9</f>
        <v>2047081</v>
      </c>
      <c r="H9" s="118" t="s">
        <v>496</v>
      </c>
      <c r="I9" s="113">
        <f>SUM(I10:I11)</f>
        <v>56159</v>
      </c>
      <c r="J9" s="113">
        <f>SUM(J10:J11)</f>
        <v>6752</v>
      </c>
      <c r="K9" s="113">
        <f>SUM(K10:K11)</f>
        <v>2950</v>
      </c>
      <c r="L9" s="117">
        <f t="shared" si="2"/>
        <v>5.2529425381506085</v>
      </c>
      <c r="M9" s="117">
        <f t="shared" si="3"/>
        <v>43.69075829383886</v>
      </c>
      <c r="N9" s="113">
        <f>K9-'[3]Janvaris'!K9</f>
        <v>2048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s="123" customFormat="1" ht="13.5" customHeight="1">
      <c r="A10" s="120" t="s">
        <v>497</v>
      </c>
      <c r="B10" s="36">
        <f>SUM(B17,B20,B25,B28,B34,B41,B48,B54,B61,B67,B74,B81,B100,B106,B88,B93)</f>
        <v>33358432</v>
      </c>
      <c r="C10" s="36">
        <f>SUM(C17,C20,C25,C28,C34,C41,C48,C54,C61,C88,C67,C74,C81,C100,C106)</f>
        <v>4317177</v>
      </c>
      <c r="D10" s="36">
        <f>SUM(D17,D20,D25,D28,D34,D41,D48,D54,D61,D88,D67,D74,D81,D100,D106)</f>
        <v>1953304</v>
      </c>
      <c r="E10" s="121">
        <f t="shared" si="0"/>
        <v>0.058555030404306777</v>
      </c>
      <c r="F10" s="121">
        <f t="shared" si="1"/>
        <v>0.4524493667968675</v>
      </c>
      <c r="G10" s="115">
        <f>D10-'[3]Janvaris'!D10</f>
        <v>1554183</v>
      </c>
      <c r="H10" s="120" t="s">
        <v>497</v>
      </c>
      <c r="I10" s="36">
        <f>SUM(I17,I20,I25,I28,I34,I41,I48,I54,I61,I67,I74,I81,I100,I106,I88,I93)</f>
        <v>33359</v>
      </c>
      <c r="J10" s="122">
        <f>SUM(J17,J20,J25,J28,J34,J41,J48,J54,J61,J88,J67,J74,J81,J100,J106)</f>
        <v>4318</v>
      </c>
      <c r="K10" s="122">
        <f>SUM(K17,K20,K25,K28,K34,K41,K48,K54,K61,K67,K74,K81,K100,K106)</f>
        <v>1953</v>
      </c>
      <c r="L10" s="79">
        <f t="shared" si="2"/>
        <v>5.854492041128331</v>
      </c>
      <c r="M10" s="79">
        <f t="shared" si="3"/>
        <v>45.2292728114868</v>
      </c>
      <c r="N10" s="122">
        <f>K10-'[3]Janvaris'!K10</f>
        <v>1554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</row>
    <row r="11" spans="1:104" s="123" customFormat="1" ht="14.25" customHeight="1">
      <c r="A11" s="120" t="s">
        <v>498</v>
      </c>
      <c r="B11" s="36">
        <f>SUM(B29,B35,B42,B49,B55,B62,B68,B75,B82,B94,B101)</f>
        <v>22800379</v>
      </c>
      <c r="C11" s="36">
        <f>SUM(C29,C35,C42,C49,C55,C62,C68,C75,C82,)</f>
        <v>2434498</v>
      </c>
      <c r="D11" s="36">
        <f>SUM(D29,D35,D42,D49,D55,D62,D68,D75,D82,)</f>
        <v>996226</v>
      </c>
      <c r="E11" s="121">
        <f t="shared" si="0"/>
        <v>0.04369339650011958</v>
      </c>
      <c r="F11" s="121">
        <f t="shared" si="1"/>
        <v>0.4092120839696726</v>
      </c>
      <c r="G11" s="115">
        <f>D11-'[3]Janvaris'!D11</f>
        <v>492898</v>
      </c>
      <c r="H11" s="120" t="s">
        <v>498</v>
      </c>
      <c r="I11" s="36">
        <f>SUM(I29,I35,I42,I49,I55,I62,I68,I75,I82,I94,I101)</f>
        <v>22800</v>
      </c>
      <c r="J11" s="122">
        <f>SUM(J29,J35,J42,J55,J49,J62,J68,J75,J82,)</f>
        <v>2434</v>
      </c>
      <c r="K11" s="122">
        <f>SUM(K29,K35,K42,K49,K55,K62,K68,K75,K82,)</f>
        <v>997</v>
      </c>
      <c r="L11" s="79">
        <f t="shared" si="2"/>
        <v>4.37280701754386</v>
      </c>
      <c r="M11" s="79">
        <f t="shared" si="3"/>
        <v>40.96138044371405</v>
      </c>
      <c r="N11" s="122">
        <f>K11-'[3]Janvaris'!K11</f>
        <v>494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</row>
    <row r="12" spans="1:104" s="81" customFormat="1" ht="14.25" customHeight="1">
      <c r="A12" s="118" t="s">
        <v>499</v>
      </c>
      <c r="B12" s="113">
        <f>SUM(B13:B14)</f>
        <v>12364923</v>
      </c>
      <c r="C12" s="113">
        <f>SUM(C13:C14)</f>
        <v>982008</v>
      </c>
      <c r="D12" s="113">
        <f>SUM(D13:D14)</f>
        <v>239676</v>
      </c>
      <c r="E12" s="114">
        <f t="shared" si="0"/>
        <v>0.01938354165246318</v>
      </c>
      <c r="F12" s="121">
        <f t="shared" si="1"/>
        <v>0.2440672581078769</v>
      </c>
      <c r="G12" s="115">
        <f>D12-'[3]Janvaris'!D12</f>
        <v>140031</v>
      </c>
      <c r="H12" s="118" t="s">
        <v>499</v>
      </c>
      <c r="I12" s="113">
        <f>SUM(I13:I14)</f>
        <v>12365</v>
      </c>
      <c r="J12" s="116">
        <f>SUM(J13:J14)</f>
        <v>982</v>
      </c>
      <c r="K12" s="116">
        <f>SUM(K13:K14)</f>
        <v>239</v>
      </c>
      <c r="L12" s="117">
        <f t="shared" si="2"/>
        <v>1.9328750505458958</v>
      </c>
      <c r="M12" s="117">
        <f t="shared" si="3"/>
        <v>24.338085539714868</v>
      </c>
      <c r="N12" s="116">
        <f>K12-'[3]Janvaris'!K12</f>
        <v>139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s="123" customFormat="1" ht="13.5" customHeight="1">
      <c r="A13" s="120" t="s">
        <v>497</v>
      </c>
      <c r="B13" s="36">
        <f>B22+B31+B37+B44+B51+B57+B70+B77+B84+B103+B90+B96+B108</f>
        <v>7130147</v>
      </c>
      <c r="C13" s="36">
        <f>C22+C31+C37+C44+C51+C57+C70+C77+C84+C103</f>
        <v>688518</v>
      </c>
      <c r="D13" s="36">
        <f>D22+D31+D37+D44+D51+D57+D70+D77+D84+D103</f>
        <v>99070</v>
      </c>
      <c r="E13" s="121">
        <f t="shared" si="0"/>
        <v>0.013894524194241718</v>
      </c>
      <c r="F13" s="121">
        <f t="shared" si="1"/>
        <v>0.14388875817335203</v>
      </c>
      <c r="G13" s="115">
        <f>D13-'[3]Janvaris'!D13</f>
        <v>61155</v>
      </c>
      <c r="H13" s="120" t="s">
        <v>497</v>
      </c>
      <c r="I13" s="36">
        <f>I22+I31+I37+I44+I51+I57+I70+I77+I84+I103+I90+I96+I108</f>
        <v>7130</v>
      </c>
      <c r="J13" s="122">
        <f>J22+J31+J37+J44+J51+J57+J70+J77+J84+J103+J90+J96</f>
        <v>689</v>
      </c>
      <c r="K13" s="122">
        <f>K22+K31+K37+K44+K51+K57+K70+K77+K84+K103</f>
        <v>99</v>
      </c>
      <c r="L13" s="79">
        <f t="shared" si="2"/>
        <v>1.388499298737728</v>
      </c>
      <c r="M13" s="79">
        <f t="shared" si="3"/>
        <v>14.368650217706822</v>
      </c>
      <c r="N13" s="122">
        <f>K13-'[3]Janvaris'!K13</f>
        <v>61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s="123" customFormat="1" ht="14.25" customHeight="1">
      <c r="A14" s="120" t="s">
        <v>498</v>
      </c>
      <c r="B14" s="36">
        <f>B38+B45+B58+B64+B71+B78+B85+B97</f>
        <v>5234776</v>
      </c>
      <c r="C14" s="36">
        <f>C38+C45+C58+C64+C71+C78+C85+C97</f>
        <v>293490</v>
      </c>
      <c r="D14" s="36">
        <f>D38+D45+D58+D64+D71+D78+D85+D97</f>
        <v>140606</v>
      </c>
      <c r="E14" s="121">
        <f t="shared" si="0"/>
        <v>0.026859984075727403</v>
      </c>
      <c r="F14" s="121">
        <f t="shared" si="1"/>
        <v>0.4790827626154213</v>
      </c>
      <c r="G14" s="115">
        <f>D14-'[3]Janvaris'!D14</f>
        <v>78876</v>
      </c>
      <c r="H14" s="120" t="s">
        <v>498</v>
      </c>
      <c r="I14" s="36">
        <f>I38+I45+I58+I64+I71+I78+I85+I97</f>
        <v>5235</v>
      </c>
      <c r="J14" s="124">
        <f>J38+J45+J58+J64+J71+J78+J85+J97</f>
        <v>293</v>
      </c>
      <c r="K14" s="124">
        <f>K38+K45+K58+K64+K71+K78+K85+K97</f>
        <v>140</v>
      </c>
      <c r="L14" s="79">
        <f t="shared" si="2"/>
        <v>2.6743075453677174</v>
      </c>
      <c r="M14" s="79">
        <f t="shared" si="3"/>
        <v>47.781569965870304</v>
      </c>
      <c r="N14" s="124">
        <f>K14-'[3]Janvaris'!K14</f>
        <v>78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</row>
    <row r="15" spans="1:104" s="86" customFormat="1" ht="13.5" customHeight="1" hidden="1">
      <c r="A15" s="19" t="s">
        <v>500</v>
      </c>
      <c r="B15" s="122">
        <f aca="true" t="shared" si="4" ref="B15:D16">B16</f>
        <v>0</v>
      </c>
      <c r="C15" s="122">
        <f t="shared" si="4"/>
        <v>0</v>
      </c>
      <c r="D15" s="122">
        <f t="shared" si="4"/>
        <v>0</v>
      </c>
      <c r="E15" s="121" t="str">
        <f t="shared" si="0"/>
        <v> </v>
      </c>
      <c r="F15" s="121" t="str">
        <f t="shared" si="1"/>
        <v> </v>
      </c>
      <c r="G15" s="115">
        <f>D15-'[3]Janvaris'!D15</f>
        <v>0</v>
      </c>
      <c r="H15" s="19" t="s">
        <v>500</v>
      </c>
      <c r="I15" s="122">
        <f aca="true" t="shared" si="5" ref="I15:K16">I16</f>
        <v>0</v>
      </c>
      <c r="J15" s="122">
        <f t="shared" si="5"/>
        <v>0</v>
      </c>
      <c r="K15" s="122">
        <f t="shared" si="5"/>
        <v>0</v>
      </c>
      <c r="L15" s="79" t="e">
        <f t="shared" si="2"/>
        <v>#VALUE!</v>
      </c>
      <c r="M15" s="79" t="e">
        <f t="shared" si="3"/>
        <v>#VALUE!</v>
      </c>
      <c r="N15" s="122">
        <f>K15-'[3]Janvaris'!K15</f>
        <v>0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</row>
    <row r="16" spans="1:104" s="123" customFormat="1" ht="12.75" hidden="1">
      <c r="A16" s="125" t="s">
        <v>501</v>
      </c>
      <c r="B16" s="126">
        <f t="shared" si="4"/>
        <v>0</v>
      </c>
      <c r="C16" s="126">
        <f t="shared" si="4"/>
        <v>0</v>
      </c>
      <c r="D16" s="126">
        <f t="shared" si="4"/>
        <v>0</v>
      </c>
      <c r="E16" s="121" t="str">
        <f t="shared" si="0"/>
        <v> </v>
      </c>
      <c r="F16" s="121" t="str">
        <f t="shared" si="1"/>
        <v> </v>
      </c>
      <c r="G16" s="115">
        <f>D16-'[3]Janvaris'!D16</f>
        <v>0</v>
      </c>
      <c r="H16" s="125" t="s">
        <v>501</v>
      </c>
      <c r="I16" s="126">
        <f t="shared" si="5"/>
        <v>0</v>
      </c>
      <c r="J16" s="126">
        <f t="shared" si="5"/>
        <v>0</v>
      </c>
      <c r="K16" s="126">
        <f t="shared" si="5"/>
        <v>0</v>
      </c>
      <c r="L16" s="127" t="e">
        <f t="shared" si="2"/>
        <v>#VALUE!</v>
      </c>
      <c r="M16" s="127" t="e">
        <f t="shared" si="3"/>
        <v>#VALUE!</v>
      </c>
      <c r="N16" s="126">
        <f>K16-'[3]Janvaris'!K16</f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</row>
    <row r="17" spans="1:104" s="81" customFormat="1" ht="12.75" hidden="1">
      <c r="A17" s="128" t="s">
        <v>497</v>
      </c>
      <c r="B17" s="129"/>
      <c r="C17" s="129"/>
      <c r="D17" s="129"/>
      <c r="E17" s="121" t="str">
        <f t="shared" si="0"/>
        <v> </v>
      </c>
      <c r="F17" s="121" t="str">
        <f t="shared" si="1"/>
        <v> </v>
      </c>
      <c r="G17" s="115">
        <f>D17-'[3]Janvaris'!D17</f>
        <v>0</v>
      </c>
      <c r="H17" s="128" t="s">
        <v>497</v>
      </c>
      <c r="I17" s="129">
        <f>ROUND(B17/1000,0)</f>
        <v>0</v>
      </c>
      <c r="J17" s="129">
        <f>ROUND(C17/1000,0)</f>
        <v>0</v>
      </c>
      <c r="K17" s="129">
        <f>ROUND(D17/1000,0)</f>
        <v>0</v>
      </c>
      <c r="L17" s="100" t="e">
        <f t="shared" si="2"/>
        <v>#VALUE!</v>
      </c>
      <c r="M17" s="100" t="e">
        <f t="shared" si="3"/>
        <v>#VALUE!</v>
      </c>
      <c r="N17" s="129">
        <f>K17-'[3]Janvaris'!K17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86" customFormat="1" ht="13.5" customHeight="1">
      <c r="A18" s="19" t="s">
        <v>502</v>
      </c>
      <c r="B18" s="122">
        <f>B19+B21</f>
        <v>288119</v>
      </c>
      <c r="C18" s="122">
        <f>C19+C21</f>
        <v>266286</v>
      </c>
      <c r="D18" s="122">
        <f>D19+D21</f>
        <v>4315</v>
      </c>
      <c r="E18" s="130">
        <f t="shared" si="0"/>
        <v>0.014976450702661053</v>
      </c>
      <c r="F18" s="130">
        <f t="shared" si="1"/>
        <v>0.0162043817549552</v>
      </c>
      <c r="G18" s="115">
        <f>D18-'[3]Janvaris'!D18</f>
        <v>2141</v>
      </c>
      <c r="H18" s="19" t="s">
        <v>502</v>
      </c>
      <c r="I18" s="122">
        <f>I19+I21</f>
        <v>288</v>
      </c>
      <c r="J18" s="122">
        <f>J19+J21</f>
        <v>266</v>
      </c>
      <c r="K18" s="122">
        <f>K19+K21</f>
        <v>4</v>
      </c>
      <c r="L18" s="79">
        <f t="shared" si="2"/>
        <v>1.3888888888888888</v>
      </c>
      <c r="M18" s="79">
        <f t="shared" si="3"/>
        <v>1.5037593984962405</v>
      </c>
      <c r="N18" s="122">
        <f>K18-'[3]Janvaris'!K18</f>
        <v>2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</row>
    <row r="19" spans="1:104" s="123" customFormat="1" ht="12.75">
      <c r="A19" s="125" t="s">
        <v>501</v>
      </c>
      <c r="B19" s="126">
        <f>B20</f>
        <v>261926</v>
      </c>
      <c r="C19" s="126">
        <f>C20</f>
        <v>261926</v>
      </c>
      <c r="D19" s="126">
        <f>D20</f>
        <v>0</v>
      </c>
      <c r="E19" s="121">
        <f t="shared" si="0"/>
        <v>0</v>
      </c>
      <c r="F19" s="121">
        <f t="shared" si="1"/>
        <v>0</v>
      </c>
      <c r="G19" s="115">
        <f>D19-'[3]Janvaris'!D19</f>
        <v>0</v>
      </c>
      <c r="H19" s="125" t="s">
        <v>501</v>
      </c>
      <c r="I19" s="126">
        <f>I20</f>
        <v>262</v>
      </c>
      <c r="J19" s="126">
        <f>J20</f>
        <v>262</v>
      </c>
      <c r="K19" s="126">
        <f>K20</f>
        <v>0</v>
      </c>
      <c r="L19" s="127">
        <f t="shared" si="2"/>
        <v>0</v>
      </c>
      <c r="M19" s="127">
        <f t="shared" si="3"/>
        <v>0</v>
      </c>
      <c r="N19" s="126">
        <f>K19-'[3]Janvaris'!K19</f>
        <v>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</row>
    <row r="20" spans="1:104" s="81" customFormat="1" ht="12.75">
      <c r="A20" s="128" t="s">
        <v>497</v>
      </c>
      <c r="B20" s="129">
        <v>261926</v>
      </c>
      <c r="C20" s="129">
        <v>261926</v>
      </c>
      <c r="D20" s="129"/>
      <c r="E20" s="121">
        <f t="shared" si="0"/>
        <v>0</v>
      </c>
      <c r="F20" s="121">
        <f t="shared" si="1"/>
        <v>0</v>
      </c>
      <c r="G20" s="115">
        <f>D20-'[3]Janvaris'!D20</f>
        <v>0</v>
      </c>
      <c r="H20" s="128" t="s">
        <v>497</v>
      </c>
      <c r="I20" s="129">
        <f>ROUND(B20/1000,0)</f>
        <v>262</v>
      </c>
      <c r="J20" s="129">
        <f>ROUND(C20/1000,0)</f>
        <v>262</v>
      </c>
      <c r="K20" s="129">
        <f>ROUND(D20/1000,0)</f>
        <v>0</v>
      </c>
      <c r="L20" s="100">
        <f t="shared" si="2"/>
        <v>0</v>
      </c>
      <c r="M20" s="100">
        <f t="shared" si="3"/>
        <v>0</v>
      </c>
      <c r="N20" s="129">
        <f>K20-'[3]Janvaris'!K20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123" customFormat="1" ht="12.75">
      <c r="A21" s="125" t="s">
        <v>503</v>
      </c>
      <c r="B21" s="126">
        <f>B22</f>
        <v>26193</v>
      </c>
      <c r="C21" s="126">
        <f>C22</f>
        <v>4360</v>
      </c>
      <c r="D21" s="126">
        <f>D22</f>
        <v>4315</v>
      </c>
      <c r="E21" s="121">
        <f t="shared" si="0"/>
        <v>0.16473867063719314</v>
      </c>
      <c r="F21" s="121">
        <f t="shared" si="1"/>
        <v>0.9896788990825688</v>
      </c>
      <c r="G21" s="115">
        <f>D21-'[3]Janvaris'!D21</f>
        <v>2141</v>
      </c>
      <c r="H21" s="125" t="s">
        <v>503</v>
      </c>
      <c r="I21" s="126">
        <f>I22</f>
        <v>26</v>
      </c>
      <c r="J21" s="126">
        <f>J22</f>
        <v>4</v>
      </c>
      <c r="K21" s="126">
        <f>K22</f>
        <v>4</v>
      </c>
      <c r="L21" s="127">
        <f t="shared" si="2"/>
        <v>15.384615384615385</v>
      </c>
      <c r="M21" s="127">
        <f t="shared" si="3"/>
        <v>100</v>
      </c>
      <c r="N21" s="126">
        <f>K21-'[3]Janvaris'!K21</f>
        <v>2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</row>
    <row r="22" spans="1:104" s="81" customFormat="1" ht="12.75">
      <c r="A22" s="128" t="s">
        <v>497</v>
      </c>
      <c r="B22" s="129">
        <v>26193</v>
      </c>
      <c r="C22" s="129">
        <v>4360</v>
      </c>
      <c r="D22" s="129">
        <v>4315</v>
      </c>
      <c r="E22" s="121">
        <f t="shared" si="0"/>
        <v>0.16473867063719314</v>
      </c>
      <c r="F22" s="121">
        <f t="shared" si="1"/>
        <v>0.9896788990825688</v>
      </c>
      <c r="G22" s="115">
        <f>D22-'[3]Janvaris'!D22</f>
        <v>2141</v>
      </c>
      <c r="H22" s="128" t="s">
        <v>497</v>
      </c>
      <c r="I22" s="129">
        <f>ROUND(B22/1000,0)</f>
        <v>26</v>
      </c>
      <c r="J22" s="129">
        <f>ROUND(C22/1000,0)</f>
        <v>4</v>
      </c>
      <c r="K22" s="129">
        <f>ROUND(D22/1000,0)</f>
        <v>4</v>
      </c>
      <c r="L22" s="100">
        <f t="shared" si="2"/>
        <v>15.384615384615385</v>
      </c>
      <c r="M22" s="100">
        <f t="shared" si="3"/>
        <v>100</v>
      </c>
      <c r="N22" s="129">
        <f>K22-'[3]Janvaris'!K22</f>
        <v>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86" customFormat="1" ht="13.5" customHeight="1" hidden="1">
      <c r="A23" s="19" t="s">
        <v>504</v>
      </c>
      <c r="B23" s="122">
        <f aca="true" t="shared" si="6" ref="B23:D24">B24</f>
        <v>0</v>
      </c>
      <c r="C23" s="122">
        <f t="shared" si="6"/>
        <v>0</v>
      </c>
      <c r="D23" s="122">
        <f t="shared" si="6"/>
        <v>0</v>
      </c>
      <c r="E23" s="130" t="str">
        <f t="shared" si="0"/>
        <v> </v>
      </c>
      <c r="F23" s="121" t="str">
        <f t="shared" si="1"/>
        <v> </v>
      </c>
      <c r="G23" s="115">
        <f>D23-'[3]Janvaris'!D23</f>
        <v>0</v>
      </c>
      <c r="H23" s="19" t="s">
        <v>504</v>
      </c>
      <c r="I23" s="122">
        <f aca="true" t="shared" si="7" ref="I23:K24">I24</f>
        <v>0</v>
      </c>
      <c r="J23" s="122">
        <f t="shared" si="7"/>
        <v>0</v>
      </c>
      <c r="K23" s="122">
        <f t="shared" si="7"/>
        <v>0</v>
      </c>
      <c r="L23" s="79" t="e">
        <f t="shared" si="2"/>
        <v>#VALUE!</v>
      </c>
      <c r="M23" s="79" t="e">
        <f t="shared" si="3"/>
        <v>#VALUE!</v>
      </c>
      <c r="N23" s="122">
        <f>K23-'[3]Janvaris'!K23</f>
        <v>0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</row>
    <row r="24" spans="1:104" s="123" customFormat="1" ht="12.75" hidden="1">
      <c r="A24" s="125" t="s">
        <v>501</v>
      </c>
      <c r="B24" s="126">
        <f t="shared" si="6"/>
        <v>0</v>
      </c>
      <c r="C24" s="126">
        <f t="shared" si="6"/>
        <v>0</v>
      </c>
      <c r="D24" s="126">
        <f t="shared" si="6"/>
        <v>0</v>
      </c>
      <c r="E24" s="121" t="str">
        <f t="shared" si="0"/>
        <v> </v>
      </c>
      <c r="F24" s="121" t="str">
        <f t="shared" si="1"/>
        <v> </v>
      </c>
      <c r="G24" s="115">
        <f>D24-'[3]Janvaris'!D24</f>
        <v>0</v>
      </c>
      <c r="H24" s="125" t="s">
        <v>501</v>
      </c>
      <c r="I24" s="126">
        <f t="shared" si="7"/>
        <v>0</v>
      </c>
      <c r="J24" s="126">
        <f t="shared" si="7"/>
        <v>0</v>
      </c>
      <c r="K24" s="126">
        <f t="shared" si="7"/>
        <v>0</v>
      </c>
      <c r="L24" s="127" t="e">
        <f t="shared" si="2"/>
        <v>#VALUE!</v>
      </c>
      <c r="M24" s="127" t="e">
        <f t="shared" si="3"/>
        <v>#VALUE!</v>
      </c>
      <c r="N24" s="126">
        <f>K24-'[3]Janvaris'!K24</f>
        <v>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</row>
    <row r="25" spans="1:104" s="81" customFormat="1" ht="12.75" hidden="1">
      <c r="A25" s="128" t="s">
        <v>497</v>
      </c>
      <c r="B25" s="129"/>
      <c r="C25" s="129"/>
      <c r="D25" s="129"/>
      <c r="E25" s="121" t="str">
        <f t="shared" si="0"/>
        <v> </v>
      </c>
      <c r="F25" s="121" t="str">
        <f t="shared" si="1"/>
        <v> </v>
      </c>
      <c r="G25" s="115">
        <f>D25-'[3]Janvaris'!D25</f>
        <v>0</v>
      </c>
      <c r="H25" s="128" t="s">
        <v>497</v>
      </c>
      <c r="I25" s="129">
        <f>ROUND(B25/1000,0)</f>
        <v>0</v>
      </c>
      <c r="J25" s="129">
        <f>ROUND(C25/1000,0)</f>
        <v>0</v>
      </c>
      <c r="K25" s="129">
        <f>ROUND(D25/1000,0)</f>
        <v>0</v>
      </c>
      <c r="L25" s="100" t="e">
        <f t="shared" si="2"/>
        <v>#VALUE!</v>
      </c>
      <c r="M25" s="100" t="e">
        <f t="shared" si="3"/>
        <v>#VALUE!</v>
      </c>
      <c r="N25" s="129">
        <f>K25-'[3]Janvaris'!K25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86" customFormat="1" ht="12">
      <c r="A26" s="19" t="s">
        <v>505</v>
      </c>
      <c r="B26" s="122">
        <f>B27+B30</f>
        <v>6043999</v>
      </c>
      <c r="C26" s="122">
        <f>C27+C30</f>
        <v>553510</v>
      </c>
      <c r="D26" s="122">
        <f>D27+D30</f>
        <v>19713</v>
      </c>
      <c r="E26" s="130">
        <f t="shared" si="0"/>
        <v>0.0032615822735907137</v>
      </c>
      <c r="F26" s="130">
        <f t="shared" si="1"/>
        <v>0.035614532709436146</v>
      </c>
      <c r="G26" s="115">
        <f>D26-'[3]Janvaris'!D26</f>
        <v>19713</v>
      </c>
      <c r="H26" s="19" t="s">
        <v>505</v>
      </c>
      <c r="I26" s="122">
        <f>I27+I30</f>
        <v>6044</v>
      </c>
      <c r="J26" s="122">
        <f>J27+J30</f>
        <v>554</v>
      </c>
      <c r="K26" s="122">
        <f>K27+K30</f>
        <v>20</v>
      </c>
      <c r="L26" s="79">
        <f t="shared" si="2"/>
        <v>0.3309066843150232</v>
      </c>
      <c r="M26" s="79">
        <f t="shared" si="3"/>
        <v>3.6101083032490973</v>
      </c>
      <c r="N26" s="122">
        <f>K26-'[3]Janvaris'!K26</f>
        <v>20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</row>
    <row r="27" spans="1:104" s="123" customFormat="1" ht="12.75">
      <c r="A27" s="125" t="s">
        <v>501</v>
      </c>
      <c r="B27" s="126">
        <f>SUM(B28:B29)</f>
        <v>6027039</v>
      </c>
      <c r="C27" s="126">
        <f>SUM(C28:C29)</f>
        <v>553510</v>
      </c>
      <c r="D27" s="126">
        <f>SUM(D28:D29)</f>
        <v>19713</v>
      </c>
      <c r="E27" s="121">
        <f t="shared" si="0"/>
        <v>0.0032707603186241203</v>
      </c>
      <c r="F27" s="121">
        <f t="shared" si="1"/>
        <v>0.035614532709436146</v>
      </c>
      <c r="G27" s="115">
        <f>D27-'[3]Janvaris'!D27</f>
        <v>19713</v>
      </c>
      <c r="H27" s="125" t="s">
        <v>501</v>
      </c>
      <c r="I27" s="126">
        <f>SUM(I28:I29)</f>
        <v>6027</v>
      </c>
      <c r="J27" s="126">
        <f>SUM(J28:J29)</f>
        <v>554</v>
      </c>
      <c r="K27" s="126">
        <f>SUM(K28:K29)</f>
        <v>20</v>
      </c>
      <c r="L27" s="127">
        <f t="shared" si="2"/>
        <v>0.3318400530944085</v>
      </c>
      <c r="M27" s="127">
        <f t="shared" si="3"/>
        <v>3.6101083032490973</v>
      </c>
      <c r="N27" s="126">
        <f>K27-'[3]Janvaris'!K27</f>
        <v>20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1:104" s="81" customFormat="1" ht="12.75">
      <c r="A28" s="128" t="s">
        <v>497</v>
      </c>
      <c r="B28" s="129">
        <v>5729733</v>
      </c>
      <c r="C28" s="129">
        <v>553510</v>
      </c>
      <c r="D28" s="129">
        <v>19713</v>
      </c>
      <c r="E28" s="121">
        <f t="shared" si="0"/>
        <v>0.0034404744514273176</v>
      </c>
      <c r="F28" s="121">
        <f t="shared" si="1"/>
        <v>0.035614532709436146</v>
      </c>
      <c r="G28" s="115">
        <f>D28-'[3]Janvaris'!D28</f>
        <v>19713</v>
      </c>
      <c r="H28" s="128" t="s">
        <v>497</v>
      </c>
      <c r="I28" s="129">
        <f aca="true" t="shared" si="8" ref="I28:K29">ROUND(B28/1000,0)</f>
        <v>5730</v>
      </c>
      <c r="J28" s="129">
        <f t="shared" si="8"/>
        <v>554</v>
      </c>
      <c r="K28" s="129">
        <f t="shared" si="8"/>
        <v>20</v>
      </c>
      <c r="L28" s="100">
        <f t="shared" si="2"/>
        <v>0.34904013961605584</v>
      </c>
      <c r="M28" s="100">
        <f t="shared" si="3"/>
        <v>3.6101083032490973</v>
      </c>
      <c r="N28" s="129">
        <f>K28-'[3]Janvaris'!K28</f>
        <v>20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81" customFormat="1" ht="12.75">
      <c r="A29" s="128" t="s">
        <v>498</v>
      </c>
      <c r="B29" s="129">
        <v>297306</v>
      </c>
      <c r="C29" s="129"/>
      <c r="D29" s="129"/>
      <c r="E29" s="121">
        <f t="shared" si="0"/>
        <v>0</v>
      </c>
      <c r="F29" s="121" t="str">
        <f t="shared" si="1"/>
        <v> </v>
      </c>
      <c r="G29" s="115">
        <f>D29-'[3]Janvaris'!D29</f>
        <v>0</v>
      </c>
      <c r="H29" s="128" t="s">
        <v>498</v>
      </c>
      <c r="I29" s="129">
        <f t="shared" si="8"/>
        <v>297</v>
      </c>
      <c r="J29" s="129">
        <f t="shared" si="8"/>
        <v>0</v>
      </c>
      <c r="K29" s="129">
        <f t="shared" si="8"/>
        <v>0</v>
      </c>
      <c r="L29" s="100">
        <f t="shared" si="2"/>
        <v>0</v>
      </c>
      <c r="M29" s="100"/>
      <c r="N29" s="129">
        <f>K29-'[3]Janvaris'!K29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23" customFormat="1" ht="12.75">
      <c r="A30" s="125" t="s">
        <v>503</v>
      </c>
      <c r="B30" s="126">
        <f>B31</f>
        <v>16960</v>
      </c>
      <c r="C30" s="126">
        <f>C31</f>
        <v>0</v>
      </c>
      <c r="D30" s="126">
        <f>D31</f>
        <v>0</v>
      </c>
      <c r="E30" s="121">
        <f t="shared" si="0"/>
        <v>0</v>
      </c>
      <c r="F30" s="121" t="str">
        <f t="shared" si="1"/>
        <v> </v>
      </c>
      <c r="G30" s="115">
        <f>D30-'[3]Janvaris'!D30</f>
        <v>0</v>
      </c>
      <c r="H30" s="125" t="s">
        <v>503</v>
      </c>
      <c r="I30" s="126">
        <f>I31</f>
        <v>17</v>
      </c>
      <c r="J30" s="126">
        <f>J31</f>
        <v>0</v>
      </c>
      <c r="K30" s="126">
        <f>K31</f>
        <v>0</v>
      </c>
      <c r="L30" s="127">
        <f t="shared" si="2"/>
        <v>0</v>
      </c>
      <c r="M30" s="127"/>
      <c r="N30" s="126">
        <f>K30-'[3]Janvaris'!K30</f>
        <v>0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</row>
    <row r="31" spans="1:104" s="81" customFormat="1" ht="12.75">
      <c r="A31" s="128" t="s">
        <v>497</v>
      </c>
      <c r="B31" s="129">
        <v>16960</v>
      </c>
      <c r="C31" s="129"/>
      <c r="D31" s="129"/>
      <c r="E31" s="121">
        <f t="shared" si="0"/>
        <v>0</v>
      </c>
      <c r="F31" s="121" t="str">
        <f t="shared" si="1"/>
        <v> </v>
      </c>
      <c r="G31" s="115">
        <f>D31-'[3]Janvaris'!D31</f>
        <v>0</v>
      </c>
      <c r="H31" s="128" t="s">
        <v>497</v>
      </c>
      <c r="I31" s="129">
        <f>ROUND(B31/1000,0)</f>
        <v>17</v>
      </c>
      <c r="J31" s="129">
        <f>ROUND(C31/1000,0)</f>
        <v>0</v>
      </c>
      <c r="K31" s="129">
        <f>ROUND(D31/1000,0)</f>
        <v>0</v>
      </c>
      <c r="L31" s="100">
        <f t="shared" si="2"/>
        <v>0</v>
      </c>
      <c r="M31" s="100"/>
      <c r="N31" s="129">
        <f>K31-'[3]Janvaris'!K31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86" customFormat="1" ht="12">
      <c r="A32" s="19" t="s">
        <v>506</v>
      </c>
      <c r="B32" s="122">
        <f>B33+B36</f>
        <v>3710930</v>
      </c>
      <c r="C32" s="122">
        <f>C33+C36</f>
        <v>671332</v>
      </c>
      <c r="D32" s="122">
        <f>D33+D36</f>
        <v>538504</v>
      </c>
      <c r="E32" s="130">
        <f t="shared" si="0"/>
        <v>0.14511295012301498</v>
      </c>
      <c r="F32" s="130">
        <f t="shared" si="1"/>
        <v>0.8021426060429117</v>
      </c>
      <c r="G32" s="115">
        <f>D32-'[3]Janvaris'!D32</f>
        <v>435309</v>
      </c>
      <c r="H32" s="19" t="s">
        <v>506</v>
      </c>
      <c r="I32" s="122">
        <f>I33+I36</f>
        <v>3711</v>
      </c>
      <c r="J32" s="122">
        <f>J33+J36</f>
        <v>671</v>
      </c>
      <c r="K32" s="122">
        <f>K33+K36</f>
        <v>538</v>
      </c>
      <c r="L32" s="79">
        <f t="shared" si="2"/>
        <v>14.497440043115065</v>
      </c>
      <c r="M32" s="79">
        <f>IF(ISERROR(ROUND(K32,0)/ROUND(J32,0))," ",(ROUND(K32,)/ROUND(J32,)))*100</f>
        <v>80.17883755588674</v>
      </c>
      <c r="N32" s="122">
        <f>K32-'[3]Janvaris'!K32</f>
        <v>435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</row>
    <row r="33" spans="1:104" s="123" customFormat="1" ht="12.75">
      <c r="A33" s="125" t="s">
        <v>501</v>
      </c>
      <c r="B33" s="126">
        <f>SUM(B34:B35)</f>
        <v>2840580</v>
      </c>
      <c r="C33" s="126">
        <f>SUM(C34:C35)</f>
        <v>586332</v>
      </c>
      <c r="D33" s="126">
        <f>SUM(D34:D35)</f>
        <v>478125</v>
      </c>
      <c r="E33" s="121">
        <f t="shared" si="0"/>
        <v>0.16831949813066346</v>
      </c>
      <c r="F33" s="121">
        <f t="shared" si="1"/>
        <v>0.8154509731687849</v>
      </c>
      <c r="G33" s="115">
        <f>D33-'[3]Janvaris'!D33</f>
        <v>419610</v>
      </c>
      <c r="H33" s="125" t="s">
        <v>501</v>
      </c>
      <c r="I33" s="126">
        <f>SUM(I34:I35)</f>
        <v>2841</v>
      </c>
      <c r="J33" s="126">
        <f>SUM(J34:J35)</f>
        <v>586</v>
      </c>
      <c r="K33" s="126">
        <f>SUM(K34:K35)</f>
        <v>478</v>
      </c>
      <c r="L33" s="127">
        <f t="shared" si="2"/>
        <v>16.825061598028864</v>
      </c>
      <c r="M33" s="127">
        <f>IF(ISERROR(ROUND(K33,0)/ROUND(J33,0))," ",(ROUND(K33,)/ROUND(J33,)))*100</f>
        <v>81.56996587030717</v>
      </c>
      <c r="N33" s="126">
        <f>K33-'[3]Janvaris'!K33</f>
        <v>420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</row>
    <row r="34" spans="1:104" s="81" customFormat="1" ht="12.75">
      <c r="A34" s="128" t="s">
        <v>497</v>
      </c>
      <c r="B34" s="129">
        <v>1626717</v>
      </c>
      <c r="C34" s="129">
        <v>209882</v>
      </c>
      <c r="D34" s="129">
        <v>120288</v>
      </c>
      <c r="E34" s="121">
        <f t="shared" si="0"/>
        <v>0.07394525292352634</v>
      </c>
      <c r="F34" s="121">
        <f t="shared" si="1"/>
        <v>0.5731220400034305</v>
      </c>
      <c r="G34" s="115">
        <f>D34-'[3]Janvaris'!D34</f>
        <v>120288</v>
      </c>
      <c r="H34" s="128" t="s">
        <v>497</v>
      </c>
      <c r="I34" s="129">
        <f aca="true" t="shared" si="9" ref="I34:K35">ROUND(B34/1000,0)</f>
        <v>1627</v>
      </c>
      <c r="J34" s="129">
        <f t="shared" si="9"/>
        <v>210</v>
      </c>
      <c r="K34" s="129">
        <f t="shared" si="9"/>
        <v>120</v>
      </c>
      <c r="L34" s="100">
        <f t="shared" si="2"/>
        <v>7.375537799631224</v>
      </c>
      <c r="M34" s="100">
        <f>IF(ISERROR(ROUND(K34,0)/ROUND(J34,0))," ",(ROUND(K34,)/ROUND(J34,)))*100</f>
        <v>57.14285714285714</v>
      </c>
      <c r="N34" s="129">
        <f>K34-'[3]Janvaris'!K34</f>
        <v>120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81" customFormat="1" ht="12.75">
      <c r="A35" s="128" t="s">
        <v>498</v>
      </c>
      <c r="B35" s="129">
        <v>1213863</v>
      </c>
      <c r="C35" s="129">
        <v>376450</v>
      </c>
      <c r="D35" s="129">
        <v>357837</v>
      </c>
      <c r="E35" s="121">
        <f t="shared" si="0"/>
        <v>0.2947919163859513</v>
      </c>
      <c r="F35" s="121">
        <f t="shared" si="1"/>
        <v>0.9505565148094036</v>
      </c>
      <c r="G35" s="115">
        <f>D35-'[3]Janvaris'!D35</f>
        <v>299322</v>
      </c>
      <c r="H35" s="128" t="s">
        <v>498</v>
      </c>
      <c r="I35" s="129">
        <f t="shared" si="9"/>
        <v>1214</v>
      </c>
      <c r="J35" s="129">
        <f t="shared" si="9"/>
        <v>376</v>
      </c>
      <c r="K35" s="129">
        <f t="shared" si="9"/>
        <v>358</v>
      </c>
      <c r="L35" s="100">
        <f t="shared" si="2"/>
        <v>29.489291598023065</v>
      </c>
      <c r="M35" s="100">
        <f>IF(ISERROR(ROUND(K35,0)/ROUND(J35,0))," ",(ROUND(K35,)/ROUND(J35,)))*100</f>
        <v>95.2127659574468</v>
      </c>
      <c r="N35" s="129">
        <f>K35-'[3]Janvaris'!K35</f>
        <v>300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23" customFormat="1" ht="12.75">
      <c r="A36" s="125" t="s">
        <v>503</v>
      </c>
      <c r="B36" s="126">
        <f>SUM(B37:B38)</f>
        <v>870350</v>
      </c>
      <c r="C36" s="126">
        <f>SUM(C37:C38)</f>
        <v>85000</v>
      </c>
      <c r="D36" s="126">
        <f>SUM(D37:D38)</f>
        <v>60379</v>
      </c>
      <c r="E36" s="121">
        <f t="shared" si="0"/>
        <v>0.0693732406503131</v>
      </c>
      <c r="F36" s="121">
        <f t="shared" si="1"/>
        <v>0.7103411764705883</v>
      </c>
      <c r="G36" s="115">
        <f>D36-'[3]Janvaris'!D36</f>
        <v>15699</v>
      </c>
      <c r="H36" s="125" t="s">
        <v>503</v>
      </c>
      <c r="I36" s="126">
        <f>SUM(I37:I38)</f>
        <v>870</v>
      </c>
      <c r="J36" s="126">
        <f>SUM(J37:J38)</f>
        <v>85</v>
      </c>
      <c r="K36" s="126">
        <f>SUM(K37:K38)</f>
        <v>60</v>
      </c>
      <c r="L36" s="127">
        <f t="shared" si="2"/>
        <v>6.896551724137931</v>
      </c>
      <c r="M36" s="127">
        <f>IF(ISERROR(ROUND(K36,0)/ROUND(J36,0))," ",(ROUND(K36,)/ROUND(J36,)))*100</f>
        <v>70.58823529411765</v>
      </c>
      <c r="N36" s="126">
        <f>K36-'[3]Janvaris'!K36</f>
        <v>15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</row>
    <row r="37" spans="1:104" s="81" customFormat="1" ht="12.75">
      <c r="A37" s="128" t="s">
        <v>497</v>
      </c>
      <c r="B37" s="129">
        <v>73450</v>
      </c>
      <c r="C37" s="129"/>
      <c r="D37" s="129"/>
      <c r="E37" s="121">
        <f t="shared" si="0"/>
        <v>0</v>
      </c>
      <c r="F37" s="121" t="str">
        <f t="shared" si="1"/>
        <v> </v>
      </c>
      <c r="G37" s="115">
        <f>D37-'[3]Janvaris'!D37</f>
        <v>0</v>
      </c>
      <c r="H37" s="128" t="s">
        <v>497</v>
      </c>
      <c r="I37" s="129">
        <f aca="true" t="shared" si="10" ref="I37:K38">ROUND(B37/1000,0)</f>
        <v>73</v>
      </c>
      <c r="J37" s="129">
        <f t="shared" si="10"/>
        <v>0</v>
      </c>
      <c r="K37" s="129">
        <f t="shared" si="10"/>
        <v>0</v>
      </c>
      <c r="L37" s="100">
        <f t="shared" si="2"/>
        <v>0</v>
      </c>
      <c r="M37" s="100"/>
      <c r="N37" s="129">
        <f>K37-'[3]Janvaris'!K37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81" customFormat="1" ht="12.75">
      <c r="A38" s="128" t="s">
        <v>498</v>
      </c>
      <c r="B38" s="129">
        <v>796900</v>
      </c>
      <c r="C38" s="129">
        <v>85000</v>
      </c>
      <c r="D38" s="129">
        <v>60379</v>
      </c>
      <c r="E38" s="121">
        <f t="shared" si="0"/>
        <v>0.07576734847534194</v>
      </c>
      <c r="F38" s="121">
        <f t="shared" si="1"/>
        <v>0.7103411764705883</v>
      </c>
      <c r="G38" s="115">
        <f>D38-'[3]Janvaris'!D38</f>
        <v>15699</v>
      </c>
      <c r="H38" s="128" t="s">
        <v>498</v>
      </c>
      <c r="I38" s="129">
        <f t="shared" si="10"/>
        <v>797</v>
      </c>
      <c r="J38" s="129">
        <f t="shared" si="10"/>
        <v>85</v>
      </c>
      <c r="K38" s="129">
        <f t="shared" si="10"/>
        <v>60</v>
      </c>
      <c r="L38" s="100">
        <f t="shared" si="2"/>
        <v>7.528230865746549</v>
      </c>
      <c r="M38" s="100">
        <f>IF(ISERROR(ROUND(K38,0)/ROUND(J38,0))," ",(ROUND(K38,)/ROUND(J38,)))*100</f>
        <v>70.58823529411765</v>
      </c>
      <c r="N38" s="129">
        <f>K38-'[3]Janvaris'!K38</f>
        <v>15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86" customFormat="1" ht="12">
      <c r="A39" s="19" t="s">
        <v>507</v>
      </c>
      <c r="B39" s="122">
        <f>B40+B43</f>
        <v>4195425</v>
      </c>
      <c r="C39" s="122">
        <f>C40+C43</f>
        <v>366832</v>
      </c>
      <c r="D39" s="122">
        <f>D40+D43</f>
        <v>16350</v>
      </c>
      <c r="E39" s="130">
        <f t="shared" si="0"/>
        <v>0.0038971022006113803</v>
      </c>
      <c r="F39" s="130">
        <f t="shared" si="1"/>
        <v>0.044570811706721336</v>
      </c>
      <c r="G39" s="115">
        <f>D39-'[3]Janvaris'!D39</f>
        <v>16350</v>
      </c>
      <c r="H39" s="19" t="s">
        <v>507</v>
      </c>
      <c r="I39" s="122">
        <f>I40+I43</f>
        <v>4196</v>
      </c>
      <c r="J39" s="122">
        <f>J40+J43</f>
        <v>367</v>
      </c>
      <c r="K39" s="122">
        <f>K40+K43</f>
        <v>16</v>
      </c>
      <c r="L39" s="79">
        <f t="shared" si="2"/>
        <v>0.3813155386081983</v>
      </c>
      <c r="M39" s="79">
        <f>IF(ISERROR(ROUND(K39,0)/ROUND(J39,0))," ",(ROUND(K39,)/ROUND(J39,)))*100</f>
        <v>4.35967302452316</v>
      </c>
      <c r="N39" s="122">
        <f>K39-'[3]Janvaris'!K39</f>
        <v>16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</row>
    <row r="40" spans="1:104" s="123" customFormat="1" ht="12.75">
      <c r="A40" s="125" t="s">
        <v>501</v>
      </c>
      <c r="B40" s="126">
        <f>SUM(B41:B42)</f>
        <v>3361152</v>
      </c>
      <c r="C40" s="126">
        <f>SUM(C41:C42)</f>
        <v>366832</v>
      </c>
      <c r="D40" s="126">
        <f>SUM(D41:D42)</f>
        <v>16350</v>
      </c>
      <c r="E40" s="121">
        <f t="shared" si="0"/>
        <v>0.0048644036330401</v>
      </c>
      <c r="F40" s="121">
        <f t="shared" si="1"/>
        <v>0.044570811706721336</v>
      </c>
      <c r="G40" s="115">
        <f>D40-'[3]Janvaris'!D40</f>
        <v>16350</v>
      </c>
      <c r="H40" s="125" t="s">
        <v>501</v>
      </c>
      <c r="I40" s="126">
        <f>SUM(I41:I42)</f>
        <v>3361</v>
      </c>
      <c r="J40" s="126">
        <f>SUM(J41:J42)</f>
        <v>367</v>
      </c>
      <c r="K40" s="126">
        <f>SUM(K41:K42)</f>
        <v>16</v>
      </c>
      <c r="L40" s="127">
        <f t="shared" si="2"/>
        <v>0.47604879500148767</v>
      </c>
      <c r="M40" s="127">
        <f>IF(ISERROR(ROUND(K40,0)/ROUND(J40,0))," ",(ROUND(K40,)/ROUND(J40,)))*100</f>
        <v>4.35967302452316</v>
      </c>
      <c r="N40" s="126">
        <f>K40-'[3]Janvaris'!K40</f>
        <v>16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</row>
    <row r="41" spans="1:104" s="81" customFormat="1" ht="12.75">
      <c r="A41" s="128" t="s">
        <v>497</v>
      </c>
      <c r="B41" s="129">
        <v>240052</v>
      </c>
      <c r="C41" s="129">
        <v>37612</v>
      </c>
      <c r="D41" s="129">
        <v>16350</v>
      </c>
      <c r="E41" s="121">
        <f t="shared" si="0"/>
        <v>0.06811024278073084</v>
      </c>
      <c r="F41" s="121">
        <f t="shared" si="1"/>
        <v>0.4347016909496969</v>
      </c>
      <c r="G41" s="115">
        <f>D41-'[3]Janvaris'!D41</f>
        <v>16350</v>
      </c>
      <c r="H41" s="128" t="s">
        <v>497</v>
      </c>
      <c r="I41" s="129">
        <f aca="true" t="shared" si="11" ref="I41:K42">ROUND(B41/1000,0)</f>
        <v>240</v>
      </c>
      <c r="J41" s="129">
        <f t="shared" si="11"/>
        <v>38</v>
      </c>
      <c r="K41" s="129">
        <f t="shared" si="11"/>
        <v>16</v>
      </c>
      <c r="L41" s="100">
        <f t="shared" si="2"/>
        <v>6.666666666666667</v>
      </c>
      <c r="M41" s="100">
        <f>IF(ISERROR(ROUND(K41,0)/ROUND(J41,0))," ",(ROUND(K41,)/ROUND(J41,)))*100</f>
        <v>42.10526315789473</v>
      </c>
      <c r="N41" s="129">
        <f>K41-'[3]Janvaris'!K41</f>
        <v>16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81" customFormat="1" ht="12.75">
      <c r="A42" s="128" t="s">
        <v>498</v>
      </c>
      <c r="B42" s="129">
        <v>3121100</v>
      </c>
      <c r="C42" s="129">
        <v>329220</v>
      </c>
      <c r="D42" s="129"/>
      <c r="E42" s="121">
        <f t="shared" si="0"/>
        <v>0</v>
      </c>
      <c r="F42" s="121">
        <f t="shared" si="1"/>
        <v>0</v>
      </c>
      <c r="G42" s="115">
        <f>D42-'[3]Janvaris'!D42</f>
        <v>0</v>
      </c>
      <c r="H42" s="128" t="s">
        <v>498</v>
      </c>
      <c r="I42" s="129">
        <f t="shared" si="11"/>
        <v>3121</v>
      </c>
      <c r="J42" s="129">
        <f t="shared" si="11"/>
        <v>329</v>
      </c>
      <c r="K42" s="129">
        <f t="shared" si="11"/>
        <v>0</v>
      </c>
      <c r="L42" s="100">
        <f t="shared" si="2"/>
        <v>0</v>
      </c>
      <c r="M42" s="100">
        <f>IF(ISERROR(ROUND(K42,0)/ROUND(J42,0))," ",(ROUND(K42,)/ROUND(J42,)))*100</f>
        <v>0</v>
      </c>
      <c r="N42" s="129">
        <f>K42-'[3]Janvaris'!K42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23" customFormat="1" ht="12.75">
      <c r="A43" s="125" t="s">
        <v>503</v>
      </c>
      <c r="B43" s="126">
        <f>SUM(B44:B45)</f>
        <v>834273</v>
      </c>
      <c r="C43" s="126">
        <f>SUM(C44:C45)</f>
        <v>0</v>
      </c>
      <c r="D43" s="126">
        <f>SUM(D44:D45)</f>
        <v>0</v>
      </c>
      <c r="E43" s="121">
        <f t="shared" si="0"/>
        <v>0</v>
      </c>
      <c r="F43" s="121" t="str">
        <f t="shared" si="1"/>
        <v> </v>
      </c>
      <c r="G43" s="115">
        <f>D43-'[3]Janvaris'!D43</f>
        <v>0</v>
      </c>
      <c r="H43" s="125" t="s">
        <v>503</v>
      </c>
      <c r="I43" s="126">
        <f>SUM(I44:I45)</f>
        <v>835</v>
      </c>
      <c r="J43" s="126">
        <f>SUM(J44:J45)</f>
        <v>0</v>
      </c>
      <c r="K43" s="126">
        <f>SUM(K44:K45)</f>
        <v>0</v>
      </c>
      <c r="L43" s="127">
        <f t="shared" si="2"/>
        <v>0</v>
      </c>
      <c r="M43" s="127"/>
      <c r="N43" s="126">
        <f>K43-'[3]Janvaris'!K43</f>
        <v>0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</row>
    <row r="44" spans="1:104" s="81" customFormat="1" ht="12.75">
      <c r="A44" s="128" t="s">
        <v>497</v>
      </c>
      <c r="B44" s="129">
        <v>6623</v>
      </c>
      <c r="C44" s="129"/>
      <c r="D44" s="129"/>
      <c r="E44" s="121">
        <f t="shared" si="0"/>
        <v>0</v>
      </c>
      <c r="F44" s="121" t="str">
        <f t="shared" si="1"/>
        <v> </v>
      </c>
      <c r="G44" s="115">
        <f>D44-'[3]Janvaris'!D44</f>
        <v>0</v>
      </c>
      <c r="H44" s="128" t="s">
        <v>497</v>
      </c>
      <c r="I44" s="129">
        <f aca="true" t="shared" si="12" ref="I44:K45">ROUND(B44/1000,0)</f>
        <v>7</v>
      </c>
      <c r="J44" s="129">
        <f t="shared" si="12"/>
        <v>0</v>
      </c>
      <c r="K44" s="129">
        <f t="shared" si="12"/>
        <v>0</v>
      </c>
      <c r="L44" s="100">
        <f t="shared" si="2"/>
        <v>0</v>
      </c>
      <c r="M44" s="100"/>
      <c r="N44" s="129">
        <f>K44-'[3]Janvaris'!K44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81" customFormat="1" ht="12.75">
      <c r="A45" s="128" t="s">
        <v>498</v>
      </c>
      <c r="B45" s="129">
        <v>827650</v>
      </c>
      <c r="C45" s="129"/>
      <c r="D45" s="129"/>
      <c r="E45" s="121">
        <f t="shared" si="0"/>
        <v>0</v>
      </c>
      <c r="F45" s="121" t="str">
        <f t="shared" si="1"/>
        <v> </v>
      </c>
      <c r="G45" s="115">
        <f>D45-'[3]Janvaris'!D45</f>
        <v>0</v>
      </c>
      <c r="H45" s="128" t="s">
        <v>498</v>
      </c>
      <c r="I45" s="129">
        <f t="shared" si="12"/>
        <v>828</v>
      </c>
      <c r="J45" s="129">
        <f t="shared" si="12"/>
        <v>0</v>
      </c>
      <c r="K45" s="129">
        <f t="shared" si="12"/>
        <v>0</v>
      </c>
      <c r="L45" s="100">
        <f t="shared" si="2"/>
        <v>0</v>
      </c>
      <c r="M45" s="100"/>
      <c r="N45" s="129">
        <f>K45-'[3]Janvaris'!K45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86" customFormat="1" ht="12">
      <c r="A46" s="80" t="s">
        <v>508</v>
      </c>
      <c r="B46" s="122">
        <f>B47+B50</f>
        <v>4381568</v>
      </c>
      <c r="C46" s="122">
        <f>C47+C50</f>
        <v>2587205</v>
      </c>
      <c r="D46" s="122">
        <f>D47+D50</f>
        <v>1242047</v>
      </c>
      <c r="E46" s="130">
        <f t="shared" si="0"/>
        <v>0.28347089443779033</v>
      </c>
      <c r="F46" s="130">
        <f t="shared" si="1"/>
        <v>0.480072897199874</v>
      </c>
      <c r="G46" s="115">
        <f>D46-'[3]Janvaris'!D46</f>
        <v>1225701</v>
      </c>
      <c r="H46" s="80" t="s">
        <v>508</v>
      </c>
      <c r="I46" s="122">
        <f>I47+I50</f>
        <v>4381</v>
      </c>
      <c r="J46" s="122">
        <f>J47+J50</f>
        <v>2588</v>
      </c>
      <c r="K46" s="122">
        <f>K47+K50</f>
        <v>1242</v>
      </c>
      <c r="L46" s="79">
        <f t="shared" si="2"/>
        <v>28.34969185117553</v>
      </c>
      <c r="M46" s="79">
        <f>IF(ISERROR(ROUND(K46,0)/ROUND(J46,0))," ",(ROUND(K46,)/ROUND(J46,)))*100</f>
        <v>47.990726429675426</v>
      </c>
      <c r="N46" s="122">
        <f>K46-'[3]Janvaris'!K46</f>
        <v>1226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</row>
    <row r="47" spans="1:104" s="123" customFormat="1" ht="12.75" customHeight="1">
      <c r="A47" s="125" t="s">
        <v>501</v>
      </c>
      <c r="B47" s="126">
        <f>SUM(B48:B49)</f>
        <v>2766209</v>
      </c>
      <c r="C47" s="126">
        <f>SUM(C48:C49)</f>
        <v>1965629</v>
      </c>
      <c r="D47" s="126">
        <f>SUM(D48:D49)</f>
        <v>1203004</v>
      </c>
      <c r="E47" s="121">
        <f t="shared" si="0"/>
        <v>0.4348926635695278</v>
      </c>
      <c r="F47" s="121">
        <f t="shared" si="1"/>
        <v>0.6120198674317483</v>
      </c>
      <c r="G47" s="115">
        <f>D47-'[3]Janvaris'!D47</f>
        <v>1203004</v>
      </c>
      <c r="H47" s="125" t="s">
        <v>501</v>
      </c>
      <c r="I47" s="126">
        <f>I48+I49</f>
        <v>2766</v>
      </c>
      <c r="J47" s="126">
        <f>J48+J49</f>
        <v>1966</v>
      </c>
      <c r="K47" s="126">
        <f>K48+K49</f>
        <v>1203</v>
      </c>
      <c r="L47" s="127">
        <f t="shared" si="2"/>
        <v>43.49240780911063</v>
      </c>
      <c r="M47" s="127">
        <f>IF(ISERROR(ROUND(K47,0)/ROUND(J47,0))," ",(ROUND(K47,)/ROUND(J47,)))*100</f>
        <v>61.190233977619535</v>
      </c>
      <c r="N47" s="126">
        <f>K47-'[3]Janvaris'!K47</f>
        <v>1203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</row>
    <row r="48" spans="1:104" s="81" customFormat="1" ht="12.75">
      <c r="A48" s="128" t="s">
        <v>497</v>
      </c>
      <c r="B48" s="129">
        <v>2682429</v>
      </c>
      <c r="C48" s="129">
        <v>1909048</v>
      </c>
      <c r="D48" s="129">
        <v>1203004</v>
      </c>
      <c r="E48" s="121">
        <f t="shared" si="0"/>
        <v>0.4484756166892022</v>
      </c>
      <c r="F48" s="121">
        <f t="shared" si="1"/>
        <v>0.6301591159572729</v>
      </c>
      <c r="G48" s="115">
        <f>D48-'[3]Janvaris'!D48</f>
        <v>1203004</v>
      </c>
      <c r="H48" s="128" t="s">
        <v>497</v>
      </c>
      <c r="I48" s="129">
        <f aca="true" t="shared" si="13" ref="I48:K49">ROUND(B48/1000,0)</f>
        <v>2682</v>
      </c>
      <c r="J48" s="129">
        <f t="shared" si="13"/>
        <v>1909</v>
      </c>
      <c r="K48" s="129">
        <f t="shared" si="13"/>
        <v>1203</v>
      </c>
      <c r="L48" s="100">
        <f t="shared" si="2"/>
        <v>44.85458612975391</v>
      </c>
      <c r="M48" s="100">
        <f aca="true" t="shared" si="14" ref="M48:M56">IF(ISERROR(ROUND(K48,0)/ROUND(J48,0))," ",(ROUND(K48,)/ROUND(J48,)))*100</f>
        <v>63.01728653745416</v>
      </c>
      <c r="N48" s="129">
        <f>K48-'[3]Janvaris'!K48</f>
        <v>1203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81" customFormat="1" ht="12.75">
      <c r="A49" s="128" t="s">
        <v>498</v>
      </c>
      <c r="B49" s="129">
        <v>83780</v>
      </c>
      <c r="C49" s="129">
        <v>56581</v>
      </c>
      <c r="D49" s="129"/>
      <c r="E49" s="121">
        <f t="shared" si="0"/>
        <v>0</v>
      </c>
      <c r="F49" s="121">
        <f t="shared" si="1"/>
        <v>0</v>
      </c>
      <c r="G49" s="115">
        <f>D49-'[3]Janvaris'!D49</f>
        <v>0</v>
      </c>
      <c r="H49" s="128" t="s">
        <v>498</v>
      </c>
      <c r="I49" s="129">
        <f t="shared" si="13"/>
        <v>84</v>
      </c>
      <c r="J49" s="129">
        <f t="shared" si="13"/>
        <v>57</v>
      </c>
      <c r="K49" s="129">
        <f t="shared" si="13"/>
        <v>0</v>
      </c>
      <c r="L49" s="100">
        <f t="shared" si="2"/>
        <v>0</v>
      </c>
      <c r="M49" s="100">
        <f t="shared" si="14"/>
        <v>0</v>
      </c>
      <c r="N49" s="129">
        <f>K49-'[3]Janvaris'!K49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131" customFormat="1" ht="12.75">
      <c r="A50" s="125" t="s">
        <v>503</v>
      </c>
      <c r="B50" s="126">
        <f>B51</f>
        <v>1615359</v>
      </c>
      <c r="C50" s="126">
        <f>C51</f>
        <v>621576</v>
      </c>
      <c r="D50" s="126">
        <f>D51</f>
        <v>39043</v>
      </c>
      <c r="E50" s="121">
        <f t="shared" si="0"/>
        <v>0.02416985945539041</v>
      </c>
      <c r="F50" s="121">
        <f t="shared" si="1"/>
        <v>0.06281291426953421</v>
      </c>
      <c r="G50" s="115">
        <f>D50-'[3]Janvaris'!D50</f>
        <v>22697</v>
      </c>
      <c r="H50" s="125" t="s">
        <v>503</v>
      </c>
      <c r="I50" s="126">
        <f>I51</f>
        <v>1615</v>
      </c>
      <c r="J50" s="126">
        <f>J51</f>
        <v>622</v>
      </c>
      <c r="K50" s="126">
        <f>K51</f>
        <v>39</v>
      </c>
      <c r="L50" s="127">
        <f t="shared" si="2"/>
        <v>2.414860681114551</v>
      </c>
      <c r="M50" s="127">
        <f t="shared" si="14"/>
        <v>6.270096463022508</v>
      </c>
      <c r="N50" s="126">
        <f>K50-'[3]Janvaris'!K50</f>
        <v>23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</row>
    <row r="51" spans="1:104" s="27" customFormat="1" ht="12.75">
      <c r="A51" s="128" t="s">
        <v>497</v>
      </c>
      <c r="B51" s="129">
        <v>1615359</v>
      </c>
      <c r="C51" s="129">
        <v>621576</v>
      </c>
      <c r="D51" s="129">
        <v>39043</v>
      </c>
      <c r="E51" s="121">
        <f t="shared" si="0"/>
        <v>0.02416985945539041</v>
      </c>
      <c r="F51" s="121">
        <f t="shared" si="1"/>
        <v>0.06281291426953421</v>
      </c>
      <c r="G51" s="115">
        <f>D51-'[3]Janvaris'!D51</f>
        <v>22697</v>
      </c>
      <c r="H51" s="128" t="s">
        <v>497</v>
      </c>
      <c r="I51" s="129">
        <f>ROUND(B51/1000,0)</f>
        <v>1615</v>
      </c>
      <c r="J51" s="129">
        <f>ROUND(C51/1000,0)</f>
        <v>622</v>
      </c>
      <c r="K51" s="129">
        <f>ROUND(D51/1000,0)</f>
        <v>39</v>
      </c>
      <c r="L51" s="100">
        <f t="shared" si="2"/>
        <v>2.414860681114551</v>
      </c>
      <c r="M51" s="100">
        <f t="shared" si="14"/>
        <v>6.270096463022508</v>
      </c>
      <c r="N51" s="129">
        <f>K51-'[3]Janvaris'!K51</f>
        <v>23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28" customFormat="1" ht="12">
      <c r="A52" s="19" t="s">
        <v>509</v>
      </c>
      <c r="B52" s="132">
        <f>B53+B56</f>
        <v>21033713</v>
      </c>
      <c r="C52" s="132">
        <f>C53+C56</f>
        <v>775531</v>
      </c>
      <c r="D52" s="132">
        <f>D53+D56</f>
        <v>101080</v>
      </c>
      <c r="E52" s="130">
        <f t="shared" si="0"/>
        <v>0.004805618484953179</v>
      </c>
      <c r="F52" s="130">
        <f t="shared" si="1"/>
        <v>0.13033650492372323</v>
      </c>
      <c r="G52" s="115">
        <f>D52-'[3]Janvaris'!D52</f>
        <v>85525</v>
      </c>
      <c r="H52" s="19" t="s">
        <v>509</v>
      </c>
      <c r="I52" s="122">
        <f>I53+I56</f>
        <v>21033</v>
      </c>
      <c r="J52" s="122">
        <f>J53+J56</f>
        <v>775</v>
      </c>
      <c r="K52" s="122">
        <f>K53+K56</f>
        <v>101</v>
      </c>
      <c r="L52" s="79">
        <f t="shared" si="2"/>
        <v>0.4801977844339847</v>
      </c>
      <c r="M52" s="79">
        <f t="shared" si="14"/>
        <v>13.032258064516128</v>
      </c>
      <c r="N52" s="122">
        <f>K52-'[3]Janvaris'!K52</f>
        <v>85</v>
      </c>
    </row>
    <row r="53" spans="1:14" s="18" customFormat="1" ht="12.75">
      <c r="A53" s="125" t="s">
        <v>501</v>
      </c>
      <c r="B53" s="126">
        <f>SUM(B54:B55)</f>
        <v>16233430</v>
      </c>
      <c r="C53" s="126">
        <f>SUM(C54:C55)</f>
        <v>687031</v>
      </c>
      <c r="D53" s="126">
        <f>SUM(D54:D55)</f>
        <v>44067</v>
      </c>
      <c r="E53" s="121">
        <f t="shared" si="0"/>
        <v>0.0027145834244518873</v>
      </c>
      <c r="F53" s="121">
        <f t="shared" si="1"/>
        <v>0.06414121051306274</v>
      </c>
      <c r="G53" s="115">
        <f>D53-'[3]Janvaris'!D53</f>
        <v>43258</v>
      </c>
      <c r="H53" s="125" t="s">
        <v>501</v>
      </c>
      <c r="I53" s="126">
        <f>SUM(I54:I55)</f>
        <v>16233</v>
      </c>
      <c r="J53" s="126">
        <f>SUM(J54:J55)</f>
        <v>687</v>
      </c>
      <c r="K53" s="126">
        <f>SUM(K54:K55)</f>
        <v>44</v>
      </c>
      <c r="L53" s="127">
        <f t="shared" si="2"/>
        <v>0.27105279369186225</v>
      </c>
      <c r="M53" s="127">
        <f t="shared" si="14"/>
        <v>6.404657933042213</v>
      </c>
      <c r="N53" s="126">
        <f>K53-'[3]Janvaris'!K53</f>
        <v>43</v>
      </c>
    </row>
    <row r="54" spans="1:14" ht="12.75">
      <c r="A54" s="128" t="s">
        <v>497</v>
      </c>
      <c r="B54" s="129">
        <v>14472230</v>
      </c>
      <c r="C54" s="129">
        <v>187831</v>
      </c>
      <c r="D54" s="129">
        <v>44067</v>
      </c>
      <c r="E54" s="121">
        <f t="shared" si="0"/>
        <v>0.003044935023835304</v>
      </c>
      <c r="F54" s="121">
        <f t="shared" si="1"/>
        <v>0.2346098354371749</v>
      </c>
      <c r="G54" s="115">
        <f>D54-'[3]Janvaris'!D54</f>
        <v>43258</v>
      </c>
      <c r="H54" s="128" t="s">
        <v>497</v>
      </c>
      <c r="I54" s="129">
        <f aca="true" t="shared" si="15" ref="I54:K55">ROUND(B54/1000,0)</f>
        <v>14472</v>
      </c>
      <c r="J54" s="129">
        <f t="shared" si="15"/>
        <v>188</v>
      </c>
      <c r="K54" s="129">
        <f t="shared" si="15"/>
        <v>44</v>
      </c>
      <c r="L54" s="100">
        <f t="shared" si="2"/>
        <v>0.30403537866224434</v>
      </c>
      <c r="M54" s="100">
        <f t="shared" si="14"/>
        <v>23.404255319148938</v>
      </c>
      <c r="N54" s="129">
        <f>K54-'[3]Janvaris'!K54</f>
        <v>43</v>
      </c>
    </row>
    <row r="55" spans="1:14" ht="12.75">
      <c r="A55" s="128" t="s">
        <v>498</v>
      </c>
      <c r="B55" s="129">
        <v>1761200</v>
      </c>
      <c r="C55" s="129">
        <v>499200</v>
      </c>
      <c r="D55" s="129"/>
      <c r="E55" s="121">
        <f t="shared" si="0"/>
        <v>0</v>
      </c>
      <c r="F55" s="121">
        <f t="shared" si="1"/>
        <v>0</v>
      </c>
      <c r="G55" s="115">
        <f>D55-'[3]Janvaris'!D55</f>
        <v>0</v>
      </c>
      <c r="H55" s="128" t="s">
        <v>498</v>
      </c>
      <c r="I55" s="129">
        <f t="shared" si="15"/>
        <v>1761</v>
      </c>
      <c r="J55" s="129">
        <f t="shared" si="15"/>
        <v>499</v>
      </c>
      <c r="K55" s="129">
        <f t="shared" si="15"/>
        <v>0</v>
      </c>
      <c r="L55" s="100">
        <f t="shared" si="2"/>
        <v>0</v>
      </c>
      <c r="M55" s="100">
        <f t="shared" si="14"/>
        <v>0</v>
      </c>
      <c r="N55" s="129">
        <f>K55-'[3]Janvaris'!K55</f>
        <v>0</v>
      </c>
    </row>
    <row r="56" spans="1:14" s="18" customFormat="1" ht="12.75">
      <c r="A56" s="125" t="s">
        <v>503</v>
      </c>
      <c r="B56" s="126">
        <f>SUM(B57:B58)</f>
        <v>4800283</v>
      </c>
      <c r="C56" s="126">
        <f>SUM(C57:C58)</f>
        <v>88500</v>
      </c>
      <c r="D56" s="126">
        <f>SUM(D57:D58)</f>
        <v>57013</v>
      </c>
      <c r="E56" s="121">
        <f t="shared" si="0"/>
        <v>0.011877008084731671</v>
      </c>
      <c r="F56" s="121">
        <f t="shared" si="1"/>
        <v>0.6442146892655367</v>
      </c>
      <c r="G56" s="115">
        <f>D56-'[3]Janvaris'!D56</f>
        <v>42267</v>
      </c>
      <c r="H56" s="125" t="s">
        <v>503</v>
      </c>
      <c r="I56" s="126">
        <f>SUM(I57:I58)</f>
        <v>4800</v>
      </c>
      <c r="J56" s="126">
        <f>SUM(J57:J58)</f>
        <v>88</v>
      </c>
      <c r="K56" s="126">
        <f>SUM(K57:K58)</f>
        <v>57</v>
      </c>
      <c r="L56" s="127">
        <f t="shared" si="2"/>
        <v>1.1875</v>
      </c>
      <c r="M56" s="127">
        <f t="shared" si="14"/>
        <v>64.77272727272727</v>
      </c>
      <c r="N56" s="126">
        <f>K56-'[3]Janvaris'!K56</f>
        <v>42</v>
      </c>
    </row>
    <row r="57" spans="1:14" ht="12.75">
      <c r="A57" s="128" t="s">
        <v>497</v>
      </c>
      <c r="B57" s="129">
        <v>4578283</v>
      </c>
      <c r="C57" s="129"/>
      <c r="D57" s="129"/>
      <c r="E57" s="121">
        <f t="shared" si="0"/>
        <v>0</v>
      </c>
      <c r="F57" s="121" t="str">
        <f t="shared" si="1"/>
        <v> </v>
      </c>
      <c r="G57" s="115">
        <f>D57-'[3]Janvaris'!D57</f>
        <v>0</v>
      </c>
      <c r="H57" s="128" t="s">
        <v>497</v>
      </c>
      <c r="I57" s="129">
        <f aca="true" t="shared" si="16" ref="I57:K58">ROUND(B57/1000,0)</f>
        <v>4578</v>
      </c>
      <c r="J57" s="129">
        <f t="shared" si="16"/>
        <v>0</v>
      </c>
      <c r="K57" s="129">
        <f t="shared" si="16"/>
        <v>0</v>
      </c>
      <c r="L57" s="100">
        <f t="shared" si="2"/>
        <v>0</v>
      </c>
      <c r="M57" s="100"/>
      <c r="N57" s="129">
        <f>K57-'[3]Janvaris'!K57</f>
        <v>0</v>
      </c>
    </row>
    <row r="58" spans="1:14" ht="12.75">
      <c r="A58" s="128" t="s">
        <v>498</v>
      </c>
      <c r="B58" s="129">
        <v>222000</v>
      </c>
      <c r="C58" s="129">
        <v>88500</v>
      </c>
      <c r="D58" s="129">
        <v>57013</v>
      </c>
      <c r="E58" s="121">
        <f t="shared" si="0"/>
        <v>0.2568153153153153</v>
      </c>
      <c r="F58" s="121">
        <f t="shared" si="1"/>
        <v>0.6442146892655367</v>
      </c>
      <c r="G58" s="115">
        <f>D58-'[3]Janvaris'!D58</f>
        <v>42267</v>
      </c>
      <c r="H58" s="128" t="s">
        <v>498</v>
      </c>
      <c r="I58" s="129">
        <f t="shared" si="16"/>
        <v>222</v>
      </c>
      <c r="J58" s="129">
        <f>ROUND(C58/1000,0)-1</f>
        <v>88</v>
      </c>
      <c r="K58" s="129">
        <f t="shared" si="16"/>
        <v>57</v>
      </c>
      <c r="L58" s="100">
        <f t="shared" si="2"/>
        <v>25.675675675675674</v>
      </c>
      <c r="M58" s="100">
        <f aca="true" t="shared" si="17" ref="M58:M67">IF(ISERROR(ROUND(K58,0)/ROUND(J58,0))," ",(ROUND(K58,)/ROUND(J58,)))*100</f>
        <v>64.77272727272727</v>
      </c>
      <c r="N58" s="129">
        <f>K58-'[3]Janvaris'!K58</f>
        <v>42</v>
      </c>
    </row>
    <row r="59" spans="1:14" s="28" customFormat="1" ht="12.75" customHeight="1">
      <c r="A59" s="19" t="s">
        <v>510</v>
      </c>
      <c r="B59" s="132">
        <f>B60+B63</f>
        <v>10588731</v>
      </c>
      <c r="C59" s="132">
        <f>C60+C63</f>
        <v>193650</v>
      </c>
      <c r="D59" s="132">
        <f>D60+D63</f>
        <v>101874</v>
      </c>
      <c r="E59" s="130">
        <f t="shared" si="0"/>
        <v>0.009620982910983384</v>
      </c>
      <c r="F59" s="130">
        <f t="shared" si="1"/>
        <v>0.5260728117738187</v>
      </c>
      <c r="G59" s="115">
        <f>D59-'[3]Janvaris'!D59</f>
        <v>39065</v>
      </c>
      <c r="H59" s="19" t="s">
        <v>510</v>
      </c>
      <c r="I59" s="122">
        <f>I60+I63</f>
        <v>10589</v>
      </c>
      <c r="J59" s="122">
        <f>J60+J63</f>
        <v>194</v>
      </c>
      <c r="K59" s="122">
        <f>K60+K63</f>
        <v>102</v>
      </c>
      <c r="L59" s="79">
        <f t="shared" si="2"/>
        <v>0.9632637642836906</v>
      </c>
      <c r="M59" s="79">
        <f t="shared" si="17"/>
        <v>52.57731958762887</v>
      </c>
      <c r="N59" s="122">
        <f>K59-'[3]Janvaris'!K59</f>
        <v>39</v>
      </c>
    </row>
    <row r="60" spans="1:14" s="18" customFormat="1" ht="12.75" customHeight="1">
      <c r="A60" s="125" t="s">
        <v>501</v>
      </c>
      <c r="B60" s="126">
        <f>SUM(B61:B62)</f>
        <v>7873731</v>
      </c>
      <c r="C60" s="126">
        <f>SUM(C61:C62)</f>
        <v>93650</v>
      </c>
      <c r="D60" s="126">
        <f>SUM(D61:D62)</f>
        <v>90483</v>
      </c>
      <c r="E60" s="121">
        <f t="shared" si="0"/>
        <v>0.011491756576393073</v>
      </c>
      <c r="F60" s="121">
        <f t="shared" si="1"/>
        <v>0.9661825947677523</v>
      </c>
      <c r="G60" s="115">
        <f>D60-'[3]Janvaris'!D60</f>
        <v>27674</v>
      </c>
      <c r="H60" s="125" t="s">
        <v>501</v>
      </c>
      <c r="I60" s="126">
        <f>I61+I62</f>
        <v>7874</v>
      </c>
      <c r="J60" s="126">
        <f>J61+J62</f>
        <v>94</v>
      </c>
      <c r="K60" s="126">
        <f>K61+K62</f>
        <v>91</v>
      </c>
      <c r="L60" s="127">
        <f t="shared" si="2"/>
        <v>1.1557023114046228</v>
      </c>
      <c r="M60" s="127">
        <f t="shared" si="17"/>
        <v>96.80851063829788</v>
      </c>
      <c r="N60" s="126">
        <f>K60-'[3]Janvaris'!K60</f>
        <v>28</v>
      </c>
    </row>
    <row r="61" spans="1:14" ht="12.75">
      <c r="A61" s="128" t="s">
        <v>497</v>
      </c>
      <c r="B61" s="129">
        <v>477528</v>
      </c>
      <c r="C61" s="129">
        <v>65976</v>
      </c>
      <c r="D61" s="129">
        <v>62809</v>
      </c>
      <c r="E61" s="121">
        <f t="shared" si="0"/>
        <v>0.13152946005260424</v>
      </c>
      <c r="F61" s="121">
        <f t="shared" si="1"/>
        <v>0.9519976961319268</v>
      </c>
      <c r="G61" s="115">
        <f>D61-'[3]Janvaris'!D61</f>
        <v>0</v>
      </c>
      <c r="H61" s="128" t="s">
        <v>497</v>
      </c>
      <c r="I61" s="129">
        <f aca="true" t="shared" si="18" ref="I61:K62">ROUND(B61/1000,0)</f>
        <v>478</v>
      </c>
      <c r="J61" s="129">
        <f t="shared" si="18"/>
        <v>66</v>
      </c>
      <c r="K61" s="129">
        <f t="shared" si="18"/>
        <v>63</v>
      </c>
      <c r="L61" s="100">
        <f t="shared" si="2"/>
        <v>13.179916317991633</v>
      </c>
      <c r="M61" s="100">
        <f t="shared" si="17"/>
        <v>95.45454545454545</v>
      </c>
      <c r="N61" s="129">
        <f>K61-'[3]Janvaris'!K61</f>
        <v>0</v>
      </c>
    </row>
    <row r="62" spans="1:14" ht="12.75">
      <c r="A62" s="128" t="s">
        <v>498</v>
      </c>
      <c r="B62" s="129">
        <v>7396203</v>
      </c>
      <c r="C62" s="129">
        <v>27674</v>
      </c>
      <c r="D62" s="129">
        <v>27674</v>
      </c>
      <c r="E62" s="121">
        <f t="shared" si="0"/>
        <v>0.0037416496004774344</v>
      </c>
      <c r="F62" s="121">
        <f t="shared" si="1"/>
        <v>1</v>
      </c>
      <c r="G62" s="115">
        <f>D62-'[3]Janvaris'!D62</f>
        <v>27674</v>
      </c>
      <c r="H62" s="128" t="s">
        <v>498</v>
      </c>
      <c r="I62" s="129">
        <f t="shared" si="18"/>
        <v>7396</v>
      </c>
      <c r="J62" s="129">
        <f t="shared" si="18"/>
        <v>28</v>
      </c>
      <c r="K62" s="129">
        <f t="shared" si="18"/>
        <v>28</v>
      </c>
      <c r="L62" s="100">
        <f t="shared" si="2"/>
        <v>0.3785830178474851</v>
      </c>
      <c r="M62" s="100">
        <f t="shared" si="17"/>
        <v>100</v>
      </c>
      <c r="N62" s="129">
        <f>K62-'[3]Janvaris'!K62</f>
        <v>28</v>
      </c>
    </row>
    <row r="63" spans="1:14" s="18" customFormat="1" ht="12.75">
      <c r="A63" s="125" t="s">
        <v>503</v>
      </c>
      <c r="B63" s="126">
        <f>B64</f>
        <v>2715000</v>
      </c>
      <c r="C63" s="126">
        <f>C64</f>
        <v>100000</v>
      </c>
      <c r="D63" s="126">
        <f>D64</f>
        <v>11391</v>
      </c>
      <c r="E63" s="121">
        <f t="shared" si="0"/>
        <v>0.004195580110497237</v>
      </c>
      <c r="F63" s="121">
        <f t="shared" si="1"/>
        <v>0.11391</v>
      </c>
      <c r="G63" s="115">
        <f>D63-'[3]Janvaris'!D63</f>
        <v>11391</v>
      </c>
      <c r="H63" s="125" t="s">
        <v>503</v>
      </c>
      <c r="I63" s="126">
        <f>I64</f>
        <v>2715</v>
      </c>
      <c r="J63" s="126">
        <f>J64</f>
        <v>100</v>
      </c>
      <c r="K63" s="126">
        <f>K64</f>
        <v>11</v>
      </c>
      <c r="L63" s="127">
        <f t="shared" si="2"/>
        <v>0.40515653775322286</v>
      </c>
      <c r="M63" s="127">
        <f t="shared" si="17"/>
        <v>11</v>
      </c>
      <c r="N63" s="126">
        <f>K63-'[3]Janvaris'!K63</f>
        <v>11</v>
      </c>
    </row>
    <row r="64" spans="1:14" ht="12.75">
      <c r="A64" s="128" t="s">
        <v>498</v>
      </c>
      <c r="B64" s="129">
        <v>2715000</v>
      </c>
      <c r="C64" s="129">
        <v>100000</v>
      </c>
      <c r="D64" s="129">
        <v>11391</v>
      </c>
      <c r="E64" s="121">
        <f t="shared" si="0"/>
        <v>0.004195580110497237</v>
      </c>
      <c r="F64" s="121">
        <f t="shared" si="1"/>
        <v>0.11391</v>
      </c>
      <c r="G64" s="115">
        <f>D64-'[3]Janvaris'!D64</f>
        <v>11391</v>
      </c>
      <c r="H64" s="128" t="s">
        <v>498</v>
      </c>
      <c r="I64" s="129">
        <f>ROUND(B64/1000,0)</f>
        <v>2715</v>
      </c>
      <c r="J64" s="129">
        <f>ROUND(C64/1000,0)</f>
        <v>100</v>
      </c>
      <c r="K64" s="129">
        <f>ROUND(D64/1000,0)</f>
        <v>11</v>
      </c>
      <c r="L64" s="100">
        <f t="shared" si="2"/>
        <v>0.40515653775322286</v>
      </c>
      <c r="M64" s="100">
        <f t="shared" si="17"/>
        <v>11</v>
      </c>
      <c r="N64" s="129">
        <f>K64-'[3]Janvaris'!K64</f>
        <v>11</v>
      </c>
    </row>
    <row r="65" spans="1:14" s="28" customFormat="1" ht="12">
      <c r="A65" s="19" t="s">
        <v>511</v>
      </c>
      <c r="B65" s="132">
        <f>B66+B69</f>
        <v>3393392</v>
      </c>
      <c r="C65" s="132">
        <f>C66+C69</f>
        <v>444909</v>
      </c>
      <c r="D65" s="132">
        <f>D66+D69</f>
        <v>34732</v>
      </c>
      <c r="E65" s="130">
        <f t="shared" si="0"/>
        <v>0.010235186503651803</v>
      </c>
      <c r="F65" s="130">
        <f t="shared" si="1"/>
        <v>0.07806540213841483</v>
      </c>
      <c r="G65" s="115">
        <f>D65-'[3]Janvaris'!D65</f>
        <v>22540</v>
      </c>
      <c r="H65" s="19" t="s">
        <v>511</v>
      </c>
      <c r="I65" s="122">
        <f>I66+I69</f>
        <v>3393</v>
      </c>
      <c r="J65" s="122">
        <f>J66+J69</f>
        <v>445</v>
      </c>
      <c r="K65" s="122">
        <f>K66+K69</f>
        <v>35</v>
      </c>
      <c r="L65" s="79">
        <f t="shared" si="2"/>
        <v>1.031535514294135</v>
      </c>
      <c r="M65" s="79">
        <f t="shared" si="17"/>
        <v>7.865168539325842</v>
      </c>
      <c r="N65" s="122">
        <f>K65-'[3]Janvaris'!K65</f>
        <v>23</v>
      </c>
    </row>
    <row r="66" spans="1:14" s="18" customFormat="1" ht="12.75">
      <c r="A66" s="125" t="s">
        <v>501</v>
      </c>
      <c r="B66" s="126">
        <f>SUM(B67:B68)</f>
        <v>3041252</v>
      </c>
      <c r="C66" s="126">
        <f>SUM(C67:C68)</f>
        <v>402645</v>
      </c>
      <c r="D66" s="126">
        <f>SUM(D67:D68)</f>
        <v>0</v>
      </c>
      <c r="E66" s="121">
        <f t="shared" si="0"/>
        <v>0</v>
      </c>
      <c r="F66" s="121">
        <f t="shared" si="1"/>
        <v>0</v>
      </c>
      <c r="G66" s="115">
        <f>D66-'[3]Janvaris'!D66</f>
        <v>0</v>
      </c>
      <c r="H66" s="125" t="s">
        <v>501</v>
      </c>
      <c r="I66" s="126">
        <f>SUM(I67:I68)</f>
        <v>3041</v>
      </c>
      <c r="J66" s="126">
        <f>SUM(J67:J68)</f>
        <v>402</v>
      </c>
      <c r="K66" s="126">
        <f>SUM(K67:K68)</f>
        <v>0</v>
      </c>
      <c r="L66" s="127">
        <f t="shared" si="2"/>
        <v>0</v>
      </c>
      <c r="M66" s="127">
        <f t="shared" si="17"/>
        <v>0</v>
      </c>
      <c r="N66" s="126">
        <f>K66-'[3]Janvaris'!K66</f>
        <v>0</v>
      </c>
    </row>
    <row r="67" spans="1:14" ht="12.75">
      <c r="A67" s="128" t="s">
        <v>497</v>
      </c>
      <c r="B67" s="129">
        <v>2296193</v>
      </c>
      <c r="C67" s="129">
        <v>367259</v>
      </c>
      <c r="D67" s="129"/>
      <c r="E67" s="121">
        <f t="shared" si="0"/>
        <v>0</v>
      </c>
      <c r="F67" s="121">
        <f t="shared" si="1"/>
        <v>0</v>
      </c>
      <c r="G67" s="115">
        <f>D67-'[3]Janvaris'!D67</f>
        <v>0</v>
      </c>
      <c r="H67" s="128" t="s">
        <v>497</v>
      </c>
      <c r="I67" s="129">
        <f aca="true" t="shared" si="19" ref="I67:K68">ROUND(B67/1000,0)</f>
        <v>2296</v>
      </c>
      <c r="J67" s="129">
        <f t="shared" si="19"/>
        <v>367</v>
      </c>
      <c r="K67" s="129">
        <f t="shared" si="19"/>
        <v>0</v>
      </c>
      <c r="L67" s="100">
        <f t="shared" si="2"/>
        <v>0</v>
      </c>
      <c r="M67" s="100">
        <f t="shared" si="17"/>
        <v>0</v>
      </c>
      <c r="N67" s="129">
        <f>K67-'[3]Janvaris'!K67</f>
        <v>0</v>
      </c>
    </row>
    <row r="68" spans="1:14" ht="12.75">
      <c r="A68" s="128" t="s">
        <v>498</v>
      </c>
      <c r="B68" s="129">
        <v>745059</v>
      </c>
      <c r="C68" s="129">
        <v>35386</v>
      </c>
      <c r="D68" s="129"/>
      <c r="E68" s="121">
        <f t="shared" si="0"/>
        <v>0</v>
      </c>
      <c r="F68" s="121">
        <f t="shared" si="1"/>
        <v>0</v>
      </c>
      <c r="G68" s="115">
        <f>D68-'[3]Janvaris'!D68</f>
        <v>0</v>
      </c>
      <c r="H68" s="128" t="s">
        <v>498</v>
      </c>
      <c r="I68" s="129">
        <f t="shared" si="19"/>
        <v>745</v>
      </c>
      <c r="J68" s="129">
        <f t="shared" si="19"/>
        <v>35</v>
      </c>
      <c r="K68" s="129">
        <f t="shared" si="19"/>
        <v>0</v>
      </c>
      <c r="L68" s="100">
        <f t="shared" si="2"/>
        <v>0</v>
      </c>
      <c r="M68" s="100"/>
      <c r="N68" s="129">
        <f>K68-'[3]Janvaris'!K68</f>
        <v>0</v>
      </c>
    </row>
    <row r="69" spans="1:14" s="18" customFormat="1" ht="12.75">
      <c r="A69" s="125" t="s">
        <v>503</v>
      </c>
      <c r="B69" s="126">
        <f>SUM(B70:B71)</f>
        <v>352140</v>
      </c>
      <c r="C69" s="126">
        <f>SUM(C70:C71)</f>
        <v>42264</v>
      </c>
      <c r="D69" s="126">
        <f>SUM(D70:D71)</f>
        <v>34732</v>
      </c>
      <c r="E69" s="121">
        <f t="shared" si="0"/>
        <v>0.09863122621684557</v>
      </c>
      <c r="F69" s="121">
        <f t="shared" si="1"/>
        <v>0.8217868635245126</v>
      </c>
      <c r="G69" s="115">
        <f>D69-'[3]Janvaris'!D69</f>
        <v>22540</v>
      </c>
      <c r="H69" s="125" t="s">
        <v>503</v>
      </c>
      <c r="I69" s="126">
        <f>SUM(I70:I71)</f>
        <v>352</v>
      </c>
      <c r="J69" s="126">
        <f>SUM(J70:J71)</f>
        <v>43</v>
      </c>
      <c r="K69" s="126">
        <f>SUM(K70:K71)</f>
        <v>35</v>
      </c>
      <c r="L69" s="127">
        <f t="shared" si="2"/>
        <v>9.943181818181818</v>
      </c>
      <c r="M69" s="127">
        <f aca="true" t="shared" si="20" ref="M69:M74">IF(ISERROR(ROUND(K69,0)/ROUND(J69,0))," ",(ROUND(K69,)/ROUND(J69,)))*100</f>
        <v>81.3953488372093</v>
      </c>
      <c r="N69" s="126">
        <f>K69-'[3]Janvaris'!K69</f>
        <v>23</v>
      </c>
    </row>
    <row r="70" spans="1:14" ht="12.75">
      <c r="A70" s="128" t="s">
        <v>497</v>
      </c>
      <c r="B70" s="129">
        <v>256914</v>
      </c>
      <c r="C70" s="129">
        <v>36574</v>
      </c>
      <c r="D70" s="129">
        <v>32209</v>
      </c>
      <c r="E70" s="121">
        <f t="shared" si="0"/>
        <v>0.12536880045462684</v>
      </c>
      <c r="F70" s="121">
        <f t="shared" si="1"/>
        <v>0.8806529228413628</v>
      </c>
      <c r="G70" s="115">
        <f>D70-'[3]Janvaris'!D70</f>
        <v>20017</v>
      </c>
      <c r="H70" s="128" t="s">
        <v>497</v>
      </c>
      <c r="I70" s="129">
        <f aca="true" t="shared" si="21" ref="I70:K71">ROUND(B70/1000,0)</f>
        <v>257</v>
      </c>
      <c r="J70" s="129">
        <f t="shared" si="21"/>
        <v>37</v>
      </c>
      <c r="K70" s="129">
        <f t="shared" si="21"/>
        <v>32</v>
      </c>
      <c r="L70" s="100">
        <f t="shared" si="2"/>
        <v>12.45136186770428</v>
      </c>
      <c r="M70" s="100">
        <f t="shared" si="20"/>
        <v>86.48648648648648</v>
      </c>
      <c r="N70" s="129">
        <f>K70-'[3]Janvaris'!K70</f>
        <v>20</v>
      </c>
    </row>
    <row r="71" spans="1:14" ht="12.75">
      <c r="A71" s="128" t="s">
        <v>498</v>
      </c>
      <c r="B71" s="129">
        <v>95226</v>
      </c>
      <c r="C71" s="129">
        <v>5690</v>
      </c>
      <c r="D71" s="129">
        <v>2523</v>
      </c>
      <c r="E71" s="121">
        <f t="shared" si="0"/>
        <v>0.026494864847835677</v>
      </c>
      <c r="F71" s="121">
        <f t="shared" si="1"/>
        <v>0.44340949033391913</v>
      </c>
      <c r="G71" s="115">
        <f>D71-'[3]Janvaris'!D71</f>
        <v>2523</v>
      </c>
      <c r="H71" s="128" t="s">
        <v>498</v>
      </c>
      <c r="I71" s="129">
        <f t="shared" si="21"/>
        <v>95</v>
      </c>
      <c r="J71" s="129">
        <f t="shared" si="21"/>
        <v>6</v>
      </c>
      <c r="K71" s="129">
        <f t="shared" si="21"/>
        <v>3</v>
      </c>
      <c r="L71" s="100">
        <f t="shared" si="2"/>
        <v>3.1578947368421053</v>
      </c>
      <c r="M71" s="100">
        <f t="shared" si="20"/>
        <v>50</v>
      </c>
      <c r="N71" s="129">
        <f>K71-'[3]Janvaris'!K71</f>
        <v>3</v>
      </c>
    </row>
    <row r="72" spans="1:14" s="28" customFormat="1" ht="12">
      <c r="A72" s="19" t="s">
        <v>512</v>
      </c>
      <c r="B72" s="132">
        <f>B73+B76</f>
        <v>2747804</v>
      </c>
      <c r="C72" s="132">
        <f>C73+C76</f>
        <v>165768</v>
      </c>
      <c r="D72" s="132">
        <f>D73+D76</f>
        <v>254373</v>
      </c>
      <c r="E72" s="130">
        <f aca="true" t="shared" si="22" ref="E72:E100">IF(ISERROR(D72/B72)," ",(D72/B72))</f>
        <v>0.09257319663265648</v>
      </c>
      <c r="F72" s="130">
        <f aca="true" t="shared" si="23" ref="F72:F96">IF(ISERROR(D72/C72)," ",(D72/C72))</f>
        <v>1.534512089184885</v>
      </c>
      <c r="G72" s="115">
        <f>D72-'[3]Janvaris'!D72</f>
        <v>47473</v>
      </c>
      <c r="H72" s="19" t="s">
        <v>512</v>
      </c>
      <c r="I72" s="122">
        <f>I73+I76</f>
        <v>2748</v>
      </c>
      <c r="J72" s="122">
        <f>J73+J76</f>
        <v>165</v>
      </c>
      <c r="K72" s="122">
        <f>K73+K76</f>
        <v>254</v>
      </c>
      <c r="L72" s="79">
        <f aca="true" t="shared" si="24" ref="L72:L126">IF(ISERROR(ROUND(K72,0)/ROUND(I72,0))," ",(ROUND(K72,)/ROUND(I72,)))*100</f>
        <v>9.243085880640466</v>
      </c>
      <c r="M72" s="79">
        <f t="shared" si="20"/>
        <v>153.93939393939394</v>
      </c>
      <c r="N72" s="122">
        <f>K72-'[3]Janvaris'!K72</f>
        <v>47</v>
      </c>
    </row>
    <row r="73" spans="1:14" s="18" customFormat="1" ht="12.75">
      <c r="A73" s="125" t="s">
        <v>501</v>
      </c>
      <c r="B73" s="126">
        <f>SUM(B74:B75)</f>
        <v>2423104</v>
      </c>
      <c r="C73" s="126">
        <f>SUM(C74:C75)</f>
        <v>151400</v>
      </c>
      <c r="D73" s="126">
        <f>SUM(D74:D75)</f>
        <v>240006</v>
      </c>
      <c r="E73" s="121">
        <f t="shared" si="22"/>
        <v>0.09904898840495496</v>
      </c>
      <c r="F73" s="121">
        <f t="shared" si="23"/>
        <v>1.5852443857331573</v>
      </c>
      <c r="G73" s="115">
        <f>D73-'[3]Janvaris'!D73</f>
        <v>37933</v>
      </c>
      <c r="H73" s="125" t="s">
        <v>501</v>
      </c>
      <c r="I73" s="126">
        <f>SUM(I74:I75)</f>
        <v>2423</v>
      </c>
      <c r="J73" s="126">
        <f>SUM(J74:J75)</f>
        <v>151</v>
      </c>
      <c r="K73" s="126">
        <f>SUM(K74:K75)</f>
        <v>240</v>
      </c>
      <c r="L73" s="127">
        <f t="shared" si="24"/>
        <v>9.90507635163021</v>
      </c>
      <c r="M73" s="127">
        <f t="shared" si="20"/>
        <v>158.94039735099338</v>
      </c>
      <c r="N73" s="126">
        <f>K73-'[3]Janvaris'!K73</f>
        <v>38</v>
      </c>
    </row>
    <row r="74" spans="1:14" ht="12.75">
      <c r="A74" s="128" t="s">
        <v>497</v>
      </c>
      <c r="B74" s="129">
        <v>1855604</v>
      </c>
      <c r="C74" s="129">
        <v>98943</v>
      </c>
      <c r="D74" s="129">
        <v>240006</v>
      </c>
      <c r="E74" s="121">
        <f t="shared" si="22"/>
        <v>0.12934117408671247</v>
      </c>
      <c r="F74" s="121">
        <f t="shared" si="23"/>
        <v>2.4256996452502957</v>
      </c>
      <c r="G74" s="115">
        <f>D74-'[3]Janvaris'!D74</f>
        <v>37933</v>
      </c>
      <c r="H74" s="128" t="s">
        <v>497</v>
      </c>
      <c r="I74" s="129">
        <f>ROUND(B74/1000,0)</f>
        <v>1856</v>
      </c>
      <c r="J74" s="129">
        <f>ROUND(C74/1000,0)</f>
        <v>99</v>
      </c>
      <c r="K74" s="129">
        <f>ROUND(D74/1000,0)</f>
        <v>240</v>
      </c>
      <c r="L74" s="100">
        <f t="shared" si="24"/>
        <v>12.931034482758621</v>
      </c>
      <c r="M74" s="100">
        <f t="shared" si="20"/>
        <v>242.42424242424244</v>
      </c>
      <c r="N74" s="129">
        <f>K74-'[3]Janvaris'!K74</f>
        <v>38</v>
      </c>
    </row>
    <row r="75" spans="1:14" ht="12.75">
      <c r="A75" s="128" t="s">
        <v>498</v>
      </c>
      <c r="B75" s="129">
        <v>567500</v>
      </c>
      <c r="C75" s="129">
        <v>52457</v>
      </c>
      <c r="D75" s="129"/>
      <c r="E75" s="121">
        <f t="shared" si="22"/>
        <v>0</v>
      </c>
      <c r="F75" s="121">
        <f t="shared" si="23"/>
        <v>0</v>
      </c>
      <c r="G75" s="115">
        <f>D75-'[3]Janvaris'!D75</f>
        <v>0</v>
      </c>
      <c r="H75" s="128" t="s">
        <v>498</v>
      </c>
      <c r="I75" s="129">
        <f>ROUND(B75/1000,0)-1</f>
        <v>567</v>
      </c>
      <c r="J75" s="129">
        <f>ROUND(C75/1000,0)</f>
        <v>52</v>
      </c>
      <c r="K75" s="129">
        <f>ROUND(D75/1000,0)</f>
        <v>0</v>
      </c>
      <c r="L75" s="100">
        <f t="shared" si="24"/>
        <v>0</v>
      </c>
      <c r="M75" s="100"/>
      <c r="N75" s="129">
        <f>K75-'[3]Janvaris'!K75</f>
        <v>0</v>
      </c>
    </row>
    <row r="76" spans="1:14" s="18" customFormat="1" ht="12.75">
      <c r="A76" s="125" t="s">
        <v>503</v>
      </c>
      <c r="B76" s="126">
        <f>SUM(B77:B78)</f>
        <v>324700</v>
      </c>
      <c r="C76" s="126">
        <f>SUM(C77:C78)</f>
        <v>14368</v>
      </c>
      <c r="D76" s="126">
        <f>SUM(D77:D78)</f>
        <v>14367</v>
      </c>
      <c r="E76" s="121">
        <f t="shared" si="22"/>
        <v>0.044246997228210655</v>
      </c>
      <c r="F76" s="121">
        <f t="shared" si="23"/>
        <v>0.9999304008908686</v>
      </c>
      <c r="G76" s="115">
        <f>D76-'[3]Janvaris'!D76</f>
        <v>9540</v>
      </c>
      <c r="H76" s="125" t="s">
        <v>503</v>
      </c>
      <c r="I76" s="126">
        <f>SUM(I77:I78)</f>
        <v>325</v>
      </c>
      <c r="J76" s="126">
        <f>SUM(J77:J78)</f>
        <v>14</v>
      </c>
      <c r="K76" s="126">
        <f>SUM(K77:K78)</f>
        <v>14</v>
      </c>
      <c r="L76" s="127">
        <f t="shared" si="24"/>
        <v>4.3076923076923075</v>
      </c>
      <c r="M76" s="127">
        <f aca="true" t="shared" si="25" ref="M76:M82">IF(ISERROR(ROUND(K76,0)/ROUND(J76,0))," ",(ROUND(K76,)/ROUND(J76,)))*100</f>
        <v>100</v>
      </c>
      <c r="N76" s="126">
        <f>K76-'[3]Janvaris'!K76</f>
        <v>9</v>
      </c>
    </row>
    <row r="77" spans="1:14" ht="12.75">
      <c r="A77" s="128" t="s">
        <v>497</v>
      </c>
      <c r="B77" s="129">
        <v>36700</v>
      </c>
      <c r="C77" s="129">
        <v>5068</v>
      </c>
      <c r="D77" s="129">
        <v>5067</v>
      </c>
      <c r="E77" s="121">
        <f t="shared" si="22"/>
        <v>0.13806539509536786</v>
      </c>
      <c r="F77" s="121">
        <f t="shared" si="23"/>
        <v>0.999802683504341</v>
      </c>
      <c r="G77" s="115">
        <f>D77-'[3]Janvaris'!D77</f>
        <v>2544</v>
      </c>
      <c r="H77" s="128" t="s">
        <v>497</v>
      </c>
      <c r="I77" s="129">
        <f aca="true" t="shared" si="26" ref="I77:K78">ROUND(B77/1000,0)</f>
        <v>37</v>
      </c>
      <c r="J77" s="129">
        <f t="shared" si="26"/>
        <v>5</v>
      </c>
      <c r="K77" s="129">
        <f t="shared" si="26"/>
        <v>5</v>
      </c>
      <c r="L77" s="100">
        <f t="shared" si="24"/>
        <v>13.513513513513514</v>
      </c>
      <c r="M77" s="100">
        <f t="shared" si="25"/>
        <v>100</v>
      </c>
      <c r="N77" s="129">
        <f>K77-'[3]Janvaris'!K77</f>
        <v>2</v>
      </c>
    </row>
    <row r="78" spans="1:14" ht="12.75">
      <c r="A78" s="128" t="s">
        <v>498</v>
      </c>
      <c r="B78" s="129">
        <v>288000</v>
      </c>
      <c r="C78" s="129">
        <v>9300</v>
      </c>
      <c r="D78" s="129">
        <v>9300</v>
      </c>
      <c r="E78" s="121">
        <f t="shared" si="22"/>
        <v>0.03229166666666667</v>
      </c>
      <c r="F78" s="121">
        <f t="shared" si="23"/>
        <v>1</v>
      </c>
      <c r="G78" s="115">
        <f>D78-'[3]Janvaris'!D78</f>
        <v>6996</v>
      </c>
      <c r="H78" s="128" t="s">
        <v>498</v>
      </c>
      <c r="I78" s="129">
        <f t="shared" si="26"/>
        <v>288</v>
      </c>
      <c r="J78" s="129">
        <f t="shared" si="26"/>
        <v>9</v>
      </c>
      <c r="K78" s="129">
        <f t="shared" si="26"/>
        <v>9</v>
      </c>
      <c r="L78" s="100">
        <f t="shared" si="24"/>
        <v>3.125</v>
      </c>
      <c r="M78" s="100">
        <f t="shared" si="25"/>
        <v>100</v>
      </c>
      <c r="N78" s="129">
        <f>K78-'[3]Janvaris'!K78</f>
        <v>7</v>
      </c>
    </row>
    <row r="79" spans="1:14" s="28" customFormat="1" ht="24">
      <c r="A79" s="80" t="s">
        <v>513</v>
      </c>
      <c r="B79" s="132">
        <f>B80+B83</f>
        <v>6572218</v>
      </c>
      <c r="C79" s="132">
        <f>C80+C83</f>
        <v>1057530</v>
      </c>
      <c r="D79" s="132">
        <f>D80+D83</f>
        <v>610715</v>
      </c>
      <c r="E79" s="130">
        <f t="shared" si="22"/>
        <v>0.09292372833646115</v>
      </c>
      <c r="F79" s="130">
        <f t="shared" si="23"/>
        <v>0.577491891482984</v>
      </c>
      <c r="G79" s="115">
        <f>D79-'[3]Janvaris'!D79</f>
        <v>165902</v>
      </c>
      <c r="H79" s="80" t="s">
        <v>513</v>
      </c>
      <c r="I79" s="122">
        <f>I80+I83</f>
        <v>6573</v>
      </c>
      <c r="J79" s="122">
        <f>J80+J83</f>
        <v>1058</v>
      </c>
      <c r="K79" s="122">
        <f>K80+K83</f>
        <v>611</v>
      </c>
      <c r="L79" s="79">
        <f t="shared" si="24"/>
        <v>9.295603225315684</v>
      </c>
      <c r="M79" s="79">
        <f t="shared" si="25"/>
        <v>57.750472589792054</v>
      </c>
      <c r="N79" s="122">
        <f>K79-'[3]Janvaris'!K79</f>
        <v>166</v>
      </c>
    </row>
    <row r="80" spans="1:14" s="18" customFormat="1" ht="12.75">
      <c r="A80" s="125" t="s">
        <v>501</v>
      </c>
      <c r="B80" s="126">
        <f>SUM(B81:B82)</f>
        <v>6322218</v>
      </c>
      <c r="C80" s="126">
        <f>SUM(C81:C82)</f>
        <v>1057530</v>
      </c>
      <c r="D80" s="126">
        <f>SUM(D81:D82)</f>
        <v>610715</v>
      </c>
      <c r="E80" s="121">
        <f t="shared" si="22"/>
        <v>0.09659821916928521</v>
      </c>
      <c r="F80" s="121">
        <f t="shared" si="23"/>
        <v>0.577491891482984</v>
      </c>
      <c r="G80" s="115">
        <f>D80-'[3]Janvaris'!D80</f>
        <v>165902</v>
      </c>
      <c r="H80" s="125" t="s">
        <v>501</v>
      </c>
      <c r="I80" s="126">
        <f>SUM(I81:I82)</f>
        <v>6323</v>
      </c>
      <c r="J80" s="126">
        <f>SUM(J81:J82)</f>
        <v>1058</v>
      </c>
      <c r="K80" s="126">
        <f>SUM(K81:K82)</f>
        <v>611</v>
      </c>
      <c r="L80" s="127">
        <f t="shared" si="24"/>
        <v>9.663134588012019</v>
      </c>
      <c r="M80" s="127">
        <f t="shared" si="25"/>
        <v>57.750472589792054</v>
      </c>
      <c r="N80" s="126">
        <f>K80-'[3]Janvaris'!K80</f>
        <v>166</v>
      </c>
    </row>
    <row r="81" spans="1:14" ht="12.75">
      <c r="A81" s="128" t="s">
        <v>497</v>
      </c>
      <c r="B81" s="129">
        <v>20600</v>
      </c>
      <c r="C81" s="129"/>
      <c r="D81" s="129"/>
      <c r="E81" s="121">
        <f t="shared" si="22"/>
        <v>0</v>
      </c>
      <c r="F81" s="121" t="str">
        <f t="shared" si="23"/>
        <v> </v>
      </c>
      <c r="G81" s="115">
        <f>D81-'[3]Janvaris'!D81</f>
        <v>0</v>
      </c>
      <c r="H81" s="128" t="s">
        <v>497</v>
      </c>
      <c r="I81" s="129">
        <f aca="true" t="shared" si="27" ref="I81:K82">ROUND(B81/1000,0)</f>
        <v>21</v>
      </c>
      <c r="J81" s="129">
        <f t="shared" si="27"/>
        <v>0</v>
      </c>
      <c r="K81" s="129">
        <f t="shared" si="27"/>
        <v>0</v>
      </c>
      <c r="L81" s="100">
        <f t="shared" si="24"/>
        <v>0</v>
      </c>
      <c r="M81" s="100"/>
      <c r="N81" s="129">
        <f>K81-'[3]Janvaris'!K81</f>
        <v>0</v>
      </c>
    </row>
    <row r="82" spans="1:14" ht="12.75">
      <c r="A82" s="133" t="s">
        <v>498</v>
      </c>
      <c r="B82" s="129">
        <v>6301618</v>
      </c>
      <c r="C82" s="129">
        <v>1057530</v>
      </c>
      <c r="D82" s="129">
        <v>610715</v>
      </c>
      <c r="E82" s="121">
        <f t="shared" si="22"/>
        <v>0.09691399891266021</v>
      </c>
      <c r="F82" s="121">
        <f t="shared" si="23"/>
        <v>0.577491891482984</v>
      </c>
      <c r="G82" s="115">
        <f>D82-'[3]Janvaris'!D82</f>
        <v>165902</v>
      </c>
      <c r="H82" s="133" t="s">
        <v>498</v>
      </c>
      <c r="I82" s="129">
        <f t="shared" si="27"/>
        <v>6302</v>
      </c>
      <c r="J82" s="129">
        <f t="shared" si="27"/>
        <v>1058</v>
      </c>
      <c r="K82" s="129">
        <f t="shared" si="27"/>
        <v>611</v>
      </c>
      <c r="L82" s="100">
        <f t="shared" si="24"/>
        <v>9.695334814344653</v>
      </c>
      <c r="M82" s="100">
        <f t="shared" si="25"/>
        <v>57.750472589792054</v>
      </c>
      <c r="N82" s="129">
        <f>K82-'[3]Janvaris'!K82</f>
        <v>166</v>
      </c>
    </row>
    <row r="83" spans="1:14" s="18" customFormat="1" ht="12.75">
      <c r="A83" s="125" t="s">
        <v>503</v>
      </c>
      <c r="B83" s="126">
        <f>SUM(B84:B85)</f>
        <v>250000</v>
      </c>
      <c r="C83" s="126">
        <f>SUM(C84:C85)</f>
        <v>0</v>
      </c>
      <c r="D83" s="126">
        <f>SUM(D84:D85)</f>
        <v>0</v>
      </c>
      <c r="E83" s="121">
        <f t="shared" si="22"/>
        <v>0</v>
      </c>
      <c r="F83" s="121" t="str">
        <f t="shared" si="23"/>
        <v> </v>
      </c>
      <c r="G83" s="115">
        <f>D83-'[3]Janvaris'!D83</f>
        <v>0</v>
      </c>
      <c r="H83" s="125" t="s">
        <v>503</v>
      </c>
      <c r="I83" s="126">
        <f>SUM(I84:I85)</f>
        <v>250</v>
      </c>
      <c r="J83" s="126">
        <f>SUM(J84:J85)</f>
        <v>0</v>
      </c>
      <c r="K83" s="126">
        <f>SUM(K84:K85)</f>
        <v>0</v>
      </c>
      <c r="L83" s="127">
        <f t="shared" si="24"/>
        <v>0</v>
      </c>
      <c r="M83" s="127"/>
      <c r="N83" s="126">
        <f>K83-'[3]Janvaris'!K83</f>
        <v>0</v>
      </c>
    </row>
    <row r="84" spans="1:14" ht="12.75" hidden="1">
      <c r="A84" s="128" t="s">
        <v>497</v>
      </c>
      <c r="B84" s="129"/>
      <c r="C84" s="126"/>
      <c r="D84" s="126">
        <f>SUM(D85:D86)</f>
        <v>0</v>
      </c>
      <c r="E84" s="121" t="str">
        <f t="shared" si="22"/>
        <v> </v>
      </c>
      <c r="F84" s="121" t="str">
        <f t="shared" si="23"/>
        <v> </v>
      </c>
      <c r="G84" s="115">
        <f>D84-'[3]Janvaris'!D84</f>
        <v>0</v>
      </c>
      <c r="H84" s="128" t="s">
        <v>497</v>
      </c>
      <c r="I84" s="129">
        <f>ROUND(B84/1000,0)</f>
        <v>0</v>
      </c>
      <c r="J84" s="129">
        <f>ROUND(C84/1000,0)</f>
        <v>0</v>
      </c>
      <c r="K84" s="129"/>
      <c r="L84" s="100" t="e">
        <f t="shared" si="24"/>
        <v>#VALUE!</v>
      </c>
      <c r="M84" s="100"/>
      <c r="N84" s="126">
        <f>K84-'[3]Janvaris'!K84</f>
        <v>0</v>
      </c>
    </row>
    <row r="85" spans="1:14" ht="12.75">
      <c r="A85" s="128" t="s">
        <v>498</v>
      </c>
      <c r="B85" s="129">
        <v>250000</v>
      </c>
      <c r="C85" s="126"/>
      <c r="D85" s="126"/>
      <c r="E85" s="121">
        <f t="shared" si="22"/>
        <v>0</v>
      </c>
      <c r="F85" s="121" t="str">
        <f t="shared" si="23"/>
        <v> </v>
      </c>
      <c r="G85" s="115">
        <f>D85-'[3]Janvaris'!D85</f>
        <v>0</v>
      </c>
      <c r="H85" s="128" t="s">
        <v>498</v>
      </c>
      <c r="I85" s="129">
        <f>ROUND(B85/1000,0)</f>
        <v>250</v>
      </c>
      <c r="J85" s="129">
        <f>ROUND(C85/1000,0)</f>
        <v>0</v>
      </c>
      <c r="K85" s="129">
        <f>ROUND(D85/1000,0)</f>
        <v>0</v>
      </c>
      <c r="L85" s="100">
        <f t="shared" si="24"/>
        <v>0</v>
      </c>
      <c r="M85" s="100"/>
      <c r="N85" s="129">
        <f>K85-'[3]Janvaris'!K85</f>
        <v>0</v>
      </c>
    </row>
    <row r="86" spans="1:14" s="28" customFormat="1" ht="12">
      <c r="A86" s="134" t="s">
        <v>514</v>
      </c>
      <c r="B86" s="132">
        <f>B87+B89</f>
        <v>288293</v>
      </c>
      <c r="C86" s="132">
        <f>C87+C89</f>
        <v>168704</v>
      </c>
      <c r="D86" s="132">
        <f>D87+D89</f>
        <v>0</v>
      </c>
      <c r="E86" s="130">
        <f t="shared" si="22"/>
        <v>0</v>
      </c>
      <c r="F86" s="130">
        <f t="shared" si="23"/>
        <v>0</v>
      </c>
      <c r="G86" s="115">
        <f>D86-'[3]Janvaris'!D86</f>
        <v>0</v>
      </c>
      <c r="H86" s="134" t="s">
        <v>514</v>
      </c>
      <c r="I86" s="122">
        <f>I87+I89</f>
        <v>288</v>
      </c>
      <c r="J86" s="122">
        <f>J87+J89</f>
        <v>169</v>
      </c>
      <c r="K86" s="122">
        <f>K87+K89</f>
        <v>0</v>
      </c>
      <c r="L86" s="79">
        <f t="shared" si="24"/>
        <v>0</v>
      </c>
      <c r="M86" s="79">
        <f>IF(ISERROR(ROUND(K86,0)/ROUND(J86,0))," ",(ROUND(K86,)/ROUND(J86,)))*100</f>
        <v>0</v>
      </c>
      <c r="N86" s="122">
        <f>K86-'[3]Janvaris'!K86</f>
        <v>0</v>
      </c>
    </row>
    <row r="87" spans="1:14" s="18" customFormat="1" ht="12.75">
      <c r="A87" s="125" t="s">
        <v>501</v>
      </c>
      <c r="B87" s="126">
        <f>B88</f>
        <v>261393</v>
      </c>
      <c r="C87" s="126">
        <f>C88</f>
        <v>168704</v>
      </c>
      <c r="D87" s="126">
        <f>D88</f>
        <v>0</v>
      </c>
      <c r="E87" s="121">
        <f t="shared" si="22"/>
        <v>0</v>
      </c>
      <c r="F87" s="121">
        <f t="shared" si="23"/>
        <v>0</v>
      </c>
      <c r="G87" s="115">
        <f>D87-'[3]Janvaris'!D87</f>
        <v>0</v>
      </c>
      <c r="H87" s="125" t="s">
        <v>501</v>
      </c>
      <c r="I87" s="126">
        <f>I88</f>
        <v>261</v>
      </c>
      <c r="J87" s="126">
        <f>J88</f>
        <v>169</v>
      </c>
      <c r="K87" s="126">
        <f>K88</f>
        <v>0</v>
      </c>
      <c r="L87" s="127">
        <f t="shared" si="24"/>
        <v>0</v>
      </c>
      <c r="M87" s="127">
        <f>IF(ISERROR(ROUND(K87,0)/ROUND(J87,0))," ",(ROUND(K87,)/ROUND(J87,)))*100</f>
        <v>0</v>
      </c>
      <c r="N87" s="126">
        <f>K87-'[3]Janvaris'!K87</f>
        <v>0</v>
      </c>
    </row>
    <row r="88" spans="1:14" ht="12.75">
      <c r="A88" s="128" t="s">
        <v>497</v>
      </c>
      <c r="B88" s="129">
        <v>261393</v>
      </c>
      <c r="C88" s="129">
        <v>168704</v>
      </c>
      <c r="D88" s="129"/>
      <c r="E88" s="121">
        <f t="shared" si="22"/>
        <v>0</v>
      </c>
      <c r="F88" s="121">
        <f t="shared" si="23"/>
        <v>0</v>
      </c>
      <c r="G88" s="115">
        <f>D88-'[3]Janvaris'!D88</f>
        <v>0</v>
      </c>
      <c r="H88" s="128" t="s">
        <v>497</v>
      </c>
      <c r="I88" s="129">
        <f>ROUND(B88/1000,0)</f>
        <v>261</v>
      </c>
      <c r="J88" s="129">
        <f>ROUND(C88/1000,0)</f>
        <v>169</v>
      </c>
      <c r="K88" s="129">
        <f>ROUND(D88/1000,0)</f>
        <v>0</v>
      </c>
      <c r="L88" s="100">
        <f t="shared" si="24"/>
        <v>0</v>
      </c>
      <c r="M88" s="100">
        <f>IF(ISERROR(ROUND(K88,0)/ROUND(J88,0))," ",(ROUND(K88,)/ROUND(J88,)))*100</f>
        <v>0</v>
      </c>
      <c r="N88" s="129">
        <f>K88-'[3]Janvaris'!K88</f>
        <v>0</v>
      </c>
    </row>
    <row r="89" spans="1:14" s="18" customFormat="1" ht="12.75">
      <c r="A89" s="125" t="s">
        <v>503</v>
      </c>
      <c r="B89" s="126">
        <f>B90</f>
        <v>26900</v>
      </c>
      <c r="C89" s="126">
        <f>C90</f>
        <v>0</v>
      </c>
      <c r="D89" s="126">
        <f>D90</f>
        <v>0</v>
      </c>
      <c r="E89" s="121">
        <f t="shared" si="22"/>
        <v>0</v>
      </c>
      <c r="F89" s="121" t="str">
        <f t="shared" si="23"/>
        <v> </v>
      </c>
      <c r="G89" s="115">
        <f>D89-'[3]Janvaris'!D89</f>
        <v>0</v>
      </c>
      <c r="H89" s="125" t="s">
        <v>503</v>
      </c>
      <c r="I89" s="126">
        <f>I90</f>
        <v>27</v>
      </c>
      <c r="J89" s="126">
        <f>J90</f>
        <v>0</v>
      </c>
      <c r="K89" s="126">
        <f>K90</f>
        <v>0</v>
      </c>
      <c r="L89" s="127">
        <f t="shared" si="24"/>
        <v>0</v>
      </c>
      <c r="M89" s="127"/>
      <c r="N89" s="126">
        <f>K89-'[3]Janvaris'!K89</f>
        <v>0</v>
      </c>
    </row>
    <row r="90" spans="1:14" ht="12.75">
      <c r="A90" s="128" t="s">
        <v>497</v>
      </c>
      <c r="B90" s="129">
        <v>26900</v>
      </c>
      <c r="C90" s="129"/>
      <c r="D90" s="129"/>
      <c r="E90" s="121">
        <f t="shared" si="22"/>
        <v>0</v>
      </c>
      <c r="F90" s="121" t="str">
        <f t="shared" si="23"/>
        <v> </v>
      </c>
      <c r="G90" s="115">
        <f>D90-'[3]Janvaris'!D90</f>
        <v>0</v>
      </c>
      <c r="H90" s="128" t="s">
        <v>497</v>
      </c>
      <c r="I90" s="129">
        <f>ROUND(B90/1000,0)</f>
        <v>27</v>
      </c>
      <c r="J90" s="129">
        <f>ROUND(C90/1000,0)</f>
        <v>0</v>
      </c>
      <c r="K90" s="129">
        <f>ROUND(D90/1000,0)</f>
        <v>0</v>
      </c>
      <c r="L90" s="100">
        <f t="shared" si="24"/>
        <v>0</v>
      </c>
      <c r="M90" s="100"/>
      <c r="N90" s="129">
        <f>K90-'[3]Janvaris'!K90</f>
        <v>0</v>
      </c>
    </row>
    <row r="91" spans="1:14" s="28" customFormat="1" ht="12">
      <c r="A91" s="134" t="s">
        <v>515</v>
      </c>
      <c r="B91" s="132">
        <f>B92+B95</f>
        <v>330250</v>
      </c>
      <c r="C91" s="132">
        <f>C92+C95</f>
        <v>5000</v>
      </c>
      <c r="D91" s="132">
        <f>D92+D95</f>
        <v>0</v>
      </c>
      <c r="E91" s="121">
        <f t="shared" si="22"/>
        <v>0</v>
      </c>
      <c r="F91" s="121">
        <f t="shared" si="23"/>
        <v>0</v>
      </c>
      <c r="G91" s="115">
        <f>D91-'[3]Janvaris'!D91</f>
        <v>0</v>
      </c>
      <c r="H91" s="134" t="s">
        <v>515</v>
      </c>
      <c r="I91" s="122">
        <f>I92+I95</f>
        <v>331</v>
      </c>
      <c r="J91" s="122">
        <f>J92+J95</f>
        <v>5</v>
      </c>
      <c r="K91" s="122">
        <f>K92+K95</f>
        <v>0</v>
      </c>
      <c r="L91" s="79">
        <f t="shared" si="24"/>
        <v>0</v>
      </c>
      <c r="M91" s="79"/>
      <c r="N91" s="122">
        <f>K91-'[3]Janvaris'!K91</f>
        <v>0</v>
      </c>
    </row>
    <row r="92" spans="1:14" s="18" customFormat="1" ht="12.75">
      <c r="A92" s="125" t="s">
        <v>501</v>
      </c>
      <c r="B92" s="126">
        <f>SUM(B93:B94)</f>
        <v>280250</v>
      </c>
      <c r="C92" s="126">
        <f>SUM(C93:C94)</f>
        <v>0</v>
      </c>
      <c r="D92" s="126">
        <f>SUM(D93:D94)</f>
        <v>0</v>
      </c>
      <c r="E92" s="121">
        <f t="shared" si="22"/>
        <v>0</v>
      </c>
      <c r="F92" s="121" t="str">
        <f t="shared" si="23"/>
        <v> </v>
      </c>
      <c r="G92" s="115">
        <f>D92-'[3]Janvaris'!D92</f>
        <v>0</v>
      </c>
      <c r="H92" s="125" t="s">
        <v>501</v>
      </c>
      <c r="I92" s="126">
        <f>I93+I94</f>
        <v>281</v>
      </c>
      <c r="J92" s="126">
        <f>J93+J94</f>
        <v>0</v>
      </c>
      <c r="K92" s="126">
        <f>K93+K94</f>
        <v>0</v>
      </c>
      <c r="L92" s="127">
        <f t="shared" si="24"/>
        <v>0</v>
      </c>
      <c r="M92" s="127"/>
      <c r="N92" s="126">
        <f>K92-'[3]Janvaris'!K92</f>
        <v>0</v>
      </c>
    </row>
    <row r="93" spans="1:14" ht="12.75">
      <c r="A93" s="128" t="s">
        <v>497</v>
      </c>
      <c r="B93" s="129">
        <v>191750</v>
      </c>
      <c r="C93" s="129"/>
      <c r="D93" s="129"/>
      <c r="E93" s="121">
        <f t="shared" si="22"/>
        <v>0</v>
      </c>
      <c r="F93" s="121" t="str">
        <f t="shared" si="23"/>
        <v> </v>
      </c>
      <c r="G93" s="115">
        <f>D93-'[3]Janvaris'!D93</f>
        <v>0</v>
      </c>
      <c r="H93" s="128" t="s">
        <v>497</v>
      </c>
      <c r="I93" s="129">
        <f aca="true" t="shared" si="28" ref="I93:K94">ROUND(B93/1000,0)</f>
        <v>192</v>
      </c>
      <c r="J93" s="129">
        <f t="shared" si="28"/>
        <v>0</v>
      </c>
      <c r="K93" s="129">
        <f t="shared" si="28"/>
        <v>0</v>
      </c>
      <c r="L93" s="100">
        <f t="shared" si="24"/>
        <v>0</v>
      </c>
      <c r="M93" s="100"/>
      <c r="N93" s="129">
        <f>K93-'[3]Janvaris'!K93</f>
        <v>0</v>
      </c>
    </row>
    <row r="94" spans="1:14" ht="12.75">
      <c r="A94" s="128" t="s">
        <v>498</v>
      </c>
      <c r="B94" s="129">
        <v>88500</v>
      </c>
      <c r="C94" s="129"/>
      <c r="D94" s="129"/>
      <c r="E94" s="121">
        <f t="shared" si="22"/>
        <v>0</v>
      </c>
      <c r="F94" s="121" t="str">
        <f t="shared" si="23"/>
        <v> </v>
      </c>
      <c r="G94" s="115">
        <f>D94-'[3]Janvaris'!D94</f>
        <v>0</v>
      </c>
      <c r="H94" s="128" t="s">
        <v>498</v>
      </c>
      <c r="I94" s="129">
        <f t="shared" si="28"/>
        <v>89</v>
      </c>
      <c r="J94" s="129">
        <f t="shared" si="28"/>
        <v>0</v>
      </c>
      <c r="K94" s="129">
        <f t="shared" si="28"/>
        <v>0</v>
      </c>
      <c r="L94" s="100">
        <f t="shared" si="24"/>
        <v>0</v>
      </c>
      <c r="M94" s="100"/>
      <c r="N94" s="129">
        <f>K94-'[3]Janvaris'!K94</f>
        <v>0</v>
      </c>
    </row>
    <row r="95" spans="1:14" s="18" customFormat="1" ht="12.75">
      <c r="A95" s="125" t="s">
        <v>503</v>
      </c>
      <c r="B95" s="126">
        <f>SUM(B96:B97)</f>
        <v>50000</v>
      </c>
      <c r="C95" s="126">
        <f>SUM(C96:C97)</f>
        <v>5000</v>
      </c>
      <c r="D95" s="126">
        <f>SUM(D96:D97)</f>
        <v>0</v>
      </c>
      <c r="E95" s="121">
        <f t="shared" si="22"/>
        <v>0</v>
      </c>
      <c r="F95" s="121">
        <f t="shared" si="23"/>
        <v>0</v>
      </c>
      <c r="G95" s="115">
        <f>D95-'[3]Janvaris'!D95</f>
        <v>0</v>
      </c>
      <c r="H95" s="125" t="s">
        <v>503</v>
      </c>
      <c r="I95" s="126">
        <f>I96+I97</f>
        <v>50</v>
      </c>
      <c r="J95" s="126">
        <f>J96+J97</f>
        <v>5</v>
      </c>
      <c r="K95" s="126">
        <f>K96+K97</f>
        <v>0</v>
      </c>
      <c r="L95" s="127">
        <f t="shared" si="24"/>
        <v>0</v>
      </c>
      <c r="M95" s="127"/>
      <c r="N95" s="126">
        <f>K95-'[3]Janvaris'!K95</f>
        <v>0</v>
      </c>
    </row>
    <row r="96" spans="1:14" ht="12.75">
      <c r="A96" s="128" t="s">
        <v>497</v>
      </c>
      <c r="B96" s="129">
        <v>10000</v>
      </c>
      <c r="C96" s="129"/>
      <c r="D96" s="129"/>
      <c r="E96" s="121">
        <f t="shared" si="22"/>
        <v>0</v>
      </c>
      <c r="F96" s="121" t="str">
        <f t="shared" si="23"/>
        <v> </v>
      </c>
      <c r="G96" s="115">
        <f>D96-'[3]Janvaris'!D96</f>
        <v>0</v>
      </c>
      <c r="H96" s="128" t="s">
        <v>497</v>
      </c>
      <c r="I96" s="129">
        <f aca="true" t="shared" si="29" ref="I96:K97">ROUND(B96/1000,0)</f>
        <v>10</v>
      </c>
      <c r="J96" s="129">
        <f t="shared" si="29"/>
        <v>0</v>
      </c>
      <c r="K96" s="129">
        <f t="shared" si="29"/>
        <v>0</v>
      </c>
      <c r="L96" s="100">
        <f t="shared" si="24"/>
        <v>0</v>
      </c>
      <c r="M96" s="100"/>
      <c r="N96" s="129">
        <f>K96-'[3]Janvaris'!K96</f>
        <v>0</v>
      </c>
    </row>
    <row r="97" spans="1:14" ht="12.75">
      <c r="A97" s="128" t="s">
        <v>498</v>
      </c>
      <c r="B97" s="135">
        <v>40000</v>
      </c>
      <c r="C97" s="135">
        <v>5000</v>
      </c>
      <c r="D97" s="135"/>
      <c r="E97" s="121">
        <f t="shared" si="22"/>
        <v>0</v>
      </c>
      <c r="F97" s="121"/>
      <c r="G97" s="115">
        <f>D97-'[3]Janvaris'!D97</f>
        <v>0</v>
      </c>
      <c r="H97" s="128" t="s">
        <v>498</v>
      </c>
      <c r="I97" s="129">
        <f t="shared" si="29"/>
        <v>40</v>
      </c>
      <c r="J97" s="129">
        <f t="shared" si="29"/>
        <v>5</v>
      </c>
      <c r="K97" s="129">
        <f t="shared" si="29"/>
        <v>0</v>
      </c>
      <c r="L97" s="100">
        <f t="shared" si="24"/>
        <v>0</v>
      </c>
      <c r="M97" s="100"/>
      <c r="N97" s="129">
        <f>K97-'[3]Janvaris'!K97</f>
        <v>0</v>
      </c>
    </row>
    <row r="98" spans="1:14" s="28" customFormat="1" ht="36">
      <c r="A98" s="134" t="s">
        <v>516</v>
      </c>
      <c r="B98" s="132">
        <f>B99+B102</f>
        <v>3858047</v>
      </c>
      <c r="C98" s="132">
        <f>C99+C102</f>
        <v>477426</v>
      </c>
      <c r="D98" s="132">
        <f>D99+D102</f>
        <v>265503</v>
      </c>
      <c r="E98" s="130">
        <f t="shared" si="22"/>
        <v>0.06881797966691437</v>
      </c>
      <c r="F98" s="130">
        <f>IF(ISERROR(D98/C98)," ",(D98/C98))</f>
        <v>0.5561134081512109</v>
      </c>
      <c r="G98" s="115">
        <f>D98-'[3]Janvaris'!D98</f>
        <v>127393</v>
      </c>
      <c r="H98" s="134" t="s">
        <v>516</v>
      </c>
      <c r="I98" s="122">
        <f>I99+I102</f>
        <v>3858</v>
      </c>
      <c r="J98" s="122">
        <f>J99+J102</f>
        <v>477</v>
      </c>
      <c r="K98" s="122">
        <f>K99+K102</f>
        <v>266</v>
      </c>
      <c r="L98" s="79">
        <f t="shared" si="24"/>
        <v>6.894764126490409</v>
      </c>
      <c r="M98" s="79">
        <f>IF(ISERROR(ROUND(K98,0)/ROUND(J98,0))," ",(ROUND(K98,)/ROUND(J98,)))*100</f>
        <v>55.76519916142557</v>
      </c>
      <c r="N98" s="122">
        <f>K98-'[3]Janvaris'!K98</f>
        <v>128</v>
      </c>
    </row>
    <row r="99" spans="1:14" s="18" customFormat="1" ht="12.75">
      <c r="A99" s="125" t="s">
        <v>501</v>
      </c>
      <c r="B99" s="126">
        <f>SUM(B100:B101)</f>
        <v>3388557</v>
      </c>
      <c r="C99" s="126">
        <f>SUM(C100:C101)</f>
        <v>456486</v>
      </c>
      <c r="D99" s="126">
        <f>SUM(D100:D101)</f>
        <v>247067</v>
      </c>
      <c r="E99" s="130">
        <f t="shared" si="22"/>
        <v>0.07291215700370393</v>
      </c>
      <c r="F99" s="130">
        <f>IF(ISERROR(D99/C99)," ",(D99/C99))</f>
        <v>0.5412367520581135</v>
      </c>
      <c r="G99" s="115">
        <f>D99-'[3]Janvaris'!D99</f>
        <v>113637</v>
      </c>
      <c r="H99" s="125" t="s">
        <v>501</v>
      </c>
      <c r="I99" s="126">
        <f>SUM(I100:I101)</f>
        <v>3388</v>
      </c>
      <c r="J99" s="126">
        <f>SUM(J100:J101)</f>
        <v>456</v>
      </c>
      <c r="K99" s="126">
        <f>SUM(K100:K101)</f>
        <v>247</v>
      </c>
      <c r="L99" s="127">
        <f t="shared" si="24"/>
        <v>7.290436835891382</v>
      </c>
      <c r="M99" s="127">
        <f>IF(ISERROR(ROUND(K99,0)/ROUND(J99,0))," ",(ROUND(K99,)/ROUND(J99,)))*100</f>
        <v>54.166666666666664</v>
      </c>
      <c r="N99" s="126">
        <f>K99-'[3]Janvaris'!K99</f>
        <v>114</v>
      </c>
    </row>
    <row r="100" spans="1:14" ht="12.75">
      <c r="A100" s="128" t="s">
        <v>497</v>
      </c>
      <c r="B100" s="129">
        <v>2164307</v>
      </c>
      <c r="C100" s="129">
        <v>456486</v>
      </c>
      <c r="D100" s="129">
        <v>247067</v>
      </c>
      <c r="E100" s="130">
        <f t="shared" si="22"/>
        <v>0.11415524692199397</v>
      </c>
      <c r="F100" s="130">
        <f>IF(ISERROR(D100/C100)," ",(D100/C100))</f>
        <v>0.5412367520581135</v>
      </c>
      <c r="G100" s="115">
        <f>D100-'[3]Janvaris'!D100</f>
        <v>113637</v>
      </c>
      <c r="H100" s="128" t="s">
        <v>497</v>
      </c>
      <c r="I100" s="129">
        <f aca="true" t="shared" si="30" ref="I100:K101">ROUND(B100/1000,0)</f>
        <v>2164</v>
      </c>
      <c r="J100" s="129">
        <f t="shared" si="30"/>
        <v>456</v>
      </c>
      <c r="K100" s="129">
        <f t="shared" si="30"/>
        <v>247</v>
      </c>
      <c r="L100" s="100">
        <f t="shared" si="24"/>
        <v>11.414048059149723</v>
      </c>
      <c r="M100" s="100">
        <f>IF(ISERROR(ROUND(K100,0)/ROUND(J100,0))," ",(ROUND(K100,)/ROUND(J100,)))*100</f>
        <v>54.166666666666664</v>
      </c>
      <c r="N100" s="129">
        <f>K100-'[3]Janvaris'!K100</f>
        <v>114</v>
      </c>
    </row>
    <row r="101" spans="1:14" ht="12.75">
      <c r="A101" s="128" t="s">
        <v>498</v>
      </c>
      <c r="B101" s="135">
        <v>1224250</v>
      </c>
      <c r="C101" s="135"/>
      <c r="D101" s="135"/>
      <c r="E101" s="121"/>
      <c r="F101" s="121"/>
      <c r="G101" s="115">
        <f>D101-'[3]Janvaris'!D101</f>
        <v>0</v>
      </c>
      <c r="H101" s="128" t="s">
        <v>498</v>
      </c>
      <c r="I101" s="129">
        <f t="shared" si="30"/>
        <v>1224</v>
      </c>
      <c r="J101" s="129">
        <f t="shared" si="30"/>
        <v>0</v>
      </c>
      <c r="K101" s="129">
        <f t="shared" si="30"/>
        <v>0</v>
      </c>
      <c r="L101" s="100">
        <f t="shared" si="24"/>
        <v>0</v>
      </c>
      <c r="M101" s="100"/>
      <c r="N101" s="129">
        <f>K101-'[3]Janvaris'!K101</f>
        <v>0</v>
      </c>
    </row>
    <row r="102" spans="1:14" s="18" customFormat="1" ht="12.75">
      <c r="A102" s="125" t="s">
        <v>503</v>
      </c>
      <c r="B102" s="126">
        <f>B103</f>
        <v>469490</v>
      </c>
      <c r="C102" s="126">
        <f>C103</f>
        <v>20940</v>
      </c>
      <c r="D102" s="126">
        <f>D103</f>
        <v>18436</v>
      </c>
      <c r="E102" s="121">
        <f aca="true" t="shared" si="31" ref="E102:E125">IF(ISERROR(D102/B102)," ",(D102/B102))</f>
        <v>0.03926814202645424</v>
      </c>
      <c r="F102" s="121">
        <f aca="true" t="shared" si="32" ref="F102:F107">IF(ISERROR(D102/C102)," ",(D102/C102))</f>
        <v>0.8804202483285578</v>
      </c>
      <c r="G102" s="115">
        <f>D102-'[3]Janvaris'!D102</f>
        <v>13756</v>
      </c>
      <c r="H102" s="125" t="s">
        <v>503</v>
      </c>
      <c r="I102" s="126">
        <f>I103</f>
        <v>470</v>
      </c>
      <c r="J102" s="126">
        <f>J103</f>
        <v>21</v>
      </c>
      <c r="K102" s="126">
        <f>K103</f>
        <v>19</v>
      </c>
      <c r="L102" s="127">
        <f t="shared" si="24"/>
        <v>4.042553191489362</v>
      </c>
      <c r="M102" s="127">
        <f>IF(ISERROR(ROUND(K102,0)/ROUND(J102,0))," ",(ROUND(K102,)/ROUND(J102,)))*100</f>
        <v>90.47619047619048</v>
      </c>
      <c r="N102" s="126">
        <f>K102-'[3]Janvaris'!K102</f>
        <v>14</v>
      </c>
    </row>
    <row r="103" spans="1:14" ht="12.75">
      <c r="A103" s="128" t="s">
        <v>497</v>
      </c>
      <c r="B103" s="129">
        <v>469490</v>
      </c>
      <c r="C103" s="129">
        <v>20940</v>
      </c>
      <c r="D103" s="129">
        <v>18436</v>
      </c>
      <c r="E103" s="121">
        <f t="shared" si="31"/>
        <v>0.03926814202645424</v>
      </c>
      <c r="F103" s="121">
        <f t="shared" si="32"/>
        <v>0.8804202483285578</v>
      </c>
      <c r="G103" s="115">
        <f>D103-'[3]Janvaris'!D103</f>
        <v>13756</v>
      </c>
      <c r="H103" s="128" t="s">
        <v>497</v>
      </c>
      <c r="I103" s="129">
        <f>ROUND(B103/1000,0)+1</f>
        <v>470</v>
      </c>
      <c r="J103" s="129">
        <f>ROUND(C103/1000,0)</f>
        <v>21</v>
      </c>
      <c r="K103" s="129">
        <f>ROUND(D103/1000,0)+1</f>
        <v>19</v>
      </c>
      <c r="L103" s="100">
        <f t="shared" si="24"/>
        <v>4.042553191489362</v>
      </c>
      <c r="M103" s="100">
        <f>IF(ISERROR(ROUND(K103,0)/ROUND(J103,0))," ",(ROUND(K103,)/ROUND(J103,)))*100</f>
        <v>90.47619047619048</v>
      </c>
      <c r="N103" s="129">
        <f>K103-'[3]Janvaris'!K103</f>
        <v>14</v>
      </c>
    </row>
    <row r="104" spans="1:14" s="28" customFormat="1" ht="24">
      <c r="A104" s="134" t="s">
        <v>517</v>
      </c>
      <c r="B104" s="122">
        <f>B105+B107</f>
        <v>1091245</v>
      </c>
      <c r="C104" s="122">
        <f>C105+C107</f>
        <v>0</v>
      </c>
      <c r="D104" s="122">
        <f>D105+D107</f>
        <v>0</v>
      </c>
      <c r="E104" s="121">
        <f t="shared" si="31"/>
        <v>0</v>
      </c>
      <c r="F104" s="121" t="str">
        <f t="shared" si="32"/>
        <v> </v>
      </c>
      <c r="G104" s="115">
        <f>D104-'[3]Janvaris'!D104</f>
        <v>0</v>
      </c>
      <c r="H104" s="134" t="s">
        <v>517</v>
      </c>
      <c r="I104" s="122">
        <f>I105+I107</f>
        <v>1091</v>
      </c>
      <c r="J104" s="122">
        <f>J105</f>
        <v>0</v>
      </c>
      <c r="K104" s="122">
        <f>K105</f>
        <v>0</v>
      </c>
      <c r="L104" s="79">
        <f t="shared" si="24"/>
        <v>0</v>
      </c>
      <c r="M104" s="79"/>
      <c r="N104" s="122">
        <f>K104-'[3]Janvaris'!K104</f>
        <v>0</v>
      </c>
    </row>
    <row r="105" spans="1:14" s="18" customFormat="1" ht="12.75">
      <c r="A105" s="125" t="s">
        <v>501</v>
      </c>
      <c r="B105" s="126">
        <f>B106</f>
        <v>1077970</v>
      </c>
      <c r="C105" s="126">
        <f>C106</f>
        <v>0</v>
      </c>
      <c r="D105" s="126">
        <f>D106</f>
        <v>0</v>
      </c>
      <c r="E105" s="121">
        <f t="shared" si="31"/>
        <v>0</v>
      </c>
      <c r="F105" s="121" t="str">
        <f t="shared" si="32"/>
        <v> </v>
      </c>
      <c r="G105" s="115">
        <f>D105-'[3]Janvaris'!D105</f>
        <v>0</v>
      </c>
      <c r="H105" s="125" t="s">
        <v>501</v>
      </c>
      <c r="I105" s="126">
        <f>I106</f>
        <v>1078</v>
      </c>
      <c r="J105" s="126">
        <f>J106</f>
        <v>0</v>
      </c>
      <c r="K105" s="126">
        <f>K106</f>
        <v>0</v>
      </c>
      <c r="L105" s="127">
        <f t="shared" si="24"/>
        <v>0</v>
      </c>
      <c r="M105" s="127"/>
      <c r="N105" s="126">
        <f>K105-'[3]Janvaris'!K105</f>
        <v>0</v>
      </c>
    </row>
    <row r="106" spans="1:14" ht="12.75">
      <c r="A106" s="128" t="s">
        <v>497</v>
      </c>
      <c r="B106" s="129">
        <v>1077970</v>
      </c>
      <c r="C106" s="129"/>
      <c r="D106" s="129"/>
      <c r="E106" s="121">
        <f t="shared" si="31"/>
        <v>0</v>
      </c>
      <c r="F106" s="121" t="str">
        <f t="shared" si="32"/>
        <v> </v>
      </c>
      <c r="G106" s="115">
        <f>D106-'[3]Janvaris'!D106</f>
        <v>0</v>
      </c>
      <c r="H106" s="128" t="s">
        <v>497</v>
      </c>
      <c r="I106" s="129">
        <f>ROUND(B106/1000,0)</f>
        <v>1078</v>
      </c>
      <c r="J106" s="129">
        <f>ROUND(C106/1000,0)</f>
        <v>0</v>
      </c>
      <c r="K106" s="129">
        <f>ROUND(D106/1000,0)</f>
        <v>0</v>
      </c>
      <c r="L106" s="100">
        <f t="shared" si="24"/>
        <v>0</v>
      </c>
      <c r="M106" s="100"/>
      <c r="N106" s="129">
        <f>K106-'[3]Janvaris'!K106</f>
        <v>0</v>
      </c>
    </row>
    <row r="107" spans="1:14" s="18" customFormat="1" ht="12.75">
      <c r="A107" s="125" t="s">
        <v>503</v>
      </c>
      <c r="B107" s="126">
        <f>B108</f>
        <v>13275</v>
      </c>
      <c r="C107" s="126">
        <f>C108</f>
        <v>0</v>
      </c>
      <c r="D107" s="126">
        <f>D108</f>
        <v>0</v>
      </c>
      <c r="E107" s="121">
        <f t="shared" si="31"/>
        <v>0</v>
      </c>
      <c r="F107" s="121" t="str">
        <f t="shared" si="32"/>
        <v> </v>
      </c>
      <c r="G107" s="115">
        <f>D107-'[3]Janvaris'!D107</f>
        <v>0</v>
      </c>
      <c r="H107" s="125" t="s">
        <v>503</v>
      </c>
      <c r="I107" s="126">
        <f>I108</f>
        <v>13</v>
      </c>
      <c r="J107" s="126">
        <f>J108</f>
        <v>0</v>
      </c>
      <c r="K107" s="126">
        <f>K108</f>
        <v>0</v>
      </c>
      <c r="L107" s="127">
        <f t="shared" si="24"/>
        <v>0</v>
      </c>
      <c r="M107" s="127"/>
      <c r="N107" s="126">
        <f>K107-'[3]Janvaris'!K107</f>
        <v>0</v>
      </c>
    </row>
    <row r="108" spans="1:14" ht="12.75">
      <c r="A108" s="128" t="s">
        <v>497</v>
      </c>
      <c r="B108" s="129">
        <v>13275</v>
      </c>
      <c r="C108" s="129"/>
      <c r="D108" s="129"/>
      <c r="E108" s="121">
        <f t="shared" si="31"/>
        <v>0</v>
      </c>
      <c r="F108" s="121"/>
      <c r="G108" s="115">
        <f>D108-'[3]Janvaris'!D108</f>
        <v>0</v>
      </c>
      <c r="H108" s="128" t="s">
        <v>497</v>
      </c>
      <c r="I108" s="129">
        <f>ROUND(B108/1000,0)</f>
        <v>13</v>
      </c>
      <c r="J108" s="129">
        <f>ROUND(C108/1000,0)</f>
        <v>0</v>
      </c>
      <c r="K108" s="129">
        <f>ROUND(D108/1000,0)</f>
        <v>0</v>
      </c>
      <c r="L108" s="100">
        <f t="shared" si="24"/>
        <v>0</v>
      </c>
      <c r="M108" s="100"/>
      <c r="N108" s="129">
        <f>K108-'[3]Janvaris'!K108</f>
        <v>0</v>
      </c>
    </row>
    <row r="109" spans="1:104" ht="38.25">
      <c r="A109" s="112" t="s">
        <v>518</v>
      </c>
      <c r="B109" s="136">
        <f>B110+B113</f>
        <v>5731672</v>
      </c>
      <c r="C109" s="136">
        <f>C110+C113</f>
        <v>540000</v>
      </c>
      <c r="D109" s="136">
        <f>D110+D113</f>
        <v>519839</v>
      </c>
      <c r="E109" s="121">
        <f t="shared" si="31"/>
        <v>0.09069587373457517</v>
      </c>
      <c r="F109" s="121"/>
      <c r="G109" s="115">
        <f>D109-'[3]Janvaris'!D109</f>
        <v>29986</v>
      </c>
      <c r="H109" s="112" t="s">
        <v>518</v>
      </c>
      <c r="I109" s="116">
        <f>I110+I113</f>
        <v>5732</v>
      </c>
      <c r="J109" s="116">
        <f>J110+J113</f>
        <v>540</v>
      </c>
      <c r="K109" s="116">
        <f>K110+K113</f>
        <v>520</v>
      </c>
      <c r="L109" s="117">
        <f t="shared" si="24"/>
        <v>9.071877180739707</v>
      </c>
      <c r="M109" s="117">
        <f>IF(ISERROR(ROUND(K109,0)/ROUND(J109,0))," ",(ROUND(K109,)/ROUND(J109,)))*100</f>
        <v>96.29629629629629</v>
      </c>
      <c r="N109" s="116">
        <f>K109-'[3]Janvaris'!K109</f>
        <v>30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 s="138" customFormat="1" ht="15" customHeight="1">
      <c r="A110" s="118" t="s">
        <v>496</v>
      </c>
      <c r="B110" s="113">
        <f>B111+B112</f>
        <v>2605105</v>
      </c>
      <c r="C110" s="113">
        <f>C111+C112</f>
        <v>540000</v>
      </c>
      <c r="D110" s="113">
        <f>D111+D112</f>
        <v>519839</v>
      </c>
      <c r="E110" s="121">
        <f t="shared" si="31"/>
        <v>0.1995462754860169</v>
      </c>
      <c r="F110" s="121"/>
      <c r="G110" s="115">
        <f>D110-'[3]Janvaris'!D110</f>
        <v>29986</v>
      </c>
      <c r="H110" s="118" t="s">
        <v>496</v>
      </c>
      <c r="I110" s="137">
        <f>I111+I112</f>
        <v>2605</v>
      </c>
      <c r="J110" s="137">
        <f>J111+J112</f>
        <v>540</v>
      </c>
      <c r="K110" s="137">
        <f>K111+K112</f>
        <v>520</v>
      </c>
      <c r="L110" s="117">
        <f t="shared" si="24"/>
        <v>19.961612284069098</v>
      </c>
      <c r="M110" s="117">
        <f>IF(ISERROR(ROUND(K110,0)/ROUND(J110,0))," ",(ROUND(K110,)/ROUND(J110,)))*100</f>
        <v>96.29629629629629</v>
      </c>
      <c r="N110" s="137">
        <f>K110-'[3]Janvaris'!K110</f>
        <v>30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4" ht="12.75">
      <c r="A111" s="120" t="s">
        <v>497</v>
      </c>
      <c r="B111" s="132">
        <f>B118+B124</f>
        <v>325105</v>
      </c>
      <c r="C111" s="132">
        <f>C118+C124</f>
        <v>0</v>
      </c>
      <c r="D111" s="132">
        <f>D118+D124</f>
        <v>0</v>
      </c>
      <c r="E111" s="121">
        <f t="shared" si="31"/>
        <v>0</v>
      </c>
      <c r="F111" s="121"/>
      <c r="G111" s="115">
        <f>D111-'[3]Janvaris'!D111</f>
        <v>0</v>
      </c>
      <c r="H111" s="120" t="s">
        <v>497</v>
      </c>
      <c r="I111" s="122">
        <f>I118+I124</f>
        <v>325</v>
      </c>
      <c r="J111" s="122">
        <f>J118</f>
        <v>0</v>
      </c>
      <c r="K111" s="122">
        <f>K118</f>
        <v>0</v>
      </c>
      <c r="L111" s="117">
        <f t="shared" si="24"/>
        <v>0</v>
      </c>
      <c r="M111" s="117"/>
      <c r="N111" s="122">
        <f>K111-'[3]Janvaris'!K111</f>
        <v>0</v>
      </c>
    </row>
    <row r="112" spans="1:14" ht="12.75">
      <c r="A112" s="120" t="s">
        <v>498</v>
      </c>
      <c r="B112" s="132">
        <f>B119</f>
        <v>2280000</v>
      </c>
      <c r="C112" s="132">
        <f>C119</f>
        <v>540000</v>
      </c>
      <c r="D112" s="132">
        <f>D119</f>
        <v>519839</v>
      </c>
      <c r="E112" s="121">
        <f t="shared" si="31"/>
        <v>0.22799956140350877</v>
      </c>
      <c r="F112" s="121"/>
      <c r="G112" s="115">
        <f>D112-'[3]Janvaris'!D112</f>
        <v>29986</v>
      </c>
      <c r="H112" s="120" t="s">
        <v>498</v>
      </c>
      <c r="I112" s="122">
        <f>I119</f>
        <v>2280</v>
      </c>
      <c r="J112" s="19">
        <f>J119</f>
        <v>540</v>
      </c>
      <c r="K112" s="122">
        <f>K119</f>
        <v>520</v>
      </c>
      <c r="L112" s="79">
        <f t="shared" si="24"/>
        <v>22.807017543859647</v>
      </c>
      <c r="M112" s="79">
        <f>IF(ISERROR(ROUND(K112,0)/ROUND(J112,0))," ",(ROUND(K112,)/ROUND(J112,)))*100</f>
        <v>96.29629629629629</v>
      </c>
      <c r="N112" s="122">
        <f>K112-'[3]Janvaris'!K112</f>
        <v>30</v>
      </c>
    </row>
    <row r="113" spans="1:104" s="138" customFormat="1" ht="15" customHeight="1">
      <c r="A113" s="118" t="s">
        <v>519</v>
      </c>
      <c r="B113" s="113">
        <f>SUM(B114:B115)</f>
        <v>3126567</v>
      </c>
      <c r="C113" s="113">
        <f>SUM(C115:C115)</f>
        <v>0</v>
      </c>
      <c r="D113" s="113">
        <f>SUM(D115:D115)</f>
        <v>0</v>
      </c>
      <c r="E113" s="121">
        <f t="shared" si="31"/>
        <v>0</v>
      </c>
      <c r="F113" s="121"/>
      <c r="G113" s="115">
        <f>D113-'[3]Janvaris'!D113</f>
        <v>0</v>
      </c>
      <c r="H113" s="118" t="s">
        <v>519</v>
      </c>
      <c r="I113" s="116">
        <f>I115+I114</f>
        <v>3127</v>
      </c>
      <c r="J113" s="116">
        <f>J115</f>
        <v>0</v>
      </c>
      <c r="K113" s="116">
        <f>K115</f>
        <v>0</v>
      </c>
      <c r="L113" s="117">
        <f t="shared" si="24"/>
        <v>0</v>
      </c>
      <c r="M113" s="117"/>
      <c r="N113" s="116">
        <f>K113-'[3]Janvaris'!K113</f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4" ht="12.75">
      <c r="A114" s="120" t="s">
        <v>497</v>
      </c>
      <c r="B114" s="132">
        <f>B126</f>
        <v>6567</v>
      </c>
      <c r="C114" s="132">
        <f>C126</f>
        <v>0</v>
      </c>
      <c r="D114" s="132">
        <f>D126</f>
        <v>0</v>
      </c>
      <c r="E114" s="121">
        <f t="shared" si="31"/>
        <v>0</v>
      </c>
      <c r="F114" s="121"/>
      <c r="G114" s="115">
        <f>D114-'[3]Janvaris'!D114</f>
        <v>0</v>
      </c>
      <c r="H114" s="120" t="s">
        <v>497</v>
      </c>
      <c r="I114" s="122">
        <f>I126</f>
        <v>7</v>
      </c>
      <c r="J114" s="122">
        <f>J122</f>
        <v>0</v>
      </c>
      <c r="K114" s="122">
        <f>K122</f>
        <v>0</v>
      </c>
      <c r="L114" s="79">
        <f t="shared" si="24"/>
        <v>0</v>
      </c>
      <c r="M114" s="79"/>
      <c r="N114" s="122">
        <f>K114-'[3]Janvaris'!K114</f>
        <v>0</v>
      </c>
    </row>
    <row r="115" spans="1:14" ht="12.75">
      <c r="A115" s="120" t="s">
        <v>498</v>
      </c>
      <c r="B115" s="132">
        <f>B121</f>
        <v>3120000</v>
      </c>
      <c r="C115" s="132">
        <f>C121</f>
        <v>0</v>
      </c>
      <c r="D115" s="132">
        <f>D121</f>
        <v>0</v>
      </c>
      <c r="E115" s="121">
        <f t="shared" si="31"/>
        <v>0</v>
      </c>
      <c r="F115" s="121"/>
      <c r="G115" s="115">
        <f>D115-'[3]Janvaris'!D115</f>
        <v>0</v>
      </c>
      <c r="H115" s="120" t="s">
        <v>498</v>
      </c>
      <c r="I115" s="122">
        <f>I121</f>
        <v>3120</v>
      </c>
      <c r="J115" s="122">
        <f>J121</f>
        <v>0</v>
      </c>
      <c r="K115" s="122">
        <f>K121</f>
        <v>0</v>
      </c>
      <c r="L115" s="79">
        <f t="shared" si="24"/>
        <v>0</v>
      </c>
      <c r="M115" s="79"/>
      <c r="N115" s="122">
        <f>K115-'[3]Janvaris'!K115</f>
        <v>0</v>
      </c>
    </row>
    <row r="116" spans="1:14" s="28" customFormat="1" ht="12">
      <c r="A116" s="134" t="s">
        <v>510</v>
      </c>
      <c r="B116" s="122">
        <f>B117+B120</f>
        <v>5659437</v>
      </c>
      <c r="C116" s="122">
        <f>C117+C120</f>
        <v>540000</v>
      </c>
      <c r="D116" s="122">
        <f>D117+D120</f>
        <v>519839</v>
      </c>
      <c r="E116" s="121">
        <f t="shared" si="31"/>
        <v>0.09185348295245623</v>
      </c>
      <c r="F116" s="121"/>
      <c r="G116" s="115">
        <f>D116-'[3]Janvaris'!D116</f>
        <v>29986</v>
      </c>
      <c r="H116" s="134" t="s">
        <v>510</v>
      </c>
      <c r="I116" s="122">
        <f>I117+I120</f>
        <v>5659</v>
      </c>
      <c r="J116" s="122">
        <f>J117+J120</f>
        <v>540</v>
      </c>
      <c r="K116" s="122">
        <f>K117+K120</f>
        <v>520</v>
      </c>
      <c r="L116" s="79">
        <f t="shared" si="24"/>
        <v>9.188902632974024</v>
      </c>
      <c r="M116" s="79">
        <f>IF(ISERROR(ROUND(K116,0)/ROUND(J116,0))," ",(ROUND(K116,)/ROUND(J116,)))*100</f>
        <v>96.29629629629629</v>
      </c>
      <c r="N116" s="122">
        <f>K116-'[3]Janvaris'!K116</f>
        <v>30</v>
      </c>
    </row>
    <row r="117" spans="1:14" s="18" customFormat="1" ht="12.75">
      <c r="A117" s="125" t="s">
        <v>501</v>
      </c>
      <c r="B117" s="126">
        <f>B118+B119</f>
        <v>2539437</v>
      </c>
      <c r="C117" s="126">
        <f>C118+C119</f>
        <v>540000</v>
      </c>
      <c r="D117" s="126">
        <f>D118+D119</f>
        <v>519839</v>
      </c>
      <c r="E117" s="121">
        <f t="shared" si="31"/>
        <v>0.20470639752039527</v>
      </c>
      <c r="F117" s="121"/>
      <c r="G117" s="115">
        <f>D117-'[3]Janvaris'!D117</f>
        <v>29986</v>
      </c>
      <c r="H117" s="125" t="s">
        <v>501</v>
      </c>
      <c r="I117" s="126">
        <f>I119+I118</f>
        <v>2539</v>
      </c>
      <c r="J117" s="126">
        <f>J119+J118</f>
        <v>540</v>
      </c>
      <c r="K117" s="126">
        <f>K119+K118</f>
        <v>520</v>
      </c>
      <c r="L117" s="127">
        <f t="shared" si="24"/>
        <v>20.480504135486413</v>
      </c>
      <c r="M117" s="127">
        <f>IF(ISERROR(ROUND(K117,0)/ROUND(J117,0))," ",(ROUND(K117,)/ROUND(J117,)))*100</f>
        <v>96.29629629629629</v>
      </c>
      <c r="N117" s="126">
        <f>K117-'[3]Janvaris'!K117</f>
        <v>30</v>
      </c>
    </row>
    <row r="118" spans="1:14" ht="12.75">
      <c r="A118" s="128" t="s">
        <v>497</v>
      </c>
      <c r="B118" s="129">
        <v>259437</v>
      </c>
      <c r="C118" s="129"/>
      <c r="D118" s="129"/>
      <c r="E118" s="121">
        <f t="shared" si="31"/>
        <v>0</v>
      </c>
      <c r="F118" s="121"/>
      <c r="G118" s="115">
        <f>D118-'[3]Janvaris'!D118</f>
        <v>0</v>
      </c>
      <c r="H118" s="128" t="s">
        <v>497</v>
      </c>
      <c r="I118" s="129">
        <f aca="true" t="shared" si="33" ref="I118:K119">ROUND(B118/1000,0)</f>
        <v>259</v>
      </c>
      <c r="J118" s="129">
        <f t="shared" si="33"/>
        <v>0</v>
      </c>
      <c r="K118" s="129">
        <f t="shared" si="33"/>
        <v>0</v>
      </c>
      <c r="L118" s="100">
        <f t="shared" si="24"/>
        <v>0</v>
      </c>
      <c r="M118" s="100"/>
      <c r="N118" s="129">
        <f>K118-'[3]Janvaris'!K118</f>
        <v>0</v>
      </c>
    </row>
    <row r="119" spans="1:104" s="81" customFormat="1" ht="12.75">
      <c r="A119" s="128" t="s">
        <v>498</v>
      </c>
      <c r="B119" s="129">
        <v>2280000</v>
      </c>
      <c r="C119" s="129">
        <v>540000</v>
      </c>
      <c r="D119" s="129">
        <v>519839</v>
      </c>
      <c r="E119" s="121">
        <f t="shared" si="31"/>
        <v>0.22799956140350877</v>
      </c>
      <c r="F119" s="121"/>
      <c r="G119" s="115">
        <f>D119-'[3]Janvaris'!D119</f>
        <v>29986</v>
      </c>
      <c r="H119" s="128" t="s">
        <v>498</v>
      </c>
      <c r="I119" s="129">
        <f t="shared" si="33"/>
        <v>2280</v>
      </c>
      <c r="J119" s="129">
        <f t="shared" si="33"/>
        <v>540</v>
      </c>
      <c r="K119" s="129">
        <f t="shared" si="33"/>
        <v>520</v>
      </c>
      <c r="L119" s="100">
        <f t="shared" si="24"/>
        <v>22.807017543859647</v>
      </c>
      <c r="M119" s="100">
        <f>IF(ISERROR(ROUND(K119,0)/ROUND(J119,0))," ",(ROUND(K119,)/ROUND(J119,)))*100</f>
        <v>96.29629629629629</v>
      </c>
      <c r="N119" s="129">
        <f>K119-'[3]Janvaris'!K119</f>
        <v>30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</row>
    <row r="120" spans="1:14" s="18" customFormat="1" ht="12.75">
      <c r="A120" s="125" t="s">
        <v>520</v>
      </c>
      <c r="B120" s="126">
        <f>B121</f>
        <v>3120000</v>
      </c>
      <c r="C120" s="126">
        <f>C121</f>
        <v>0</v>
      </c>
      <c r="D120" s="126">
        <f>D121</f>
        <v>0</v>
      </c>
      <c r="E120" s="121">
        <f t="shared" si="31"/>
        <v>0</v>
      </c>
      <c r="F120" s="121"/>
      <c r="G120" s="115">
        <f>D120-'[3]Janvaris'!D120</f>
        <v>0</v>
      </c>
      <c r="H120" s="125" t="s">
        <v>520</v>
      </c>
      <c r="I120" s="126">
        <f>I121</f>
        <v>3120</v>
      </c>
      <c r="J120" s="126">
        <f>J121</f>
        <v>0</v>
      </c>
      <c r="K120" s="126">
        <f>K121</f>
        <v>0</v>
      </c>
      <c r="L120" s="127">
        <f t="shared" si="24"/>
        <v>0</v>
      </c>
      <c r="M120" s="127"/>
      <c r="N120" s="126">
        <f>K120-'[3]Janvaris'!K120</f>
        <v>0</v>
      </c>
    </row>
    <row r="121" spans="1:104" s="81" customFormat="1" ht="12.75">
      <c r="A121" s="128" t="s">
        <v>498</v>
      </c>
      <c r="B121" s="129">
        <v>3120000</v>
      </c>
      <c r="C121" s="129"/>
      <c r="D121" s="129"/>
      <c r="E121" s="121">
        <f t="shared" si="31"/>
        <v>0</v>
      </c>
      <c r="F121" s="121"/>
      <c r="G121" s="115">
        <f>D121-'[3]Janvaris'!D121</f>
        <v>0</v>
      </c>
      <c r="H121" s="128" t="s">
        <v>498</v>
      </c>
      <c r="I121" s="129">
        <f>ROUND(B121/1000,0)</f>
        <v>3120</v>
      </c>
      <c r="J121" s="129">
        <f>ROUND(C121/1000,0)</f>
        <v>0</v>
      </c>
      <c r="K121" s="129">
        <f>ROUND(D121/1000,0)</f>
        <v>0</v>
      </c>
      <c r="L121" s="100">
        <f t="shared" si="24"/>
        <v>0</v>
      </c>
      <c r="M121" s="100"/>
      <c r="N121" s="129">
        <f>K121-'[3]Janvaris'!K121</f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</row>
    <row r="122" spans="1:14" s="28" customFormat="1" ht="12">
      <c r="A122" s="134" t="s">
        <v>511</v>
      </c>
      <c r="B122" s="122">
        <f>B123+B125</f>
        <v>72235</v>
      </c>
      <c r="C122" s="122">
        <f>C123+C125</f>
        <v>0</v>
      </c>
      <c r="D122" s="122">
        <f>D123+D125</f>
        <v>0</v>
      </c>
      <c r="E122" s="121">
        <f t="shared" si="31"/>
        <v>0</v>
      </c>
      <c r="F122" s="121"/>
      <c r="G122" s="115">
        <f>D122-'[3]Janvaris'!D122</f>
        <v>0</v>
      </c>
      <c r="H122" s="134" t="s">
        <v>511</v>
      </c>
      <c r="I122" s="122">
        <f>I123+I125</f>
        <v>73</v>
      </c>
      <c r="J122" s="122">
        <f>J123+J125</f>
        <v>0</v>
      </c>
      <c r="K122" s="122">
        <f>K123+K125</f>
        <v>0</v>
      </c>
      <c r="L122" s="79">
        <f t="shared" si="24"/>
        <v>0</v>
      </c>
      <c r="M122" s="79"/>
      <c r="N122" s="122">
        <f>K122-'[3]Janvaris'!K122</f>
        <v>0</v>
      </c>
    </row>
    <row r="123" spans="1:14" s="18" customFormat="1" ht="12.75">
      <c r="A123" s="125" t="s">
        <v>501</v>
      </c>
      <c r="B123" s="126">
        <f>B124</f>
        <v>65668</v>
      </c>
      <c r="C123" s="126">
        <f>C124</f>
        <v>0</v>
      </c>
      <c r="D123" s="126">
        <f>D124</f>
        <v>0</v>
      </c>
      <c r="E123" s="121">
        <f t="shared" si="31"/>
        <v>0</v>
      </c>
      <c r="F123" s="121"/>
      <c r="G123" s="115">
        <f>D123-'[3]Janvaris'!D123</f>
        <v>0</v>
      </c>
      <c r="H123" s="125" t="s">
        <v>501</v>
      </c>
      <c r="I123" s="126">
        <f>I124</f>
        <v>66</v>
      </c>
      <c r="J123" s="126">
        <f>J124</f>
        <v>0</v>
      </c>
      <c r="K123" s="126">
        <f>K124</f>
        <v>0</v>
      </c>
      <c r="L123" s="127">
        <f t="shared" si="24"/>
        <v>0</v>
      </c>
      <c r="M123" s="126"/>
      <c r="N123" s="126">
        <f>K123-'[3]Janvaris'!K123</f>
        <v>0</v>
      </c>
    </row>
    <row r="124" spans="1:14" ht="12.75">
      <c r="A124" s="128" t="s">
        <v>497</v>
      </c>
      <c r="B124" s="129">
        <v>65668</v>
      </c>
      <c r="C124" s="129"/>
      <c r="D124" s="129"/>
      <c r="E124" s="121">
        <f t="shared" si="31"/>
        <v>0</v>
      </c>
      <c r="F124" s="121"/>
      <c r="G124" s="115">
        <f>D124-'[3]Janvaris'!D124</f>
        <v>0</v>
      </c>
      <c r="H124" s="128" t="s">
        <v>497</v>
      </c>
      <c r="I124" s="129">
        <f>ROUND(B124/1000,0)</f>
        <v>66</v>
      </c>
      <c r="J124" s="129">
        <f>ROUND(C124/1000,0)</f>
        <v>0</v>
      </c>
      <c r="K124" s="129">
        <f>ROUND(D124/1000,0)</f>
        <v>0</v>
      </c>
      <c r="L124" s="100">
        <f t="shared" si="24"/>
        <v>0</v>
      </c>
      <c r="M124" s="100"/>
      <c r="N124" s="129">
        <f>K124-'[3]Janvaris'!K124</f>
        <v>0</v>
      </c>
    </row>
    <row r="125" spans="1:14" s="18" customFormat="1" ht="12.75">
      <c r="A125" s="125" t="s">
        <v>520</v>
      </c>
      <c r="B125" s="126">
        <f>B126</f>
        <v>6567</v>
      </c>
      <c r="C125" s="126">
        <f>C126</f>
        <v>0</v>
      </c>
      <c r="D125" s="126">
        <f>D126</f>
        <v>0</v>
      </c>
      <c r="E125" s="121">
        <f t="shared" si="31"/>
        <v>0</v>
      </c>
      <c r="F125" s="121"/>
      <c r="G125" s="115">
        <f>D125-'[3]Janvaris'!D125</f>
        <v>0</v>
      </c>
      <c r="H125" s="125" t="s">
        <v>520</v>
      </c>
      <c r="I125" s="126">
        <f>I126</f>
        <v>7</v>
      </c>
      <c r="J125" s="126">
        <f>J126</f>
        <v>0</v>
      </c>
      <c r="K125" s="126">
        <f>K126</f>
        <v>0</v>
      </c>
      <c r="L125" s="127">
        <f t="shared" si="24"/>
        <v>0</v>
      </c>
      <c r="M125" s="126"/>
      <c r="N125" s="126">
        <f>K125-'[3]Janvaris'!K125</f>
        <v>0</v>
      </c>
    </row>
    <row r="126" spans="1:104" s="81" customFormat="1" ht="12.75">
      <c r="A126" s="128" t="s">
        <v>497</v>
      </c>
      <c r="B126" s="129">
        <v>6567</v>
      </c>
      <c r="C126" s="129"/>
      <c r="D126" s="129"/>
      <c r="E126" s="121"/>
      <c r="F126" s="121"/>
      <c r="G126" s="115">
        <f>D126-'[3]Janvaris'!D126</f>
        <v>0</v>
      </c>
      <c r="H126" s="128" t="s">
        <v>497</v>
      </c>
      <c r="I126" s="129">
        <f>ROUND(B126/1000,0)</f>
        <v>7</v>
      </c>
      <c r="J126" s="129">
        <f>ROUND(C126/1000,0)</f>
        <v>0</v>
      </c>
      <c r="K126" s="129">
        <f>ROUND(D126/1000,0)</f>
        <v>0</v>
      </c>
      <c r="L126" s="100">
        <f t="shared" si="24"/>
        <v>0</v>
      </c>
      <c r="M126" s="100"/>
      <c r="N126" s="129">
        <f>K126-'[3]Janvaris'!K126</f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</row>
    <row r="127" spans="1:14" ht="12.75">
      <c r="A127" s="118" t="s">
        <v>521</v>
      </c>
      <c r="B127" s="139" t="s">
        <v>522</v>
      </c>
      <c r="C127" s="139" t="s">
        <v>522</v>
      </c>
      <c r="D127" s="116">
        <f>D128+D129</f>
        <v>0</v>
      </c>
      <c r="E127" s="139" t="s">
        <v>522</v>
      </c>
      <c r="F127" s="139" t="s">
        <v>522</v>
      </c>
      <c r="G127" s="115">
        <f>D127-'[3]Janvaris'!D127</f>
        <v>0</v>
      </c>
      <c r="H127" s="118" t="s">
        <v>521</v>
      </c>
      <c r="I127" s="139" t="s">
        <v>522</v>
      </c>
      <c r="J127" s="139" t="s">
        <v>522</v>
      </c>
      <c r="K127" s="116">
        <f>K128+K129</f>
        <v>0</v>
      </c>
      <c r="L127" s="139" t="s">
        <v>522</v>
      </c>
      <c r="M127" s="139" t="s">
        <v>522</v>
      </c>
      <c r="N127" s="116">
        <f>K127-'[3]Janvaris'!K127</f>
        <v>0</v>
      </c>
    </row>
    <row r="128" spans="1:14" ht="12.75">
      <c r="A128" s="128" t="s">
        <v>497</v>
      </c>
      <c r="B128" s="140" t="s">
        <v>522</v>
      </c>
      <c r="C128" s="140" t="s">
        <v>522</v>
      </c>
      <c r="D128" s="129"/>
      <c r="E128" s="140" t="s">
        <v>522</v>
      </c>
      <c r="F128" s="140" t="s">
        <v>522</v>
      </c>
      <c r="G128" s="115">
        <f>D128-'[3]Janvaris'!D128</f>
        <v>0</v>
      </c>
      <c r="H128" s="128" t="s">
        <v>497</v>
      </c>
      <c r="I128" s="140" t="s">
        <v>522</v>
      </c>
      <c r="J128" s="140" t="s">
        <v>522</v>
      </c>
      <c r="K128" s="129">
        <f>ROUND(D128/1000,0)</f>
        <v>0</v>
      </c>
      <c r="L128" s="140" t="s">
        <v>522</v>
      </c>
      <c r="M128" s="140" t="s">
        <v>522</v>
      </c>
      <c r="N128" s="129">
        <f>K128-'[3]Janvaris'!K128</f>
        <v>0</v>
      </c>
    </row>
    <row r="129" spans="1:14" ht="12.75">
      <c r="A129" s="128" t="s">
        <v>498</v>
      </c>
      <c r="B129" s="140" t="s">
        <v>522</v>
      </c>
      <c r="C129" s="140" t="s">
        <v>522</v>
      </c>
      <c r="D129" s="129"/>
      <c r="E129" s="140" t="s">
        <v>522</v>
      </c>
      <c r="F129" s="140" t="s">
        <v>522</v>
      </c>
      <c r="G129" s="115">
        <f>D129-'[3]Janvaris'!D129</f>
        <v>0</v>
      </c>
      <c r="H129" s="128" t="s">
        <v>498</v>
      </c>
      <c r="I129" s="140" t="s">
        <v>522</v>
      </c>
      <c r="J129" s="140" t="s">
        <v>522</v>
      </c>
      <c r="K129" s="129">
        <f>ROUND(D129/1000,0)</f>
        <v>0</v>
      </c>
      <c r="L129" s="140" t="s">
        <v>522</v>
      </c>
      <c r="M129" s="140" t="s">
        <v>522</v>
      </c>
      <c r="N129" s="129">
        <f>K129-'[3]Janvaris'!K129</f>
        <v>0</v>
      </c>
    </row>
    <row r="133" spans="8:14" ht="14.25">
      <c r="H133" s="672" t="s">
        <v>523</v>
      </c>
      <c r="I133" s="672"/>
      <c r="J133" s="672"/>
      <c r="K133" s="672"/>
      <c r="L133" s="672"/>
      <c r="M133" s="672"/>
      <c r="N133" s="672"/>
    </row>
    <row r="137" spans="8:14" ht="12.75">
      <c r="H137" s="28"/>
      <c r="I137" s="28"/>
      <c r="J137" s="28"/>
      <c r="K137" s="28"/>
      <c r="L137" s="28"/>
      <c r="M137" s="28"/>
      <c r="N137" s="28"/>
    </row>
    <row r="138" spans="8:14" ht="12.75">
      <c r="H138" s="28" t="s">
        <v>349</v>
      </c>
      <c r="I138" s="28"/>
      <c r="J138" s="28"/>
      <c r="K138" s="28"/>
      <c r="L138" s="28"/>
      <c r="M138" s="28"/>
      <c r="N138" s="28"/>
    </row>
    <row r="139" spans="8:14" ht="12.75">
      <c r="H139" s="28" t="s">
        <v>350</v>
      </c>
      <c r="I139" s="28"/>
      <c r="J139" s="28"/>
      <c r="K139" s="28"/>
      <c r="L139" s="28"/>
      <c r="M139" s="28"/>
      <c r="N139" s="28"/>
    </row>
    <row r="140" spans="8:14" ht="12.75">
      <c r="H140" s="28"/>
      <c r="I140" s="28"/>
      <c r="J140" s="28"/>
      <c r="K140" s="28"/>
      <c r="L140" s="28"/>
      <c r="M140" s="28"/>
      <c r="N140" s="28"/>
    </row>
    <row r="141" spans="9:14" ht="12.75">
      <c r="I141" s="28"/>
      <c r="J141" s="28"/>
      <c r="K141" s="28"/>
      <c r="L141" s="28"/>
      <c r="M141" s="28"/>
      <c r="N141" s="28"/>
    </row>
    <row r="142" spans="9:14" ht="12.75">
      <c r="I142" s="28"/>
      <c r="J142" s="28"/>
      <c r="K142" s="28"/>
      <c r="L142" s="28"/>
      <c r="M142" s="28"/>
      <c r="N142" s="28"/>
    </row>
    <row r="143" spans="8:14" ht="12.75">
      <c r="H143" s="28"/>
      <c r="I143" s="28"/>
      <c r="J143" s="28"/>
      <c r="K143" s="28"/>
      <c r="L143" s="28"/>
      <c r="M143" s="28"/>
      <c r="N143" s="28"/>
    </row>
    <row r="144" spans="8:14" ht="12.75">
      <c r="H144" s="28"/>
      <c r="I144" s="28"/>
      <c r="J144" s="28"/>
      <c r="K144" s="28"/>
      <c r="L144" s="28"/>
      <c r="M144" s="28"/>
      <c r="N144" s="28"/>
    </row>
    <row r="145" spans="9:14" ht="12.75">
      <c r="I145" s="28"/>
      <c r="J145" s="28"/>
      <c r="K145" s="28"/>
      <c r="L145" s="28"/>
      <c r="M145" s="28"/>
      <c r="N145" s="28"/>
    </row>
    <row r="146" spans="9:14" ht="12.75">
      <c r="I146" s="28"/>
      <c r="J146" s="28"/>
      <c r="K146" s="28"/>
      <c r="L146" s="28"/>
      <c r="M146" s="28"/>
      <c r="N146" s="28"/>
    </row>
    <row r="147" spans="8:14" ht="12.75">
      <c r="H147" s="28"/>
      <c r="I147" s="28"/>
      <c r="J147" s="28"/>
      <c r="K147" s="28"/>
      <c r="L147" s="28"/>
      <c r="M147" s="28"/>
      <c r="N147" s="28"/>
    </row>
    <row r="148" spans="8:14" ht="12.75">
      <c r="H148" s="28"/>
      <c r="I148" s="28"/>
      <c r="J148" s="28"/>
      <c r="K148" s="28"/>
      <c r="L148" s="28"/>
      <c r="M148" s="28"/>
      <c r="N148" s="28"/>
    </row>
    <row r="149" spans="9:14" ht="12.75">
      <c r="I149" s="28"/>
      <c r="J149" s="28"/>
      <c r="K149" s="28"/>
      <c r="L149" s="28"/>
      <c r="M149" s="28"/>
      <c r="N149" s="28"/>
    </row>
    <row r="150" spans="9:14" ht="12.75">
      <c r="I150" s="28"/>
      <c r="J150" s="28"/>
      <c r="K150" s="28"/>
      <c r="L150" s="28"/>
      <c r="M150" s="28"/>
      <c r="N150" s="28"/>
    </row>
    <row r="151" spans="8:14" ht="12.75">
      <c r="H151" s="28"/>
      <c r="I151" s="28"/>
      <c r="J151" s="28"/>
      <c r="K151" s="28"/>
      <c r="L151" s="28"/>
      <c r="M151" s="28"/>
      <c r="N151" s="28"/>
    </row>
    <row r="152" spans="8:14" ht="12.75">
      <c r="H152" s="28"/>
      <c r="I152" s="28"/>
      <c r="J152" s="28"/>
      <c r="K152" s="28"/>
      <c r="L152" s="28"/>
      <c r="M152" s="28"/>
      <c r="N152" s="28"/>
    </row>
    <row r="153" spans="8:14" ht="12.75">
      <c r="H153" s="28"/>
      <c r="I153" s="28"/>
      <c r="J153" s="28"/>
      <c r="K153" s="28"/>
      <c r="L153" s="28"/>
      <c r="M153" s="28"/>
      <c r="N153" s="28"/>
    </row>
    <row r="154" spans="8:14" ht="12.75">
      <c r="H154" s="28"/>
      <c r="I154" s="28"/>
      <c r="J154" s="28"/>
      <c r="K154" s="28"/>
      <c r="L154" s="28"/>
      <c r="M154" s="28"/>
      <c r="N154" s="28"/>
    </row>
    <row r="155" spans="8:14" ht="12.75">
      <c r="H155" s="28"/>
      <c r="I155" s="28"/>
      <c r="J155" s="28"/>
      <c r="K155" s="28"/>
      <c r="L155" s="28"/>
      <c r="M155" s="28"/>
      <c r="N155" s="28"/>
    </row>
    <row r="156" spans="8:14" ht="12.75">
      <c r="H156" s="28"/>
      <c r="I156" s="28"/>
      <c r="J156" s="28"/>
      <c r="K156" s="28"/>
      <c r="L156" s="28"/>
      <c r="M156" s="28"/>
      <c r="N156" s="28"/>
    </row>
    <row r="157" spans="8:14" ht="12.75">
      <c r="H157" s="28"/>
      <c r="I157" s="28"/>
      <c r="J157" s="28"/>
      <c r="K157" s="28"/>
      <c r="L157" s="28"/>
      <c r="M157" s="28"/>
      <c r="N157" s="28"/>
    </row>
    <row r="158" spans="8:14" ht="12.75">
      <c r="H158" s="28"/>
      <c r="I158" s="28"/>
      <c r="J158" s="28"/>
      <c r="K158" s="28"/>
      <c r="L158" s="28"/>
      <c r="M158" s="28"/>
      <c r="N158" s="28"/>
    </row>
    <row r="159" spans="8:14" ht="12.75">
      <c r="H159" s="28"/>
      <c r="I159" s="28"/>
      <c r="J159" s="28"/>
      <c r="K159" s="28"/>
      <c r="L159" s="28"/>
      <c r="M159" s="28"/>
      <c r="N159" s="28"/>
    </row>
    <row r="160" spans="8:14" ht="12.75">
      <c r="H160" s="28"/>
      <c r="I160" s="28"/>
      <c r="J160" s="28"/>
      <c r="K160" s="28"/>
      <c r="L160" s="28"/>
      <c r="M160" s="28"/>
      <c r="N160" s="28"/>
    </row>
    <row r="161" spans="8:14" ht="12.75">
      <c r="H161" s="28"/>
      <c r="I161" s="28"/>
      <c r="J161" s="28"/>
      <c r="K161" s="28"/>
      <c r="L161" s="28"/>
      <c r="M161" s="28"/>
      <c r="N161" s="28"/>
    </row>
    <row r="162" spans="8:14" ht="12.75">
      <c r="H162" s="28"/>
      <c r="I162" s="28"/>
      <c r="J162" s="28"/>
      <c r="K162" s="28"/>
      <c r="L162" s="28"/>
      <c r="M162" s="28"/>
      <c r="N162" s="28"/>
    </row>
    <row r="163" spans="8:14" ht="12.75">
      <c r="H163" s="28"/>
      <c r="I163" s="28"/>
      <c r="J163" s="28"/>
      <c r="K163" s="28"/>
      <c r="L163" s="28"/>
      <c r="M163" s="28"/>
      <c r="N163" s="28"/>
    </row>
    <row r="164" spans="8:14" ht="12.75">
      <c r="H164" s="28"/>
      <c r="I164" s="28"/>
      <c r="J164" s="28"/>
      <c r="K164" s="28"/>
      <c r="L164" s="28"/>
      <c r="M164" s="28"/>
      <c r="N164" s="28"/>
    </row>
    <row r="165" spans="8:14" ht="12.75">
      <c r="H165" s="28"/>
      <c r="I165" s="28"/>
      <c r="J165" s="28"/>
      <c r="K165" s="28"/>
      <c r="L165" s="28"/>
      <c r="M165" s="28"/>
      <c r="N165" s="28"/>
    </row>
    <row r="166" spans="8:14" ht="12.75">
      <c r="H166" s="28"/>
      <c r="I166" s="28"/>
      <c r="J166" s="28"/>
      <c r="K166" s="28"/>
      <c r="L166" s="28"/>
      <c r="M166" s="28"/>
      <c r="N166" s="28"/>
    </row>
    <row r="167" spans="8:14" ht="12.75">
      <c r="H167" s="28"/>
      <c r="I167" s="28"/>
      <c r="J167" s="28"/>
      <c r="K167" s="28"/>
      <c r="L167" s="28"/>
      <c r="M167" s="28"/>
      <c r="N167" s="28"/>
    </row>
    <row r="168" spans="8:14" ht="12.75">
      <c r="H168" s="28"/>
      <c r="I168" s="28"/>
      <c r="J168" s="28"/>
      <c r="K168" s="28"/>
      <c r="L168" s="28"/>
      <c r="M168" s="28"/>
      <c r="N168" s="28"/>
    </row>
    <row r="169" spans="8:14" ht="12.75">
      <c r="H169" s="28"/>
      <c r="I169" s="28"/>
      <c r="J169" s="28"/>
      <c r="K169" s="28"/>
      <c r="L169" s="28"/>
      <c r="M169" s="28"/>
      <c r="N169" s="28"/>
    </row>
    <row r="170" spans="8:14" ht="12.75">
      <c r="H170" s="28"/>
      <c r="I170" s="28"/>
      <c r="J170" s="28"/>
      <c r="K170" s="28"/>
      <c r="L170" s="28"/>
      <c r="M170" s="28"/>
      <c r="N170" s="28"/>
    </row>
    <row r="171" spans="8:14" ht="12.75">
      <c r="H171" s="28"/>
      <c r="I171" s="28"/>
      <c r="J171" s="28"/>
      <c r="K171" s="28"/>
      <c r="L171" s="28"/>
      <c r="M171" s="28"/>
      <c r="N171" s="28"/>
    </row>
    <row r="172" spans="8:14" ht="12.75">
      <c r="H172" s="28"/>
      <c r="I172" s="28"/>
      <c r="J172" s="28"/>
      <c r="K172" s="28"/>
      <c r="L172" s="28"/>
      <c r="M172" s="28"/>
      <c r="N172" s="28"/>
    </row>
    <row r="173" spans="8:14" ht="12.75">
      <c r="H173" s="28"/>
      <c r="I173" s="28"/>
      <c r="J173" s="28"/>
      <c r="K173" s="28"/>
      <c r="L173" s="28"/>
      <c r="M173" s="28"/>
      <c r="N173" s="28"/>
    </row>
    <row r="174" spans="8:14" ht="12.75">
      <c r="H174" s="28"/>
      <c r="I174" s="28"/>
      <c r="J174" s="28"/>
      <c r="K174" s="28"/>
      <c r="L174" s="28"/>
      <c r="M174" s="28"/>
      <c r="N174" s="28"/>
    </row>
    <row r="175" spans="8:14" ht="12.75">
      <c r="H175" s="28"/>
      <c r="I175" s="28"/>
      <c r="J175" s="28"/>
      <c r="K175" s="28"/>
      <c r="L175" s="28"/>
      <c r="M175" s="28"/>
      <c r="N175" s="28"/>
    </row>
    <row r="176" spans="8:14" ht="12.75">
      <c r="H176" s="28"/>
      <c r="I176" s="28"/>
      <c r="J176" s="28"/>
      <c r="K176" s="28"/>
      <c r="L176" s="28"/>
      <c r="M176" s="28"/>
      <c r="N176" s="28"/>
    </row>
    <row r="177" spans="8:14" ht="12.75">
      <c r="H177" s="28"/>
      <c r="I177" s="28"/>
      <c r="J177" s="28"/>
      <c r="K177" s="28"/>
      <c r="L177" s="28"/>
      <c r="M177" s="28"/>
      <c r="N177" s="28"/>
    </row>
    <row r="178" spans="8:14" ht="12.75">
      <c r="H178" s="28"/>
      <c r="I178" s="28"/>
      <c r="J178" s="28"/>
      <c r="K178" s="28"/>
      <c r="L178" s="28"/>
      <c r="M178" s="28"/>
      <c r="N178" s="28"/>
    </row>
    <row r="179" spans="8:14" ht="12.75">
      <c r="H179" s="28"/>
      <c r="I179" s="28"/>
      <c r="J179" s="28"/>
      <c r="K179" s="28"/>
      <c r="L179" s="28"/>
      <c r="M179" s="28"/>
      <c r="N179" s="28"/>
    </row>
    <row r="180" spans="8:14" ht="12.75">
      <c r="H180" s="28"/>
      <c r="I180" s="28"/>
      <c r="J180" s="28"/>
      <c r="K180" s="28"/>
      <c r="L180" s="28"/>
      <c r="M180" s="28"/>
      <c r="N180" s="28"/>
    </row>
    <row r="181" spans="8:14" ht="12.75">
      <c r="H181" s="28"/>
      <c r="I181" s="28"/>
      <c r="J181" s="28"/>
      <c r="K181" s="28"/>
      <c r="L181" s="28"/>
      <c r="M181" s="28"/>
      <c r="N181" s="28"/>
    </row>
    <row r="182" spans="8:14" ht="12.75">
      <c r="H182" s="28"/>
      <c r="I182" s="28"/>
      <c r="J182" s="28"/>
      <c r="K182" s="28"/>
      <c r="L182" s="28"/>
      <c r="M182" s="28"/>
      <c r="N182" s="28"/>
    </row>
    <row r="183" spans="8:14" ht="12.75">
      <c r="H183" s="28"/>
      <c r="I183" s="28"/>
      <c r="J183" s="28"/>
      <c r="K183" s="28"/>
      <c r="L183" s="28"/>
      <c r="M183" s="28"/>
      <c r="N183" s="28"/>
    </row>
    <row r="184" spans="8:14" ht="12.75">
      <c r="H184" s="28"/>
      <c r="I184" s="28"/>
      <c r="J184" s="28"/>
      <c r="K184" s="28"/>
      <c r="L184" s="28"/>
      <c r="M184" s="28"/>
      <c r="N184" s="28"/>
    </row>
    <row r="185" spans="8:14" ht="12.75">
      <c r="H185" s="28"/>
      <c r="I185" s="28"/>
      <c r="J185" s="28"/>
      <c r="K185" s="28"/>
      <c r="L185" s="28"/>
      <c r="M185" s="28"/>
      <c r="N185" s="28"/>
    </row>
    <row r="186" spans="8:14" ht="12.75">
      <c r="H186" s="28"/>
      <c r="I186" s="28"/>
      <c r="J186" s="28"/>
      <c r="K186" s="28"/>
      <c r="L186" s="28"/>
      <c r="M186" s="28"/>
      <c r="N186" s="28"/>
    </row>
    <row r="187" spans="8:14" ht="12.75">
      <c r="H187" s="28"/>
      <c r="I187" s="28"/>
      <c r="J187" s="28"/>
      <c r="K187" s="28"/>
      <c r="L187" s="28"/>
      <c r="M187" s="28"/>
      <c r="N187" s="28"/>
    </row>
    <row r="188" spans="8:14" ht="12.75">
      <c r="H188" s="28"/>
      <c r="I188" s="28"/>
      <c r="J188" s="28"/>
      <c r="K188" s="28"/>
      <c r="L188" s="28"/>
      <c r="M188" s="28"/>
      <c r="N188" s="28"/>
    </row>
    <row r="189" spans="8:14" ht="12.75">
      <c r="H189" s="28"/>
      <c r="I189" s="28"/>
      <c r="J189" s="28"/>
      <c r="K189" s="28"/>
      <c r="L189" s="28"/>
      <c r="M189" s="28"/>
      <c r="N189" s="28"/>
    </row>
    <row r="190" spans="8:14" ht="12.75">
      <c r="H190" s="28"/>
      <c r="I190" s="28"/>
      <c r="J190" s="28"/>
      <c r="K190" s="28"/>
      <c r="L190" s="28"/>
      <c r="M190" s="28"/>
      <c r="N190" s="28"/>
    </row>
    <row r="191" spans="8:14" ht="12.75">
      <c r="H191" s="28"/>
      <c r="I191" s="28"/>
      <c r="J191" s="28"/>
      <c r="K191" s="28"/>
      <c r="L191" s="28"/>
      <c r="M191" s="28"/>
      <c r="N191" s="28"/>
    </row>
    <row r="192" spans="8:14" ht="12.75">
      <c r="H192" s="28"/>
      <c r="I192" s="28"/>
      <c r="J192" s="28"/>
      <c r="K192" s="28"/>
      <c r="L192" s="28"/>
      <c r="M192" s="28"/>
      <c r="N192" s="28"/>
    </row>
    <row r="193" spans="8:14" ht="12.75">
      <c r="H193" s="28"/>
      <c r="I193" s="28"/>
      <c r="J193" s="28"/>
      <c r="K193" s="28"/>
      <c r="L193" s="28"/>
      <c r="M193" s="28"/>
      <c r="N193" s="28"/>
    </row>
    <row r="194" spans="8:14" ht="12.75">
      <c r="H194" s="28"/>
      <c r="I194" s="28"/>
      <c r="J194" s="28"/>
      <c r="K194" s="28"/>
      <c r="L194" s="28"/>
      <c r="M194" s="28"/>
      <c r="N194" s="28"/>
    </row>
    <row r="195" spans="8:14" ht="12.75">
      <c r="H195" s="28"/>
      <c r="I195" s="28"/>
      <c r="J195" s="28"/>
      <c r="K195" s="28"/>
      <c r="L195" s="28"/>
      <c r="M195" s="28"/>
      <c r="N195" s="28"/>
    </row>
    <row r="196" spans="8:14" ht="12.75">
      <c r="H196" s="28"/>
      <c r="I196" s="28"/>
      <c r="J196" s="28"/>
      <c r="K196" s="28"/>
      <c r="L196" s="28"/>
      <c r="M196" s="28"/>
      <c r="N196" s="28"/>
    </row>
    <row r="197" spans="8:14" ht="12.75">
      <c r="H197" s="28"/>
      <c r="I197" s="28"/>
      <c r="J197" s="28"/>
      <c r="K197" s="28"/>
      <c r="L197" s="28"/>
      <c r="M197" s="28"/>
      <c r="N197" s="28"/>
    </row>
    <row r="198" spans="8:14" ht="12.75">
      <c r="H198" s="28"/>
      <c r="I198" s="28"/>
      <c r="J198" s="28"/>
      <c r="K198" s="28"/>
      <c r="L198" s="28"/>
      <c r="M198" s="28"/>
      <c r="N198" s="28"/>
    </row>
    <row r="199" spans="8:14" ht="12.75">
      <c r="H199" s="28"/>
      <c r="I199" s="28"/>
      <c r="J199" s="28"/>
      <c r="K199" s="28"/>
      <c r="L199" s="28"/>
      <c r="M199" s="28"/>
      <c r="N199" s="28"/>
    </row>
    <row r="200" spans="8:14" ht="12.75">
      <c r="H200" s="28"/>
      <c r="I200" s="28"/>
      <c r="J200" s="28"/>
      <c r="K200" s="28"/>
      <c r="L200" s="28"/>
      <c r="M200" s="28"/>
      <c r="N200" s="28"/>
    </row>
    <row r="201" spans="8:14" ht="12.75">
      <c r="H201" s="28"/>
      <c r="I201" s="28"/>
      <c r="J201" s="28"/>
      <c r="K201" s="28"/>
      <c r="L201" s="28"/>
      <c r="M201" s="28"/>
      <c r="N201" s="28"/>
    </row>
    <row r="202" spans="8:14" ht="12.75">
      <c r="H202" s="28"/>
      <c r="I202" s="28"/>
      <c r="J202" s="28"/>
      <c r="K202" s="28"/>
      <c r="L202" s="28"/>
      <c r="M202" s="28"/>
      <c r="N202" s="28"/>
    </row>
    <row r="203" spans="8:14" ht="12.75">
      <c r="H203" s="28"/>
      <c r="I203" s="28"/>
      <c r="J203" s="28"/>
      <c r="K203" s="28"/>
      <c r="L203" s="28"/>
      <c r="M203" s="28"/>
      <c r="N203" s="28"/>
    </row>
    <row r="204" spans="8:14" ht="12.75">
      <c r="H204" s="28"/>
      <c r="I204" s="28"/>
      <c r="J204" s="28"/>
      <c r="K204" s="28"/>
      <c r="L204" s="28"/>
      <c r="M204" s="28"/>
      <c r="N204" s="28"/>
    </row>
    <row r="205" spans="8:14" ht="12.75">
      <c r="H205" s="28"/>
      <c r="I205" s="28"/>
      <c r="J205" s="28"/>
      <c r="K205" s="28"/>
      <c r="L205" s="28"/>
      <c r="M205" s="28"/>
      <c r="N205" s="28"/>
    </row>
    <row r="206" spans="8:14" ht="12.75">
      <c r="H206" s="28"/>
      <c r="I206" s="28"/>
      <c r="J206" s="28"/>
      <c r="K206" s="28"/>
      <c r="L206" s="28"/>
      <c r="M206" s="28"/>
      <c r="N206" s="28"/>
    </row>
    <row r="207" spans="8:14" ht="12.75">
      <c r="H207" s="28"/>
      <c r="I207" s="28"/>
      <c r="J207" s="28"/>
      <c r="K207" s="28"/>
      <c r="L207" s="28"/>
      <c r="M207" s="28"/>
      <c r="N207" s="28"/>
    </row>
    <row r="208" spans="8:14" ht="12.75">
      <c r="H208" s="28"/>
      <c r="I208" s="28"/>
      <c r="J208" s="28"/>
      <c r="K208" s="28"/>
      <c r="L208" s="28"/>
      <c r="M208" s="28"/>
      <c r="N208" s="28"/>
    </row>
    <row r="209" spans="8:14" ht="12.75">
      <c r="H209" s="28"/>
      <c r="I209" s="28"/>
      <c r="J209" s="28"/>
      <c r="K209" s="28"/>
      <c r="L209" s="28"/>
      <c r="M209" s="28"/>
      <c r="N209" s="28"/>
    </row>
    <row r="210" spans="8:14" ht="12.75">
      <c r="H210" s="28"/>
      <c r="I210" s="28"/>
      <c r="J210" s="28"/>
      <c r="K210" s="28"/>
      <c r="L210" s="28"/>
      <c r="M210" s="28"/>
      <c r="N210" s="28"/>
    </row>
    <row r="211" spans="8:14" ht="12.75">
      <c r="H211" s="28"/>
      <c r="I211" s="28"/>
      <c r="J211" s="28"/>
      <c r="K211" s="28"/>
      <c r="L211" s="28"/>
      <c r="M211" s="28"/>
      <c r="N211" s="28"/>
    </row>
    <row r="212" spans="8:14" ht="12.75">
      <c r="H212" s="28"/>
      <c r="I212" s="28"/>
      <c r="J212" s="28"/>
      <c r="K212" s="28"/>
      <c r="L212" s="28"/>
      <c r="M212" s="28"/>
      <c r="N212" s="28"/>
    </row>
    <row r="213" spans="1:14" ht="12.75">
      <c r="A213" s="28"/>
      <c r="B213" s="28"/>
      <c r="C213" s="28"/>
      <c r="D213" s="28"/>
      <c r="E213" s="28"/>
      <c r="F213" s="28"/>
      <c r="H213" s="28"/>
      <c r="I213" s="28"/>
      <c r="J213" s="28"/>
      <c r="K213" s="28"/>
      <c r="L213" s="28"/>
      <c r="M213" s="28"/>
      <c r="N213" s="28"/>
    </row>
    <row r="214" spans="1:14" ht="12.75">
      <c r="A214" s="28"/>
      <c r="B214" s="28"/>
      <c r="C214" s="28"/>
      <c r="D214" s="28"/>
      <c r="E214" s="28"/>
      <c r="F214" s="28"/>
      <c r="H214" s="28"/>
      <c r="I214" s="28"/>
      <c r="J214" s="28"/>
      <c r="K214" s="28"/>
      <c r="L214" s="28"/>
      <c r="M214" s="28"/>
      <c r="N214" s="28"/>
    </row>
    <row r="215" spans="1:14" ht="12.75">
      <c r="A215" s="28"/>
      <c r="B215" s="28"/>
      <c r="C215" s="28"/>
      <c r="D215" s="28"/>
      <c r="E215" s="28"/>
      <c r="F215" s="28"/>
      <c r="H215" s="28"/>
      <c r="I215" s="28"/>
      <c r="J215" s="28"/>
      <c r="K215" s="28"/>
      <c r="L215" s="28"/>
      <c r="M215" s="28"/>
      <c r="N215" s="28"/>
    </row>
    <row r="216" spans="1:14" ht="12.75">
      <c r="A216" s="28"/>
      <c r="B216" s="28"/>
      <c r="C216" s="28"/>
      <c r="D216" s="28"/>
      <c r="E216" s="28"/>
      <c r="F216" s="28"/>
      <c r="H216" s="28"/>
      <c r="I216" s="28"/>
      <c r="J216" s="28"/>
      <c r="K216" s="28"/>
      <c r="L216" s="28"/>
      <c r="M216" s="28"/>
      <c r="N216" s="28"/>
    </row>
    <row r="217" spans="1:14" ht="12.75">
      <c r="A217" s="28"/>
      <c r="B217" s="28"/>
      <c r="C217" s="28"/>
      <c r="D217" s="28"/>
      <c r="E217" s="28"/>
      <c r="F217" s="28"/>
      <c r="H217" s="28"/>
      <c r="I217" s="28"/>
      <c r="J217" s="28"/>
      <c r="K217" s="28"/>
      <c r="L217" s="28"/>
      <c r="M217" s="28"/>
      <c r="N217" s="28"/>
    </row>
    <row r="218" spans="1:14" ht="12.75">
      <c r="A218" s="28"/>
      <c r="B218" s="28"/>
      <c r="C218" s="28"/>
      <c r="D218" s="28"/>
      <c r="E218" s="28"/>
      <c r="F218" s="28"/>
      <c r="H218" s="28"/>
      <c r="I218" s="28"/>
      <c r="J218" s="28"/>
      <c r="K218" s="28"/>
      <c r="L218" s="28"/>
      <c r="M218" s="28"/>
      <c r="N218" s="28"/>
    </row>
    <row r="219" spans="1:14" ht="12.75">
      <c r="A219" s="28"/>
      <c r="B219" s="28"/>
      <c r="C219" s="28"/>
      <c r="D219" s="28"/>
      <c r="E219" s="28"/>
      <c r="F219" s="28"/>
      <c r="H219" s="28"/>
      <c r="I219" s="28"/>
      <c r="J219" s="28"/>
      <c r="K219" s="28"/>
      <c r="L219" s="28"/>
      <c r="M219" s="28"/>
      <c r="N219" s="28"/>
    </row>
    <row r="220" spans="1:14" ht="12.75">
      <c r="A220" s="28"/>
      <c r="B220" s="28"/>
      <c r="C220" s="28"/>
      <c r="D220" s="28"/>
      <c r="E220" s="28"/>
      <c r="F220" s="28"/>
      <c r="H220" s="28"/>
      <c r="I220" s="28"/>
      <c r="J220" s="28"/>
      <c r="K220" s="28"/>
      <c r="L220" s="28"/>
      <c r="M220" s="28"/>
      <c r="N220" s="28"/>
    </row>
    <row r="221" spans="1:14" ht="12.75">
      <c r="A221" s="28"/>
      <c r="B221" s="28"/>
      <c r="C221" s="28"/>
      <c r="D221" s="28"/>
      <c r="E221" s="28"/>
      <c r="F221" s="28"/>
      <c r="H221" s="28"/>
      <c r="I221" s="28"/>
      <c r="J221" s="28"/>
      <c r="K221" s="28"/>
      <c r="L221" s="28"/>
      <c r="M221" s="28"/>
      <c r="N221" s="28"/>
    </row>
    <row r="222" spans="1:14" ht="12.75">
      <c r="A222" s="28"/>
      <c r="B222" s="28"/>
      <c r="C222" s="28"/>
      <c r="D222" s="28"/>
      <c r="E222" s="28"/>
      <c r="F222" s="28"/>
      <c r="H222" s="28"/>
      <c r="I222" s="28"/>
      <c r="J222" s="28"/>
      <c r="K222" s="28"/>
      <c r="L222" s="28"/>
      <c r="M222" s="28"/>
      <c r="N222" s="28"/>
    </row>
    <row r="223" spans="1:14" ht="12.75">
      <c r="A223" s="28"/>
      <c r="B223" s="28"/>
      <c r="C223" s="28"/>
      <c r="D223" s="28"/>
      <c r="E223" s="28"/>
      <c r="F223" s="28"/>
      <c r="H223" s="28"/>
      <c r="I223" s="28"/>
      <c r="J223" s="28"/>
      <c r="K223" s="28"/>
      <c r="L223" s="28"/>
      <c r="M223" s="28"/>
      <c r="N223" s="28"/>
    </row>
    <row r="224" spans="1:14" ht="12.75">
      <c r="A224" s="28"/>
      <c r="B224" s="28"/>
      <c r="C224" s="28"/>
      <c r="D224" s="28"/>
      <c r="E224" s="28"/>
      <c r="F224" s="28"/>
      <c r="H224" s="28"/>
      <c r="I224" s="28"/>
      <c r="J224" s="28"/>
      <c r="K224" s="28"/>
      <c r="L224" s="28"/>
      <c r="M224" s="28"/>
      <c r="N224" s="28"/>
    </row>
    <row r="225" spans="1:14" ht="12.75">
      <c r="A225" s="28"/>
      <c r="B225" s="28"/>
      <c r="C225" s="28"/>
      <c r="D225" s="28"/>
      <c r="E225" s="28"/>
      <c r="F225" s="28"/>
      <c r="H225" s="28"/>
      <c r="I225" s="28"/>
      <c r="J225" s="28"/>
      <c r="K225" s="28"/>
      <c r="L225" s="28"/>
      <c r="M225" s="28"/>
      <c r="N225" s="28"/>
    </row>
    <row r="226" spans="1:14" ht="12.75">
      <c r="A226" s="28"/>
      <c r="B226" s="28"/>
      <c r="C226" s="28"/>
      <c r="D226" s="28"/>
      <c r="E226" s="28"/>
      <c r="F226" s="28"/>
      <c r="H226" s="28"/>
      <c r="I226" s="28"/>
      <c r="J226" s="28"/>
      <c r="K226" s="28"/>
      <c r="L226" s="28"/>
      <c r="M226" s="28"/>
      <c r="N226" s="28"/>
    </row>
    <row r="227" spans="1:14" ht="12.75">
      <c r="A227" s="28"/>
      <c r="B227" s="28"/>
      <c r="C227" s="28"/>
      <c r="D227" s="28"/>
      <c r="E227" s="28"/>
      <c r="F227" s="28"/>
      <c r="H227" s="28"/>
      <c r="I227" s="28"/>
      <c r="J227" s="28"/>
      <c r="K227" s="28"/>
      <c r="L227" s="28"/>
      <c r="M227" s="28"/>
      <c r="N227" s="28"/>
    </row>
    <row r="228" spans="1:14" ht="12.75">
      <c r="A228" s="28"/>
      <c r="B228" s="28"/>
      <c r="C228" s="28"/>
      <c r="D228" s="28"/>
      <c r="E228" s="28"/>
      <c r="F228" s="28"/>
      <c r="H228" s="28"/>
      <c r="I228" s="28"/>
      <c r="J228" s="28"/>
      <c r="K228" s="28"/>
      <c r="L228" s="28"/>
      <c r="M228" s="28"/>
      <c r="N228" s="28"/>
    </row>
    <row r="229" spans="1:14" ht="12.75">
      <c r="A229" s="28"/>
      <c r="B229" s="28"/>
      <c r="C229" s="28"/>
      <c r="D229" s="28"/>
      <c r="E229" s="28"/>
      <c r="F229" s="28"/>
      <c r="H229" s="28"/>
      <c r="I229" s="28"/>
      <c r="J229" s="28"/>
      <c r="K229" s="28"/>
      <c r="L229" s="28"/>
      <c r="M229" s="28"/>
      <c r="N229" s="28"/>
    </row>
    <row r="230" spans="1:14" ht="12.75">
      <c r="A230" s="28"/>
      <c r="B230" s="28"/>
      <c r="C230" s="28"/>
      <c r="D230" s="28"/>
      <c r="E230" s="28"/>
      <c r="F230" s="28"/>
      <c r="H230" s="28"/>
      <c r="I230" s="28"/>
      <c r="J230" s="28"/>
      <c r="K230" s="28"/>
      <c r="L230" s="28"/>
      <c r="M230" s="28"/>
      <c r="N230" s="28"/>
    </row>
    <row r="231" spans="1:14" ht="12.75">
      <c r="A231" s="28"/>
      <c r="B231" s="28"/>
      <c r="C231" s="28"/>
      <c r="D231" s="28"/>
      <c r="E231" s="28"/>
      <c r="F231" s="28"/>
      <c r="H231" s="28"/>
      <c r="I231" s="28"/>
      <c r="J231" s="28"/>
      <c r="K231" s="28"/>
      <c r="L231" s="28"/>
      <c r="M231" s="28"/>
      <c r="N231" s="28"/>
    </row>
    <row r="232" spans="1:14" ht="12.75">
      <c r="A232" s="28"/>
      <c r="B232" s="28"/>
      <c r="C232" s="28"/>
      <c r="D232" s="28"/>
      <c r="E232" s="28"/>
      <c r="F232" s="28"/>
      <c r="H232" s="28"/>
      <c r="I232" s="28"/>
      <c r="J232" s="28"/>
      <c r="K232" s="28"/>
      <c r="L232" s="28"/>
      <c r="M232" s="28"/>
      <c r="N232" s="28"/>
    </row>
    <row r="233" spans="1:14" ht="12.75">
      <c r="A233" s="28"/>
      <c r="B233" s="28"/>
      <c r="C233" s="28"/>
      <c r="D233" s="28"/>
      <c r="E233" s="28"/>
      <c r="F233" s="28"/>
      <c r="H233" s="28"/>
      <c r="I233" s="28"/>
      <c r="J233" s="28"/>
      <c r="K233" s="28"/>
      <c r="L233" s="28"/>
      <c r="M233" s="28"/>
      <c r="N233" s="28"/>
    </row>
    <row r="234" spans="1:14" ht="12.75">
      <c r="A234" s="28"/>
      <c r="B234" s="28"/>
      <c r="C234" s="28"/>
      <c r="D234" s="28"/>
      <c r="E234" s="28"/>
      <c r="F234" s="28"/>
      <c r="H234" s="28"/>
      <c r="I234" s="28"/>
      <c r="J234" s="28"/>
      <c r="K234" s="28"/>
      <c r="L234" s="28"/>
      <c r="M234" s="28"/>
      <c r="N234" s="28"/>
    </row>
    <row r="235" spans="1:14" ht="12.75">
      <c r="A235" s="28"/>
      <c r="B235" s="28"/>
      <c r="C235" s="28"/>
      <c r="D235" s="28"/>
      <c r="E235" s="28"/>
      <c r="F235" s="28"/>
      <c r="H235" s="28"/>
      <c r="I235" s="28"/>
      <c r="J235" s="28"/>
      <c r="K235" s="28"/>
      <c r="L235" s="28"/>
      <c r="M235" s="28"/>
      <c r="N235" s="28"/>
    </row>
    <row r="236" spans="1:14" ht="12.75">
      <c r="A236" s="28"/>
      <c r="B236" s="28"/>
      <c r="C236" s="28"/>
      <c r="D236" s="28"/>
      <c r="E236" s="28"/>
      <c r="F236" s="28"/>
      <c r="H236" s="28"/>
      <c r="I236" s="28"/>
      <c r="J236" s="28"/>
      <c r="K236" s="28"/>
      <c r="L236" s="28"/>
      <c r="M236" s="28"/>
      <c r="N236" s="28"/>
    </row>
    <row r="237" spans="1:14" ht="12.75">
      <c r="A237" s="28"/>
      <c r="B237" s="28"/>
      <c r="C237" s="28"/>
      <c r="D237" s="28"/>
      <c r="E237" s="28"/>
      <c r="F237" s="28"/>
      <c r="H237" s="28"/>
      <c r="I237" s="28"/>
      <c r="J237" s="28"/>
      <c r="K237" s="28"/>
      <c r="L237" s="28"/>
      <c r="M237" s="28"/>
      <c r="N237" s="28"/>
    </row>
    <row r="238" spans="1:14" ht="12.75">
      <c r="A238" s="28"/>
      <c r="B238" s="28"/>
      <c r="C238" s="28"/>
      <c r="D238" s="28"/>
      <c r="E238" s="28"/>
      <c r="F238" s="28"/>
      <c r="H238" s="28"/>
      <c r="I238" s="28"/>
      <c r="J238" s="28"/>
      <c r="K238" s="28"/>
      <c r="L238" s="28"/>
      <c r="M238" s="28"/>
      <c r="N238" s="28"/>
    </row>
    <row r="239" spans="1:14" ht="12.75">
      <c r="A239" s="28"/>
      <c r="B239" s="28"/>
      <c r="C239" s="28"/>
      <c r="D239" s="28"/>
      <c r="E239" s="28"/>
      <c r="F239" s="28"/>
      <c r="H239" s="28"/>
      <c r="I239" s="28"/>
      <c r="J239" s="28"/>
      <c r="K239" s="28"/>
      <c r="L239" s="28"/>
      <c r="M239" s="28"/>
      <c r="N239" s="28"/>
    </row>
    <row r="240" spans="1:14" ht="12.75">
      <c r="A240" s="28"/>
      <c r="B240" s="28"/>
      <c r="C240" s="28"/>
      <c r="D240" s="28"/>
      <c r="E240" s="28"/>
      <c r="F240" s="28"/>
      <c r="H240" s="28"/>
      <c r="I240" s="28"/>
      <c r="J240" s="28"/>
      <c r="K240" s="28"/>
      <c r="L240" s="28"/>
      <c r="M240" s="28"/>
      <c r="N240" s="28"/>
    </row>
    <row r="241" spans="1:14" ht="12.75">
      <c r="A241" s="28"/>
      <c r="B241" s="28"/>
      <c r="C241" s="28"/>
      <c r="D241" s="28"/>
      <c r="E241" s="28"/>
      <c r="F241" s="28"/>
      <c r="H241" s="28"/>
      <c r="I241" s="28"/>
      <c r="J241" s="28"/>
      <c r="K241" s="28"/>
      <c r="L241" s="28"/>
      <c r="M241" s="28"/>
      <c r="N241" s="28"/>
    </row>
    <row r="242" spans="1:14" ht="12.75">
      <c r="A242" s="28"/>
      <c r="B242" s="28"/>
      <c r="C242" s="28"/>
      <c r="D242" s="28"/>
      <c r="E242" s="28"/>
      <c r="F242" s="28"/>
      <c r="H242" s="28"/>
      <c r="I242" s="28"/>
      <c r="J242" s="28"/>
      <c r="K242" s="28"/>
      <c r="L242" s="28"/>
      <c r="M242" s="28"/>
      <c r="N242" s="28"/>
    </row>
    <row r="243" spans="1:14" ht="12.75">
      <c r="A243" s="28"/>
      <c r="B243" s="28"/>
      <c r="C243" s="28"/>
      <c r="D243" s="28"/>
      <c r="E243" s="28"/>
      <c r="F243" s="28"/>
      <c r="H243" s="28"/>
      <c r="I243" s="28"/>
      <c r="J243" s="28"/>
      <c r="K243" s="28"/>
      <c r="L243" s="28"/>
      <c r="M243" s="28"/>
      <c r="N243" s="28"/>
    </row>
    <row r="244" spans="1:14" ht="12.75">
      <c r="A244" s="28"/>
      <c r="B244" s="28"/>
      <c r="C244" s="28"/>
      <c r="D244" s="28"/>
      <c r="E244" s="28"/>
      <c r="F244" s="28"/>
      <c r="H244" s="28"/>
      <c r="I244" s="28"/>
      <c r="J244" s="28"/>
      <c r="K244" s="28"/>
      <c r="L244" s="28"/>
      <c r="M244" s="28"/>
      <c r="N244" s="28"/>
    </row>
    <row r="245" spans="1:14" ht="12.75">
      <c r="A245" s="28"/>
      <c r="B245" s="28"/>
      <c r="C245" s="28"/>
      <c r="D245" s="28"/>
      <c r="E245" s="28"/>
      <c r="F245" s="28"/>
      <c r="H245" s="28"/>
      <c r="I245" s="28"/>
      <c r="J245" s="28"/>
      <c r="K245" s="28"/>
      <c r="L245" s="28"/>
      <c r="M245" s="28"/>
      <c r="N245" s="28"/>
    </row>
    <row r="246" spans="1:14" ht="12.75">
      <c r="A246" s="28"/>
      <c r="B246" s="28"/>
      <c r="C246" s="28"/>
      <c r="D246" s="28"/>
      <c r="E246" s="28"/>
      <c r="F246" s="28"/>
      <c r="H246" s="28"/>
      <c r="I246" s="28"/>
      <c r="J246" s="28"/>
      <c r="K246" s="28"/>
      <c r="L246" s="28"/>
      <c r="M246" s="28"/>
      <c r="N246" s="28"/>
    </row>
    <row r="247" spans="1:14" ht="12.75">
      <c r="A247" s="28"/>
      <c r="B247" s="28"/>
      <c r="C247" s="28"/>
      <c r="D247" s="28"/>
      <c r="E247" s="28"/>
      <c r="F247" s="28"/>
      <c r="H247" s="28"/>
      <c r="I247" s="28"/>
      <c r="J247" s="28"/>
      <c r="K247" s="28"/>
      <c r="L247" s="28"/>
      <c r="M247" s="28"/>
      <c r="N247" s="28"/>
    </row>
    <row r="248" spans="1:14" ht="12.75">
      <c r="A248" s="28"/>
      <c r="B248" s="28"/>
      <c r="C248" s="28"/>
      <c r="D248" s="28"/>
      <c r="E248" s="28"/>
      <c r="F248" s="28"/>
      <c r="H248" s="28"/>
      <c r="I248" s="28"/>
      <c r="J248" s="28"/>
      <c r="K248" s="28"/>
      <c r="L248" s="28"/>
      <c r="M248" s="28"/>
      <c r="N248" s="28"/>
    </row>
    <row r="249" spans="1:14" ht="12.75">
      <c r="A249" s="28"/>
      <c r="B249" s="28"/>
      <c r="C249" s="28"/>
      <c r="D249" s="28"/>
      <c r="E249" s="28"/>
      <c r="F249" s="28"/>
      <c r="H249" s="28"/>
      <c r="I249" s="28"/>
      <c r="J249" s="28"/>
      <c r="K249" s="28"/>
      <c r="L249" s="28"/>
      <c r="M249" s="28"/>
      <c r="N249" s="28"/>
    </row>
    <row r="250" spans="1:14" ht="12.75">
      <c r="A250" s="28"/>
      <c r="B250" s="28"/>
      <c r="C250" s="28"/>
      <c r="D250" s="28"/>
      <c r="E250" s="28"/>
      <c r="F250" s="28"/>
      <c r="H250" s="28"/>
      <c r="I250" s="28"/>
      <c r="J250" s="28"/>
      <c r="K250" s="28"/>
      <c r="L250" s="28"/>
      <c r="M250" s="28"/>
      <c r="N250" s="28"/>
    </row>
    <row r="251" spans="1:14" ht="12.75">
      <c r="A251" s="28"/>
      <c r="B251" s="28"/>
      <c r="C251" s="28"/>
      <c r="D251" s="28"/>
      <c r="E251" s="28"/>
      <c r="F251" s="28"/>
      <c r="H251" s="28"/>
      <c r="I251" s="28"/>
      <c r="J251" s="28"/>
      <c r="K251" s="28"/>
      <c r="L251" s="28"/>
      <c r="M251" s="28"/>
      <c r="N251" s="28"/>
    </row>
    <row r="252" spans="1:14" ht="12.75">
      <c r="A252" s="28"/>
      <c r="B252" s="28"/>
      <c r="C252" s="28"/>
      <c r="D252" s="28"/>
      <c r="E252" s="28"/>
      <c r="F252" s="28"/>
      <c r="H252" s="28"/>
      <c r="I252" s="28"/>
      <c r="J252" s="28"/>
      <c r="K252" s="28"/>
      <c r="L252" s="28"/>
      <c r="M252" s="28"/>
      <c r="N252" s="28"/>
    </row>
    <row r="253" spans="1:14" ht="12.75">
      <c r="A253" s="28"/>
      <c r="B253" s="28"/>
      <c r="C253" s="28"/>
      <c r="D253" s="28"/>
      <c r="E253" s="28"/>
      <c r="F253" s="28"/>
      <c r="H253" s="28"/>
      <c r="I253" s="28"/>
      <c r="J253" s="28"/>
      <c r="K253" s="28"/>
      <c r="L253" s="28"/>
      <c r="M253" s="28"/>
      <c r="N253" s="28"/>
    </row>
    <row r="254" spans="1:14" ht="12.75">
      <c r="A254" s="28"/>
      <c r="B254" s="28"/>
      <c r="C254" s="28"/>
      <c r="D254" s="28"/>
      <c r="E254" s="28"/>
      <c r="F254" s="28"/>
      <c r="H254" s="28"/>
      <c r="I254" s="28"/>
      <c r="J254" s="28"/>
      <c r="K254" s="28"/>
      <c r="L254" s="28"/>
      <c r="M254" s="28"/>
      <c r="N254" s="28"/>
    </row>
    <row r="255" spans="1:14" ht="12.75">
      <c r="A255" s="28"/>
      <c r="B255" s="28"/>
      <c r="C255" s="28"/>
      <c r="D255" s="28"/>
      <c r="E255" s="28"/>
      <c r="F255" s="28"/>
      <c r="H255" s="28"/>
      <c r="I255" s="28"/>
      <c r="J255" s="28"/>
      <c r="K255" s="28"/>
      <c r="L255" s="28"/>
      <c r="M255" s="28"/>
      <c r="N255" s="28"/>
    </row>
    <row r="256" spans="1:14" ht="12.75">
      <c r="A256" s="28"/>
      <c r="B256" s="28"/>
      <c r="C256" s="28"/>
      <c r="D256" s="28"/>
      <c r="E256" s="28"/>
      <c r="F256" s="28"/>
      <c r="H256" s="28"/>
      <c r="I256" s="28"/>
      <c r="J256" s="28"/>
      <c r="K256" s="28"/>
      <c r="L256" s="28"/>
      <c r="M256" s="28"/>
      <c r="N256" s="28"/>
    </row>
    <row r="257" spans="1:14" ht="12.75">
      <c r="A257" s="28"/>
      <c r="B257" s="28"/>
      <c r="C257" s="28"/>
      <c r="D257" s="28"/>
      <c r="E257" s="28"/>
      <c r="F257" s="28"/>
      <c r="H257" s="28"/>
      <c r="I257" s="28"/>
      <c r="J257" s="28"/>
      <c r="K257" s="28"/>
      <c r="L257" s="28"/>
      <c r="M257" s="28"/>
      <c r="N257" s="28"/>
    </row>
    <row r="258" spans="1:14" ht="12.75">
      <c r="A258" s="28"/>
      <c r="B258" s="28"/>
      <c r="C258" s="28"/>
      <c r="D258" s="28"/>
      <c r="E258" s="28"/>
      <c r="F258" s="28"/>
      <c r="H258" s="28"/>
      <c r="I258" s="28"/>
      <c r="J258" s="28"/>
      <c r="K258" s="28"/>
      <c r="L258" s="28"/>
      <c r="M258" s="28"/>
      <c r="N258" s="28"/>
    </row>
    <row r="259" spans="1:14" ht="12.75">
      <c r="A259" s="28"/>
      <c r="B259" s="28"/>
      <c r="C259" s="28"/>
      <c r="D259" s="28"/>
      <c r="E259" s="28"/>
      <c r="F259" s="28"/>
      <c r="H259" s="28"/>
      <c r="I259" s="28"/>
      <c r="J259" s="28"/>
      <c r="K259" s="28"/>
      <c r="L259" s="28"/>
      <c r="M259" s="28"/>
      <c r="N259" s="28"/>
    </row>
    <row r="260" spans="1:14" ht="12.75">
      <c r="A260" s="28"/>
      <c r="B260" s="28"/>
      <c r="C260" s="28"/>
      <c r="D260" s="28"/>
      <c r="E260" s="28"/>
      <c r="F260" s="28"/>
      <c r="H260" s="28"/>
      <c r="I260" s="28"/>
      <c r="J260" s="28"/>
      <c r="K260" s="28"/>
      <c r="L260" s="28"/>
      <c r="M260" s="28"/>
      <c r="N260" s="28"/>
    </row>
    <row r="261" spans="1:14" ht="12.75">
      <c r="A261" s="28"/>
      <c r="B261" s="28"/>
      <c r="C261" s="28"/>
      <c r="D261" s="28"/>
      <c r="E261" s="28"/>
      <c r="F261" s="28"/>
      <c r="H261" s="28"/>
      <c r="I261" s="28"/>
      <c r="J261" s="28"/>
      <c r="K261" s="28"/>
      <c r="L261" s="28"/>
      <c r="M261" s="28"/>
      <c r="N261" s="28"/>
    </row>
    <row r="262" spans="1:14" ht="12.75">
      <c r="A262" s="28"/>
      <c r="B262" s="28"/>
      <c r="C262" s="28"/>
      <c r="D262" s="28"/>
      <c r="E262" s="28"/>
      <c r="F262" s="28"/>
      <c r="H262" s="28"/>
      <c r="I262" s="28"/>
      <c r="J262" s="28"/>
      <c r="K262" s="28"/>
      <c r="L262" s="28"/>
      <c r="M262" s="28"/>
      <c r="N262" s="28"/>
    </row>
    <row r="263" spans="1:14" ht="12.75">
      <c r="A263" s="28"/>
      <c r="B263" s="28"/>
      <c r="C263" s="28"/>
      <c r="D263" s="28"/>
      <c r="E263" s="28"/>
      <c r="F263" s="28"/>
      <c r="H263" s="28"/>
      <c r="I263" s="28"/>
      <c r="J263" s="28"/>
      <c r="K263" s="28"/>
      <c r="L263" s="28"/>
      <c r="M263" s="28"/>
      <c r="N263" s="28"/>
    </row>
    <row r="264" spans="1:14" ht="12.75">
      <c r="A264" s="28"/>
      <c r="B264" s="28"/>
      <c r="C264" s="28"/>
      <c r="D264" s="28"/>
      <c r="E264" s="28"/>
      <c r="F264" s="28"/>
      <c r="H264" s="28"/>
      <c r="I264" s="28"/>
      <c r="J264" s="28"/>
      <c r="K264" s="28"/>
      <c r="L264" s="28"/>
      <c r="M264" s="28"/>
      <c r="N264" s="28"/>
    </row>
    <row r="265" spans="1:14" ht="12.75">
      <c r="A265" s="28"/>
      <c r="B265" s="28"/>
      <c r="C265" s="28"/>
      <c r="D265" s="28"/>
      <c r="E265" s="28"/>
      <c r="F265" s="28"/>
      <c r="H265" s="28"/>
      <c r="I265" s="28"/>
      <c r="J265" s="28"/>
      <c r="K265" s="28"/>
      <c r="L265" s="28"/>
      <c r="M265" s="28"/>
      <c r="N265" s="28"/>
    </row>
    <row r="266" spans="1:14" ht="12.75">
      <c r="A266" s="28"/>
      <c r="B266" s="28"/>
      <c r="C266" s="28"/>
      <c r="D266" s="28"/>
      <c r="E266" s="28"/>
      <c r="F266" s="28"/>
      <c r="H266" s="28"/>
      <c r="I266" s="28"/>
      <c r="J266" s="28"/>
      <c r="K266" s="28"/>
      <c r="L266" s="28"/>
      <c r="M266" s="28"/>
      <c r="N266" s="28"/>
    </row>
    <row r="267" spans="1:14" ht="12.75">
      <c r="A267" s="28"/>
      <c r="B267" s="28"/>
      <c r="C267" s="28"/>
      <c r="D267" s="28"/>
      <c r="E267" s="28"/>
      <c r="F267" s="28"/>
      <c r="H267" s="28"/>
      <c r="I267" s="28"/>
      <c r="J267" s="28"/>
      <c r="K267" s="28"/>
      <c r="L267" s="28"/>
      <c r="M267" s="28"/>
      <c r="N267" s="28"/>
    </row>
  </sheetData>
  <mergeCells count="1">
    <mergeCell ref="H133:N133"/>
  </mergeCells>
  <printOptions/>
  <pageMargins left="0.75" right="0.29" top="0.43" bottom="0.47" header="0.17" footer="0.1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B1">
      <selection activeCell="F12" sqref="F12"/>
    </sheetView>
  </sheetViews>
  <sheetFormatPr defaultColWidth="9.140625" defaultRowHeight="17.25" customHeight="1"/>
  <cols>
    <col min="1" max="1" width="46.7109375" style="488" customWidth="1"/>
    <col min="2" max="2" width="8.8515625" style="488" customWidth="1"/>
    <col min="3" max="3" width="10.140625" style="488" customWidth="1"/>
    <col min="4" max="4" width="10.7109375" style="488" customWidth="1"/>
    <col min="5" max="5" width="10.421875" style="488" customWidth="1"/>
  </cols>
  <sheetData>
    <row r="1" spans="2:5" ht="17.25" customHeight="1">
      <c r="B1" s="72"/>
      <c r="C1" s="72"/>
      <c r="D1" s="72"/>
      <c r="E1" s="419" t="s">
        <v>34</v>
      </c>
    </row>
    <row r="2" spans="1:5" ht="17.25" customHeight="1">
      <c r="A2" s="654" t="s">
        <v>401</v>
      </c>
      <c r="B2" s="654"/>
      <c r="C2" s="654"/>
      <c r="D2" s="654"/>
      <c r="E2" s="654"/>
    </row>
    <row r="3" spans="1:5" ht="17.25" customHeight="1">
      <c r="A3" s="1"/>
      <c r="B3" s="1"/>
      <c r="C3" s="1"/>
      <c r="D3" s="1"/>
      <c r="E3" s="1"/>
    </row>
    <row r="4" spans="1:5" ht="31.5" customHeight="1">
      <c r="A4" s="489" t="s">
        <v>35</v>
      </c>
      <c r="B4" s="74"/>
      <c r="C4" s="72"/>
      <c r="D4" s="72"/>
      <c r="E4" s="72"/>
    </row>
    <row r="5" spans="1:5" ht="17.25" customHeight="1">
      <c r="A5" s="673" t="s">
        <v>527</v>
      </c>
      <c r="B5" s="673"/>
      <c r="C5" s="673"/>
      <c r="D5" s="673"/>
      <c r="E5" s="673"/>
    </row>
    <row r="6" spans="1:5" ht="17.25" customHeight="1">
      <c r="A6" s="490"/>
      <c r="B6" s="490"/>
      <c r="C6" s="491"/>
      <c r="D6" s="492"/>
      <c r="E6" s="493" t="s">
        <v>489</v>
      </c>
    </row>
    <row r="7" spans="1:5" ht="33.75">
      <c r="A7" s="34" t="s">
        <v>318</v>
      </c>
      <c r="B7" s="34" t="s">
        <v>36</v>
      </c>
      <c r="C7" s="34" t="s">
        <v>404</v>
      </c>
      <c r="D7" s="34" t="s">
        <v>405</v>
      </c>
      <c r="E7" s="34" t="s">
        <v>601</v>
      </c>
    </row>
    <row r="8" spans="1:5" ht="12.75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5" ht="17.25" customHeight="1">
      <c r="A9" s="95" t="s">
        <v>37</v>
      </c>
      <c r="B9" s="214"/>
      <c r="C9" s="214">
        <f>C17+C21</f>
        <v>68584</v>
      </c>
      <c r="D9" s="428"/>
      <c r="E9" s="214">
        <f>E17+E21</f>
        <v>34840</v>
      </c>
    </row>
    <row r="10" spans="1:5" ht="17.25" customHeight="1">
      <c r="A10" s="57" t="s">
        <v>38</v>
      </c>
      <c r="B10" s="214"/>
      <c r="C10" s="214">
        <f>SUM(C11:C14)</f>
        <v>68636</v>
      </c>
      <c r="D10" s="428"/>
      <c r="E10" s="214">
        <f>SUM(E11:E14)</f>
        <v>34890</v>
      </c>
    </row>
    <row r="11" spans="1:5" ht="12.75">
      <c r="A11" s="189" t="s">
        <v>39</v>
      </c>
      <c r="B11" s="214"/>
      <c r="C11" s="214">
        <v>37526</v>
      </c>
      <c r="D11" s="428"/>
      <c r="E11" s="214">
        <f>C11-'[21]Janvāris'!C11</f>
        <v>19189</v>
      </c>
    </row>
    <row r="12" spans="1:5" ht="12.75">
      <c r="A12" s="189" t="s">
        <v>40</v>
      </c>
      <c r="B12" s="214"/>
      <c r="C12" s="214">
        <f>'[18]Februāris'!$H$22</f>
        <v>2999</v>
      </c>
      <c r="D12" s="428"/>
      <c r="E12" s="214">
        <f>C12-'[21]Janvāris'!C12</f>
        <v>1516</v>
      </c>
    </row>
    <row r="13" spans="1:5" ht="12.75">
      <c r="A13" s="189" t="s">
        <v>41</v>
      </c>
      <c r="B13" s="214"/>
      <c r="C13" s="214">
        <f>'[18]Februāris'!$H$29</f>
        <v>3989</v>
      </c>
      <c r="D13" s="428"/>
      <c r="E13" s="214">
        <f>C13-'[21]Janvāris'!C13</f>
        <v>2094</v>
      </c>
    </row>
    <row r="14" spans="1:5" ht="12.75">
      <c r="A14" s="189" t="s">
        <v>42</v>
      </c>
      <c r="B14" s="214"/>
      <c r="C14" s="214">
        <f>'[18]Februāris'!$H$30</f>
        <v>24122</v>
      </c>
      <c r="D14" s="428"/>
      <c r="E14" s="214">
        <f>C14-'[21]Janvāris'!C14</f>
        <v>12091</v>
      </c>
    </row>
    <row r="15" spans="1:5" ht="25.5">
      <c r="A15" s="494" t="s">
        <v>43</v>
      </c>
      <c r="B15" s="214"/>
      <c r="C15" s="214">
        <f>'[18]Februāris'!$H$31</f>
        <v>801</v>
      </c>
      <c r="D15" s="428"/>
      <c r="E15" s="214">
        <f>C15-'[21]Janvāris'!C15</f>
        <v>416</v>
      </c>
    </row>
    <row r="16" spans="1:5" ht="25.5">
      <c r="A16" s="495" t="s">
        <v>44</v>
      </c>
      <c r="B16" s="214"/>
      <c r="C16" s="214">
        <v>4462</v>
      </c>
      <c r="D16" s="428"/>
      <c r="E16" s="214">
        <f>C16-'[21]Janvāris'!C16</f>
        <v>2231</v>
      </c>
    </row>
    <row r="17" spans="1:5" ht="12.75">
      <c r="A17" s="95" t="s">
        <v>45</v>
      </c>
      <c r="B17" s="214"/>
      <c r="C17" s="214">
        <f>C10-C15-C16</f>
        <v>63373</v>
      </c>
      <c r="D17" s="428"/>
      <c r="E17" s="214">
        <f>E10-E15-E16</f>
        <v>32243</v>
      </c>
    </row>
    <row r="18" spans="1:5" ht="25.5">
      <c r="A18" s="95" t="s">
        <v>46</v>
      </c>
      <c r="B18" s="214"/>
      <c r="C18" s="214">
        <v>6712</v>
      </c>
      <c r="D18" s="428"/>
      <c r="E18" s="214">
        <f>C18-'[21]Janvāris'!C18</f>
        <v>3052</v>
      </c>
    </row>
    <row r="19" spans="1:5" ht="25.5">
      <c r="A19" s="89" t="s">
        <v>47</v>
      </c>
      <c r="B19" s="214"/>
      <c r="C19" s="214">
        <v>6710</v>
      </c>
      <c r="D19" s="428"/>
      <c r="E19" s="214">
        <f>C19-'[21]Janvāris'!C19+2</f>
        <v>3052</v>
      </c>
    </row>
    <row r="20" spans="1:5" ht="25.5">
      <c r="A20" s="495" t="s">
        <v>48</v>
      </c>
      <c r="B20" s="214"/>
      <c r="C20" s="214">
        <v>1499</v>
      </c>
      <c r="D20" s="428"/>
      <c r="E20" s="214">
        <f>C20-'[21]Janvāris'!C20</f>
        <v>453</v>
      </c>
    </row>
    <row r="21" spans="1:5" ht="17.25" customHeight="1">
      <c r="A21" s="95" t="s">
        <v>49</v>
      </c>
      <c r="B21" s="214"/>
      <c r="C21" s="214">
        <f>C18-C20-2</f>
        <v>5211</v>
      </c>
      <c r="D21" s="428"/>
      <c r="E21" s="214">
        <f>E18-E20-2</f>
        <v>2597</v>
      </c>
    </row>
    <row r="22" spans="1:5" ht="25.5">
      <c r="A22" s="496" t="s">
        <v>50</v>
      </c>
      <c r="B22" s="497"/>
      <c r="C22" s="497">
        <f>SUM(C23:C25)</f>
        <v>63611</v>
      </c>
      <c r="D22" s="411"/>
      <c r="E22" s="497">
        <f>SUM(E23:E25)</f>
        <v>32889</v>
      </c>
    </row>
    <row r="23" spans="1:5" ht="25.5">
      <c r="A23" s="434" t="s">
        <v>51</v>
      </c>
      <c r="B23" s="497"/>
      <c r="C23" s="497">
        <f>C39+C48</f>
        <v>56228</v>
      </c>
      <c r="D23" s="497"/>
      <c r="E23" s="214">
        <f>C23-'[21]Janvāris'!C23</f>
        <v>29594</v>
      </c>
    </row>
    <row r="24" spans="1:5" ht="25.5">
      <c r="A24" s="434" t="s">
        <v>52</v>
      </c>
      <c r="B24" s="497"/>
      <c r="C24" s="497">
        <f>C40+C49</f>
        <v>2668</v>
      </c>
      <c r="D24" s="497"/>
      <c r="E24" s="214">
        <f>C24-'[21]Janvāris'!C24</f>
        <v>1099</v>
      </c>
    </row>
    <row r="25" spans="1:5" ht="25.5">
      <c r="A25" s="434" t="s">
        <v>53</v>
      </c>
      <c r="B25" s="497"/>
      <c r="C25" s="497">
        <f>C41+C50</f>
        <v>4715</v>
      </c>
      <c r="D25" s="497"/>
      <c r="E25" s="214">
        <f>C25-'[21]Janvāris'!C25</f>
        <v>2196</v>
      </c>
    </row>
    <row r="26" spans="1:5" ht="25.5">
      <c r="A26" s="496" t="s">
        <v>54</v>
      </c>
      <c r="B26" s="497"/>
      <c r="C26" s="497">
        <f>C9-C22</f>
        <v>4973</v>
      </c>
      <c r="D26" s="497"/>
      <c r="E26" s="497">
        <f>E9-E22</f>
        <v>1951</v>
      </c>
    </row>
    <row r="27" spans="1:5" ht="25.5">
      <c r="A27" s="496" t="s">
        <v>55</v>
      </c>
      <c r="B27" s="497"/>
      <c r="C27" s="497">
        <f>C43+C52</f>
        <v>-929</v>
      </c>
      <c r="D27" s="497"/>
      <c r="E27" s="497">
        <f>E43+E52</f>
        <v>-33</v>
      </c>
    </row>
    <row r="28" spans="1:5" ht="25.5">
      <c r="A28" s="496" t="s">
        <v>56</v>
      </c>
      <c r="B28" s="497"/>
      <c r="C28" s="497">
        <f>C22+C27</f>
        <v>62682</v>
      </c>
      <c r="D28" s="497"/>
      <c r="E28" s="497">
        <f>E22+E27</f>
        <v>32856</v>
      </c>
    </row>
    <row r="29" spans="1:5" ht="25.5">
      <c r="A29" s="496" t="s">
        <v>57</v>
      </c>
      <c r="B29" s="497"/>
      <c r="C29" s="497">
        <f>C9-C28</f>
        <v>5902</v>
      </c>
      <c r="D29" s="497"/>
      <c r="E29" s="497">
        <f>E9-E28</f>
        <v>1984</v>
      </c>
    </row>
    <row r="30" spans="1:5" ht="12.75">
      <c r="A30" s="498" t="s">
        <v>58</v>
      </c>
      <c r="B30" s="499"/>
      <c r="C30" s="499"/>
      <c r="D30" s="500"/>
      <c r="E30" s="214">
        <f>C30-'[21]Janvāris'!C30</f>
        <v>0</v>
      </c>
    </row>
    <row r="31" spans="1:5" ht="25.5">
      <c r="A31" s="501" t="s">
        <v>59</v>
      </c>
      <c r="B31" s="499"/>
      <c r="C31" s="499">
        <f>C20</f>
        <v>1499</v>
      </c>
      <c r="D31" s="500"/>
      <c r="E31" s="214">
        <f>C31-'[21]Janvāris'!C31</f>
        <v>453</v>
      </c>
    </row>
    <row r="32" spans="1:5" ht="12.75">
      <c r="A32" s="498" t="s">
        <v>60</v>
      </c>
      <c r="B32" s="499"/>
      <c r="C32" s="499">
        <v>-162</v>
      </c>
      <c r="D32" s="500"/>
      <c r="E32" s="214">
        <f>C32-'[21]Janvāris'!C32</f>
        <v>-423</v>
      </c>
    </row>
    <row r="33" spans="1:5" ht="12.75">
      <c r="A33" s="498" t="s">
        <v>61</v>
      </c>
      <c r="B33" s="502" t="s">
        <v>522</v>
      </c>
      <c r="C33" s="499">
        <v>-5974</v>
      </c>
      <c r="D33" s="500"/>
      <c r="E33" s="214">
        <f>C33-'[21]Janvāris'!C33</f>
        <v>-749</v>
      </c>
    </row>
    <row r="34" spans="1:5" ht="17.25" customHeight="1">
      <c r="A34" s="496" t="s">
        <v>62</v>
      </c>
      <c r="B34" s="497"/>
      <c r="C34" s="497">
        <f>SUM(C37,C40,C41)</f>
        <v>64917</v>
      </c>
      <c r="D34" s="411"/>
      <c r="E34" s="497">
        <f>SUM(E37,E40,E41)</f>
        <v>32665</v>
      </c>
    </row>
    <row r="35" spans="1:5" ht="25.5">
      <c r="A35" s="503" t="s">
        <v>63</v>
      </c>
      <c r="B35" s="497"/>
      <c r="C35" s="497">
        <f>C38</f>
        <v>5317</v>
      </c>
      <c r="D35" s="411"/>
      <c r="E35" s="214">
        <f>C35-'[21]Janvāris'!C35</f>
        <v>2690</v>
      </c>
    </row>
    <row r="36" spans="1:5" ht="17.25" customHeight="1">
      <c r="A36" s="496" t="s">
        <v>64</v>
      </c>
      <c r="B36" s="497"/>
      <c r="C36" s="497">
        <f>C34-C35</f>
        <v>59600</v>
      </c>
      <c r="D36" s="411"/>
      <c r="E36" s="214">
        <f>C36-'[21]Janvāris'!C36</f>
        <v>30831</v>
      </c>
    </row>
    <row r="37" spans="1:5" ht="25.5">
      <c r="A37" s="496" t="s">
        <v>65</v>
      </c>
      <c r="B37" s="497"/>
      <c r="C37" s="497">
        <v>58398</v>
      </c>
      <c r="D37" s="411"/>
      <c r="E37" s="214">
        <v>29680</v>
      </c>
    </row>
    <row r="38" spans="1:5" ht="25.5">
      <c r="A38" s="495" t="s">
        <v>66</v>
      </c>
      <c r="B38" s="214"/>
      <c r="C38" s="214">
        <f>'[20]Februāris'!$H$29</f>
        <v>5317</v>
      </c>
      <c r="D38" s="428"/>
      <c r="E38" s="214">
        <f>C38-'[21]Janvāris'!C38</f>
        <v>2690</v>
      </c>
    </row>
    <row r="39" spans="1:5" ht="25.5">
      <c r="A39" s="89" t="s">
        <v>67</v>
      </c>
      <c r="B39" s="214"/>
      <c r="C39" s="214">
        <f>C37-C38</f>
        <v>53081</v>
      </c>
      <c r="D39" s="428"/>
      <c r="E39" s="214">
        <f>C39-'[21]Janvāris'!C39</f>
        <v>27846</v>
      </c>
    </row>
    <row r="40" spans="1:5" ht="17.25" customHeight="1">
      <c r="A40" s="89" t="s">
        <v>68</v>
      </c>
      <c r="B40" s="214"/>
      <c r="C40" s="214">
        <f>'[19]Februāris'!$H$27</f>
        <v>1887</v>
      </c>
      <c r="D40" s="428"/>
      <c r="E40" s="214">
        <f>C40-'[21]Janvāris'!C40</f>
        <v>862</v>
      </c>
    </row>
    <row r="41" spans="1:5" ht="17.25" customHeight="1">
      <c r="A41" s="282" t="s">
        <v>69</v>
      </c>
      <c r="B41" s="214"/>
      <c r="C41" s="214">
        <f>'[19]Februāris'!$H$28</f>
        <v>4632</v>
      </c>
      <c r="D41" s="428"/>
      <c r="E41" s="214">
        <f>C41-'[21]Janvāris'!C41</f>
        <v>2123</v>
      </c>
    </row>
    <row r="42" spans="1:5" ht="38.25">
      <c r="A42" s="95" t="s">
        <v>70</v>
      </c>
      <c r="B42" s="214"/>
      <c r="C42" s="497">
        <f>C17-C36</f>
        <v>3773</v>
      </c>
      <c r="D42" s="428"/>
      <c r="E42" s="497">
        <f>E17-E36</f>
        <v>1412</v>
      </c>
    </row>
    <row r="43" spans="1:5" ht="12.75">
      <c r="A43" s="95" t="s">
        <v>71</v>
      </c>
      <c r="B43" s="214"/>
      <c r="C43" s="214">
        <f>C44-C45</f>
        <v>-53</v>
      </c>
      <c r="D43" s="428"/>
      <c r="E43" s="214">
        <f>E44-E45</f>
        <v>-33</v>
      </c>
    </row>
    <row r="44" spans="1:5" ht="12.75">
      <c r="A44" s="89" t="s">
        <v>72</v>
      </c>
      <c r="B44" s="214"/>
      <c r="C44" s="214">
        <f>'[19]Februāris'!$H$30</f>
        <v>28</v>
      </c>
      <c r="D44" s="428"/>
      <c r="E44" s="214">
        <f>C44-'[21]Janvāris'!C44</f>
        <v>8</v>
      </c>
    </row>
    <row r="45" spans="1:5" ht="12.75">
      <c r="A45" s="89" t="s">
        <v>73</v>
      </c>
      <c r="B45" s="214"/>
      <c r="C45" s="214">
        <f>'[19]Februāris'!$H$31</f>
        <v>81</v>
      </c>
      <c r="D45" s="428"/>
      <c r="E45" s="214">
        <f>C45-'[21]Janvāris'!C45</f>
        <v>41</v>
      </c>
    </row>
    <row r="46" spans="1:5" ht="25.5">
      <c r="A46" s="95" t="s">
        <v>74</v>
      </c>
      <c r="B46" s="214"/>
      <c r="C46" s="497">
        <f>C42-C43</f>
        <v>3826</v>
      </c>
      <c r="D46" s="428"/>
      <c r="E46" s="497">
        <f>E42-E43</f>
        <v>1445</v>
      </c>
    </row>
    <row r="47" spans="1:5" ht="25.5">
      <c r="A47" s="95" t="s">
        <v>75</v>
      </c>
      <c r="B47" s="214"/>
      <c r="C47" s="214">
        <f>C48+C49+C50</f>
        <v>4011</v>
      </c>
      <c r="D47" s="428"/>
      <c r="E47" s="214">
        <f>E48+E49+E50</f>
        <v>2058</v>
      </c>
    </row>
    <row r="48" spans="1:5" ht="24.75" customHeight="1">
      <c r="A48" s="89" t="s">
        <v>76</v>
      </c>
      <c r="B48" s="214"/>
      <c r="C48" s="214">
        <v>3147</v>
      </c>
      <c r="D48" s="428"/>
      <c r="E48" s="214">
        <v>1748</v>
      </c>
    </row>
    <row r="49" spans="1:5" ht="17.25" customHeight="1">
      <c r="A49" s="89" t="s">
        <v>77</v>
      </c>
      <c r="B49" s="214"/>
      <c r="C49" s="214">
        <v>781</v>
      </c>
      <c r="D49" s="428"/>
      <c r="E49" s="214">
        <v>237</v>
      </c>
    </row>
    <row r="50" spans="1:5" ht="12.75">
      <c r="A50" s="282" t="s">
        <v>78</v>
      </c>
      <c r="B50" s="214"/>
      <c r="C50" s="214">
        <v>83</v>
      </c>
      <c r="D50" s="428"/>
      <c r="E50" s="214">
        <v>73</v>
      </c>
    </row>
    <row r="51" spans="1:5" ht="25.5">
      <c r="A51" s="95" t="s">
        <v>79</v>
      </c>
      <c r="B51" s="214"/>
      <c r="C51" s="214">
        <f>C21-C47</f>
        <v>1200</v>
      </c>
      <c r="D51" s="214"/>
      <c r="E51" s="214">
        <f>E21-E47</f>
        <v>539</v>
      </c>
    </row>
    <row r="52" spans="1:5" ht="17.25" customHeight="1">
      <c r="A52" s="95" t="s">
        <v>80</v>
      </c>
      <c r="B52" s="214"/>
      <c r="C52" s="214">
        <f>C53-C54</f>
        <v>-876</v>
      </c>
      <c r="D52" s="428"/>
      <c r="E52" s="214">
        <f>E53-E54</f>
        <v>0</v>
      </c>
    </row>
    <row r="53" spans="1:5" ht="12.75">
      <c r="A53" s="89" t="s">
        <v>81</v>
      </c>
      <c r="B53" s="214"/>
      <c r="C53" s="214">
        <v>132</v>
      </c>
      <c r="D53" s="428"/>
      <c r="E53" s="214">
        <v>68</v>
      </c>
    </row>
    <row r="54" spans="1:5" ht="12.75">
      <c r="A54" s="89" t="s">
        <v>82</v>
      </c>
      <c r="B54" s="214"/>
      <c r="C54" s="214">
        <v>1008</v>
      </c>
      <c r="D54" s="428"/>
      <c r="E54" s="214">
        <v>68</v>
      </c>
    </row>
    <row r="55" spans="1:5" ht="25.5">
      <c r="A55" s="95" t="s">
        <v>83</v>
      </c>
      <c r="B55" s="214"/>
      <c r="C55" s="214">
        <f>C51-C52</f>
        <v>2076</v>
      </c>
      <c r="D55" s="428"/>
      <c r="E55" s="214">
        <f>E51-E52</f>
        <v>539</v>
      </c>
    </row>
    <row r="56" spans="1:5" ht="17.25" customHeight="1">
      <c r="A56" s="504"/>
      <c r="B56" s="505"/>
      <c r="C56" s="505"/>
      <c r="D56" s="506"/>
      <c r="E56" s="505"/>
    </row>
    <row r="57" spans="1:5" ht="17.25" customHeight="1">
      <c r="A57" s="329"/>
      <c r="B57" s="507"/>
      <c r="C57" s="507"/>
      <c r="D57" s="508"/>
      <c r="E57" s="507"/>
    </row>
    <row r="58" spans="1:5" ht="17.25" customHeight="1">
      <c r="A58" s="1"/>
      <c r="B58" s="1"/>
      <c r="C58" s="1"/>
      <c r="D58" s="1"/>
      <c r="E58" s="28"/>
    </row>
    <row r="59" spans="1:5" ht="17.25" customHeight="1">
      <c r="A59" s="329"/>
      <c r="B59" s="1"/>
      <c r="C59" s="1"/>
      <c r="D59" s="1"/>
      <c r="E59" s="1"/>
    </row>
    <row r="60" spans="1:5" ht="17.25" customHeight="1">
      <c r="A60" s="329"/>
      <c r="B60" s="1"/>
      <c r="C60" s="1"/>
      <c r="D60" s="1"/>
      <c r="E60" s="1"/>
    </row>
    <row r="61" spans="1:5" ht="17.25" customHeight="1">
      <c r="A61" s="64" t="s">
        <v>84</v>
      </c>
      <c r="B61" s="4"/>
      <c r="C61" s="4"/>
      <c r="D61" s="4" t="s">
        <v>348</v>
      </c>
      <c r="E61" s="1"/>
    </row>
    <row r="62" spans="1:5" ht="17.25" customHeight="1">
      <c r="A62" s="329"/>
      <c r="B62" s="1"/>
      <c r="C62" s="1"/>
      <c r="D62" s="1"/>
      <c r="E62" s="1"/>
    </row>
    <row r="63" spans="1:5" ht="17.25" customHeight="1">
      <c r="A63" s="509"/>
      <c r="B63" s="1"/>
      <c r="C63" s="1"/>
      <c r="D63" s="1"/>
      <c r="E63" s="1"/>
    </row>
    <row r="64" spans="1:5" ht="17.25" customHeight="1">
      <c r="A64" s="509"/>
      <c r="B64" s="510"/>
      <c r="C64" s="511"/>
      <c r="D64" s="1"/>
      <c r="E64" s="1"/>
    </row>
    <row r="65" spans="1:5" ht="17.25" customHeight="1">
      <c r="A65" s="1"/>
      <c r="B65" s="1"/>
      <c r="C65" s="1"/>
      <c r="D65" s="1"/>
      <c r="E65" s="1"/>
    </row>
    <row r="66" spans="1:5" ht="17.25" customHeight="1">
      <c r="A66" s="33" t="s">
        <v>643</v>
      </c>
      <c r="B66" s="1"/>
      <c r="C66" s="1"/>
      <c r="D66" s="1"/>
      <c r="E66" s="1"/>
    </row>
    <row r="67" spans="1:5" ht="17.25" customHeight="1">
      <c r="A67" s="33" t="s">
        <v>399</v>
      </c>
      <c r="B67" s="1"/>
      <c r="C67" s="1"/>
      <c r="D67" s="1"/>
      <c r="E67" s="1"/>
    </row>
    <row r="68" spans="1:5" ht="17.25" customHeight="1">
      <c r="A68" s="329"/>
      <c r="B68" s="1"/>
      <c r="C68" s="1"/>
      <c r="D68" s="1"/>
      <c r="E68" s="1"/>
    </row>
    <row r="69" spans="1:5" ht="17.25" customHeight="1">
      <c r="A69" s="329"/>
      <c r="B69" s="1"/>
      <c r="C69" s="1"/>
      <c r="D69" s="1"/>
      <c r="E69" s="1"/>
    </row>
    <row r="70" spans="1:5" ht="17.25" customHeight="1">
      <c r="A70" s="329"/>
      <c r="B70" s="1"/>
      <c r="C70" s="1"/>
      <c r="D70" s="1"/>
      <c r="E70" s="1"/>
    </row>
    <row r="71" spans="1:5" ht="17.25" customHeight="1">
      <c r="A71" s="1"/>
      <c r="B71" s="1"/>
      <c r="C71" s="1"/>
      <c r="D71" s="1"/>
      <c r="E71" s="1"/>
    </row>
    <row r="72" spans="1:5" ht="17.25" customHeight="1">
      <c r="A72" s="1"/>
      <c r="B72" s="1"/>
      <c r="C72" s="1"/>
      <c r="D72" s="1"/>
      <c r="E72" s="1"/>
    </row>
    <row r="73" spans="1:5" ht="17.25" customHeight="1">
      <c r="A73" s="1"/>
      <c r="B73" s="1"/>
      <c r="C73" s="1"/>
      <c r="D73" s="1"/>
      <c r="E73" s="1"/>
    </row>
    <row r="74" spans="1:5" ht="17.25" customHeight="1">
      <c r="A74" s="329"/>
      <c r="B74" s="1"/>
      <c r="C74" s="1"/>
      <c r="D74" s="1"/>
      <c r="E74" s="1"/>
    </row>
    <row r="75" spans="1:5" ht="17.25" customHeight="1">
      <c r="A75" s="509"/>
      <c r="B75" s="1"/>
      <c r="C75" s="1"/>
      <c r="D75" s="1"/>
      <c r="E75" s="1"/>
    </row>
    <row r="76" spans="2:5" ht="17.25" customHeight="1">
      <c r="B76" s="1"/>
      <c r="C76" s="1"/>
      <c r="D76" s="1"/>
      <c r="E76" s="1"/>
    </row>
    <row r="79" spans="1:5" ht="17.25" customHeight="1">
      <c r="A79" s="1"/>
      <c r="B79" s="1"/>
      <c r="C79" s="1"/>
      <c r="D79" s="1"/>
      <c r="E79" s="1"/>
    </row>
    <row r="80" spans="1:5" ht="17.25" customHeight="1">
      <c r="A80" s="329"/>
      <c r="B80" s="1"/>
      <c r="C80" s="1"/>
      <c r="D80" s="1"/>
      <c r="E80" s="1"/>
    </row>
    <row r="81" spans="1:5" ht="17.25" customHeight="1">
      <c r="A81" s="1"/>
      <c r="B81" s="1"/>
      <c r="C81" s="1"/>
      <c r="D81" s="1"/>
      <c r="E81" s="1"/>
    </row>
    <row r="82" spans="1:5" ht="17.25" customHeight="1">
      <c r="A82" s="1"/>
      <c r="B82" s="1"/>
      <c r="C82" s="1"/>
      <c r="D82" s="1"/>
      <c r="E82" s="1"/>
    </row>
    <row r="83" spans="1:5" ht="17.25" customHeight="1">
      <c r="A83" s="329"/>
      <c r="B83" s="1"/>
      <c r="C83" s="1"/>
      <c r="D83" s="1"/>
      <c r="E83" s="1"/>
    </row>
    <row r="84" spans="1:5" ht="17.25" customHeight="1">
      <c r="A84" s="329"/>
      <c r="B84" s="1"/>
      <c r="C84" s="1"/>
      <c r="D84" s="1"/>
      <c r="E84" s="1"/>
    </row>
    <row r="85" spans="1:5" ht="17.25" customHeight="1">
      <c r="A85" s="512"/>
      <c r="B85" s="1"/>
      <c r="C85" s="1"/>
      <c r="D85" s="1"/>
      <c r="E85" s="1"/>
    </row>
    <row r="86" ht="17.25" customHeight="1">
      <c r="A86" s="512"/>
    </row>
    <row r="87" ht="17.25" customHeight="1">
      <c r="A87" s="512"/>
    </row>
    <row r="88" ht="17.25" customHeight="1">
      <c r="A88" s="512"/>
    </row>
    <row r="89" ht="17.25" customHeight="1">
      <c r="A89" s="512"/>
    </row>
    <row r="90" ht="17.25" customHeight="1">
      <c r="A90" s="512"/>
    </row>
    <row r="91" ht="17.25" customHeight="1">
      <c r="A91" s="512"/>
    </row>
    <row r="97" ht="17.25" customHeight="1">
      <c r="A97" s="512"/>
    </row>
    <row r="98" ht="17.25" customHeight="1">
      <c r="A98" s="512"/>
    </row>
    <row r="99" ht="17.25" customHeight="1">
      <c r="A99" s="512"/>
    </row>
    <row r="100" ht="17.25" customHeight="1">
      <c r="A100" s="512"/>
    </row>
    <row r="103" ht="17.25" customHeight="1">
      <c r="A103" s="512"/>
    </row>
    <row r="104" ht="17.25" customHeight="1">
      <c r="A104" s="512"/>
    </row>
    <row r="107" ht="17.25" customHeight="1">
      <c r="A107" s="512"/>
    </row>
    <row r="108" ht="17.25" customHeight="1">
      <c r="A108" s="512"/>
    </row>
    <row r="109" ht="17.25" customHeight="1">
      <c r="A109" s="512"/>
    </row>
    <row r="110" ht="17.25" customHeight="1">
      <c r="A110" s="512"/>
    </row>
    <row r="111" ht="17.25" customHeight="1">
      <c r="A111" s="512"/>
    </row>
    <row r="112" ht="17.25" customHeight="1">
      <c r="A112" s="512"/>
    </row>
    <row r="113" ht="17.25" customHeight="1">
      <c r="A113" s="512"/>
    </row>
    <row r="114" ht="17.25" customHeight="1">
      <c r="A114" s="512"/>
    </row>
    <row r="115" ht="17.25" customHeight="1">
      <c r="A115" s="512"/>
    </row>
    <row r="116" ht="17.25" customHeight="1">
      <c r="A116" s="512"/>
    </row>
    <row r="117" ht="17.25" customHeight="1">
      <c r="A117" s="512"/>
    </row>
    <row r="118" ht="17.25" customHeight="1">
      <c r="A118" s="512"/>
    </row>
    <row r="119" ht="17.25" customHeight="1">
      <c r="A119" s="512"/>
    </row>
    <row r="120" ht="17.25" customHeight="1">
      <c r="A120" s="512"/>
    </row>
    <row r="121" ht="17.25" customHeight="1">
      <c r="A121" s="512"/>
    </row>
    <row r="122" ht="17.25" customHeight="1">
      <c r="A122" s="512"/>
    </row>
    <row r="123" ht="17.25" customHeight="1">
      <c r="A123" s="512"/>
    </row>
    <row r="124" ht="17.25" customHeight="1">
      <c r="A124" s="512"/>
    </row>
    <row r="125" ht="17.25" customHeight="1">
      <c r="A125" s="512"/>
    </row>
    <row r="126" ht="17.25" customHeight="1">
      <c r="A126" s="512"/>
    </row>
    <row r="127" ht="17.25" customHeight="1">
      <c r="A127" s="512"/>
    </row>
    <row r="128" ht="17.25" customHeight="1">
      <c r="A128" s="512"/>
    </row>
    <row r="129" ht="17.25" customHeight="1">
      <c r="A129" s="512"/>
    </row>
    <row r="130" ht="17.25" customHeight="1">
      <c r="A130" s="512"/>
    </row>
    <row r="131" ht="17.25" customHeight="1">
      <c r="A131" s="512"/>
    </row>
  </sheetData>
  <mergeCells count="2">
    <mergeCell ref="A2:E2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F1">
      <selection activeCell="F12" sqref="F12"/>
    </sheetView>
  </sheetViews>
  <sheetFormatPr defaultColWidth="9.140625" defaultRowHeight="17.25" customHeight="1"/>
  <cols>
    <col min="1" max="1" width="39.7109375" style="513" hidden="1" customWidth="1"/>
    <col min="2" max="2" width="8.8515625" style="488" hidden="1" customWidth="1"/>
    <col min="3" max="3" width="11.28125" style="488" hidden="1" customWidth="1"/>
    <col min="4" max="4" width="18.8515625" style="488" hidden="1" customWidth="1"/>
    <col min="5" max="5" width="0.13671875" style="488" customWidth="1"/>
    <col min="6" max="6" width="39.7109375" style="513" customWidth="1"/>
    <col min="7" max="7" width="8.8515625" style="488" customWidth="1"/>
    <col min="8" max="8" width="11.28125" style="488" customWidth="1"/>
    <col min="9" max="9" width="12.140625" style="488" customWidth="1"/>
    <col min="10" max="10" width="11.57421875" style="488" customWidth="1"/>
    <col min="11" max="16384" width="7.421875" style="488" customWidth="1"/>
  </cols>
  <sheetData>
    <row r="1" spans="2:10" ht="17.25" customHeight="1">
      <c r="B1" s="514"/>
      <c r="C1" s="72"/>
      <c r="D1" s="72" t="s">
        <v>85</v>
      </c>
      <c r="G1" s="514"/>
      <c r="H1" s="72"/>
      <c r="I1" s="72"/>
      <c r="J1" s="72" t="s">
        <v>85</v>
      </c>
    </row>
    <row r="2" spans="1:10" s="72" customFormat="1" ht="17.25" customHeight="1">
      <c r="A2" s="514" t="s">
        <v>86</v>
      </c>
      <c r="B2" s="514"/>
      <c r="E2" s="64"/>
      <c r="F2" s="514" t="s">
        <v>86</v>
      </c>
      <c r="G2" s="514"/>
      <c r="J2" s="64"/>
    </row>
    <row r="4" spans="1:10" s="517" customFormat="1" ht="17.25" customHeight="1">
      <c r="A4" s="515" t="s">
        <v>87</v>
      </c>
      <c r="B4" s="516"/>
      <c r="C4" s="110"/>
      <c r="D4" s="110"/>
      <c r="E4" s="110"/>
      <c r="F4" s="515" t="s">
        <v>87</v>
      </c>
      <c r="G4" s="516"/>
      <c r="H4" s="110"/>
      <c r="I4" s="110"/>
      <c r="J4" s="110"/>
    </row>
    <row r="5" spans="1:10" s="517" customFormat="1" ht="13.5" customHeight="1">
      <c r="A5" s="515" t="s">
        <v>832</v>
      </c>
      <c r="B5" s="516"/>
      <c r="C5" s="518"/>
      <c r="D5" s="518"/>
      <c r="E5" s="518"/>
      <c r="F5" s="519" t="s">
        <v>527</v>
      </c>
      <c r="G5" s="516"/>
      <c r="H5" s="110"/>
      <c r="I5" s="110"/>
      <c r="J5" s="110"/>
    </row>
    <row r="6" spans="1:10" s="24" customFormat="1" ht="17.25" customHeight="1">
      <c r="A6" s="520"/>
      <c r="B6" s="521"/>
      <c r="C6" s="522"/>
      <c r="D6" s="523" t="s">
        <v>599</v>
      </c>
      <c r="F6" s="520"/>
      <c r="G6" s="521"/>
      <c r="H6" s="522"/>
      <c r="I6" s="522"/>
      <c r="J6" s="523" t="s">
        <v>780</v>
      </c>
    </row>
    <row r="7" spans="1:10" s="24" customFormat="1" ht="236.25">
      <c r="A7" s="524" t="s">
        <v>318</v>
      </c>
      <c r="B7" s="525" t="s">
        <v>36</v>
      </c>
      <c r="C7" s="525" t="s">
        <v>404</v>
      </c>
      <c r="D7" s="525" t="s">
        <v>18</v>
      </c>
      <c r="E7" s="34" t="s">
        <v>707</v>
      </c>
      <c r="F7" s="524" t="s">
        <v>318</v>
      </c>
      <c r="G7" s="525" t="s">
        <v>36</v>
      </c>
      <c r="H7" s="525" t="s">
        <v>404</v>
      </c>
      <c r="I7" s="525" t="s">
        <v>18</v>
      </c>
      <c r="J7" s="34" t="s">
        <v>601</v>
      </c>
    </row>
    <row r="8" spans="1:10" s="24" customFormat="1" ht="12.75">
      <c r="A8" s="526" t="s">
        <v>88</v>
      </c>
      <c r="B8" s="527">
        <v>2</v>
      </c>
      <c r="C8" s="527">
        <v>3</v>
      </c>
      <c r="D8" s="527">
        <v>4</v>
      </c>
      <c r="E8" s="527" t="s">
        <v>89</v>
      </c>
      <c r="F8" s="526" t="s">
        <v>88</v>
      </c>
      <c r="G8" s="527">
        <v>2</v>
      </c>
      <c r="H8" s="527">
        <v>3</v>
      </c>
      <c r="I8" s="527">
        <v>4</v>
      </c>
      <c r="J8" s="527" t="s">
        <v>89</v>
      </c>
    </row>
    <row r="9" spans="1:10" s="1" customFormat="1" ht="17.25" customHeight="1">
      <c r="A9" s="528" t="s">
        <v>90</v>
      </c>
      <c r="B9" s="348"/>
      <c r="C9" s="20">
        <f>SUM(C10,C30)</f>
        <v>68635906</v>
      </c>
      <c r="D9" s="20"/>
      <c r="E9" s="20">
        <f>SUM(E10,E30)</f>
        <v>34890458</v>
      </c>
      <c r="F9" s="528" t="s">
        <v>90</v>
      </c>
      <c r="G9" s="348"/>
      <c r="H9" s="348">
        <f>SUM(H10,H30)</f>
        <v>68636</v>
      </c>
      <c r="I9" s="351"/>
      <c r="J9" s="348">
        <f>SUM(J10,J30)</f>
        <v>34890</v>
      </c>
    </row>
    <row r="10" spans="1:10" ht="25.5">
      <c r="A10" s="529" t="s">
        <v>91</v>
      </c>
      <c r="B10" s="348"/>
      <c r="C10" s="20">
        <f>C11+C22+C29</f>
        <v>44513642</v>
      </c>
      <c r="D10" s="20"/>
      <c r="E10" s="20">
        <f>E11+E22+E29</f>
        <v>22798137</v>
      </c>
      <c r="F10" s="529" t="s">
        <v>91</v>
      </c>
      <c r="G10" s="348"/>
      <c r="H10" s="348">
        <f>H11+H22+H29</f>
        <v>44514</v>
      </c>
      <c r="I10" s="351"/>
      <c r="J10" s="348">
        <f>J11+J22+J29</f>
        <v>22799</v>
      </c>
    </row>
    <row r="11" spans="1:10" s="1" customFormat="1" ht="17.25" customHeight="1">
      <c r="A11" s="530" t="s">
        <v>92</v>
      </c>
      <c r="B11" s="348"/>
      <c r="C11" s="20">
        <f>SUM(C12,C20,)</f>
        <v>37525267</v>
      </c>
      <c r="D11" s="20"/>
      <c r="E11" s="20">
        <f>SUM(E12,E20,)</f>
        <v>19187965</v>
      </c>
      <c r="F11" s="530" t="s">
        <v>92</v>
      </c>
      <c r="G11" s="348"/>
      <c r="H11" s="348">
        <f>SUM(H12,H20,)</f>
        <v>37526</v>
      </c>
      <c r="I11" s="351"/>
      <c r="J11" s="348">
        <f>SUM(J12,J20,)</f>
        <v>19189</v>
      </c>
    </row>
    <row r="12" spans="1:10" s="1" customFormat="1" ht="17.25" customHeight="1">
      <c r="A12" s="530" t="s">
        <v>847</v>
      </c>
      <c r="B12" s="348"/>
      <c r="C12" s="20">
        <f>SUM(C13,C15,C18,C19)</f>
        <v>37318995</v>
      </c>
      <c r="D12" s="20"/>
      <c r="E12" s="20">
        <f>SUM(E13,E15,E18,E19)</f>
        <v>19087212</v>
      </c>
      <c r="F12" s="530" t="s">
        <v>847</v>
      </c>
      <c r="G12" s="348"/>
      <c r="H12" s="348">
        <f>SUM(H13,H15,H18,H19)</f>
        <v>37320</v>
      </c>
      <c r="I12" s="348"/>
      <c r="J12" s="348">
        <f>SUM(J13,J15,J18,J19)</f>
        <v>19089</v>
      </c>
    </row>
    <row r="13" spans="1:10" s="24" customFormat="1" ht="12.75">
      <c r="A13" s="312" t="s">
        <v>93</v>
      </c>
      <c r="B13" s="348"/>
      <c r="C13" s="348">
        <f>30934210+284612</f>
        <v>31218822</v>
      </c>
      <c r="D13" s="351"/>
      <c r="E13" s="348">
        <f>C13-'[18]Janvāris'!C13</f>
        <v>14760419</v>
      </c>
      <c r="F13" s="312" t="s">
        <v>94</v>
      </c>
      <c r="G13" s="348"/>
      <c r="H13" s="348">
        <f>ROUND(C13/1000,0)</f>
        <v>31219</v>
      </c>
      <c r="I13" s="351"/>
      <c r="J13" s="348">
        <f>H13-'[18]Janvāris'!H13</f>
        <v>14761</v>
      </c>
    </row>
    <row r="14" spans="1:10" s="24" customFormat="1" ht="12.75">
      <c r="A14" s="324" t="s">
        <v>95</v>
      </c>
      <c r="B14" s="348"/>
      <c r="C14" s="348">
        <v>1055229</v>
      </c>
      <c r="D14" s="351"/>
      <c r="E14" s="348"/>
      <c r="F14" s="324" t="s">
        <v>95</v>
      </c>
      <c r="G14" s="348"/>
      <c r="H14" s="348">
        <f aca="true" t="shared" si="0" ref="H14:H29">ROUND(C14/1000,0)</f>
        <v>1055</v>
      </c>
      <c r="I14" s="351"/>
      <c r="J14" s="348">
        <f>H14-'[18]Janvāris'!H14</f>
        <v>0</v>
      </c>
    </row>
    <row r="15" spans="1:10" s="24" customFormat="1" ht="12.75">
      <c r="A15" s="312" t="s">
        <v>96</v>
      </c>
      <c r="B15" s="348"/>
      <c r="C15" s="348">
        <f>SUM(C16:C17)</f>
        <v>5218757</v>
      </c>
      <c r="D15" s="351"/>
      <c r="E15" s="348">
        <f>C15-'[18]Janvāris'!C15</f>
        <v>4124310</v>
      </c>
      <c r="F15" s="312" t="s">
        <v>96</v>
      </c>
      <c r="G15" s="348"/>
      <c r="H15" s="348">
        <f t="shared" si="0"/>
        <v>5219</v>
      </c>
      <c r="I15" s="351"/>
      <c r="J15" s="348">
        <f>H15-'[18]Janvāris'!H15</f>
        <v>4125</v>
      </c>
    </row>
    <row r="16" spans="1:10" s="24" customFormat="1" ht="25.5">
      <c r="A16" s="531" t="s">
        <v>97</v>
      </c>
      <c r="B16" s="348"/>
      <c r="C16" s="348">
        <v>1825834</v>
      </c>
      <c r="D16" s="351"/>
      <c r="E16" s="348">
        <f>C16-'[18]Janvāris'!C16</f>
        <v>1196719</v>
      </c>
      <c r="F16" s="531" t="s">
        <v>97</v>
      </c>
      <c r="G16" s="348"/>
      <c r="H16" s="348">
        <f t="shared" si="0"/>
        <v>1826</v>
      </c>
      <c r="I16" s="351"/>
      <c r="J16" s="348">
        <f>H16-'[18]Janvāris'!H16</f>
        <v>1197</v>
      </c>
    </row>
    <row r="17" spans="1:10" s="24" customFormat="1" ht="26.25" customHeight="1">
      <c r="A17" s="531" t="s">
        <v>98</v>
      </c>
      <c r="B17" s="348"/>
      <c r="C17" s="348">
        <v>3392923</v>
      </c>
      <c r="D17" s="351"/>
      <c r="E17" s="348">
        <f>C17-'[18]Janvāris'!C17</f>
        <v>2927591</v>
      </c>
      <c r="F17" s="531" t="s">
        <v>98</v>
      </c>
      <c r="G17" s="348"/>
      <c r="H17" s="348">
        <f t="shared" si="0"/>
        <v>3393</v>
      </c>
      <c r="I17" s="351"/>
      <c r="J17" s="348">
        <f>H17-'[18]Janvāris'!H17</f>
        <v>2928</v>
      </c>
    </row>
    <row r="18" spans="1:10" s="24" customFormat="1" ht="12.75">
      <c r="A18" s="312" t="s">
        <v>99</v>
      </c>
      <c r="B18" s="348"/>
      <c r="C18" s="348">
        <v>672808</v>
      </c>
      <c r="D18" s="351"/>
      <c r="E18" s="348">
        <f>C18-'[18]Janvāris'!C18</f>
        <v>111858</v>
      </c>
      <c r="F18" s="312" t="s">
        <v>99</v>
      </c>
      <c r="G18" s="348"/>
      <c r="H18" s="348">
        <f t="shared" si="0"/>
        <v>673</v>
      </c>
      <c r="I18" s="351"/>
      <c r="J18" s="348">
        <f>H18-'[18]Janvāris'!H18</f>
        <v>112</v>
      </c>
    </row>
    <row r="19" spans="1:10" s="24" customFormat="1" ht="12.75">
      <c r="A19" s="312" t="s">
        <v>100</v>
      </c>
      <c r="B19" s="348"/>
      <c r="C19" s="348">
        <v>208608</v>
      </c>
      <c r="D19" s="351"/>
      <c r="E19" s="348">
        <f>C19-'[18]Janvāris'!C19</f>
        <v>90625</v>
      </c>
      <c r="F19" s="312" t="s">
        <v>100</v>
      </c>
      <c r="G19" s="348"/>
      <c r="H19" s="348">
        <f t="shared" si="0"/>
        <v>209</v>
      </c>
      <c r="I19" s="351"/>
      <c r="J19" s="348">
        <f>H19-'[18]Janvāris'!H19</f>
        <v>91</v>
      </c>
    </row>
    <row r="20" spans="1:10" s="1" customFormat="1" ht="12.75">
      <c r="A20" s="530" t="s">
        <v>849</v>
      </c>
      <c r="B20" s="348"/>
      <c r="C20" s="20">
        <f>C21</f>
        <v>206272</v>
      </c>
      <c r="D20" s="359"/>
      <c r="E20" s="20">
        <f>E21</f>
        <v>100753</v>
      </c>
      <c r="F20" s="530" t="s">
        <v>849</v>
      </c>
      <c r="G20" s="348"/>
      <c r="H20" s="348">
        <f>H21</f>
        <v>206</v>
      </c>
      <c r="I20" s="348"/>
      <c r="J20" s="348">
        <f>J21</f>
        <v>100</v>
      </c>
    </row>
    <row r="21" spans="1:10" ht="19.5" customHeight="1">
      <c r="A21" s="532" t="s">
        <v>101</v>
      </c>
      <c r="B21" s="348"/>
      <c r="C21" s="348">
        <v>206272</v>
      </c>
      <c r="D21" s="351"/>
      <c r="E21" s="348">
        <f>C21-'[18]Janvāris'!C21</f>
        <v>100753</v>
      </c>
      <c r="F21" s="532" t="s">
        <v>101</v>
      </c>
      <c r="G21" s="348"/>
      <c r="H21" s="348">
        <f t="shared" si="0"/>
        <v>206</v>
      </c>
      <c r="I21" s="351"/>
      <c r="J21" s="348">
        <f>H21-'[18]Janvāris'!H21</f>
        <v>100</v>
      </c>
    </row>
    <row r="22" spans="1:10" s="1" customFormat="1" ht="12.75">
      <c r="A22" s="530" t="s">
        <v>102</v>
      </c>
      <c r="B22" s="348"/>
      <c r="C22" s="20">
        <f>SUM(C23:C28)</f>
        <v>2999356</v>
      </c>
      <c r="D22" s="359"/>
      <c r="E22" s="20">
        <f>SUM(E23:E28)</f>
        <v>1516094</v>
      </c>
      <c r="F22" s="530" t="s">
        <v>102</v>
      </c>
      <c r="G22" s="348"/>
      <c r="H22" s="348">
        <f>SUM(H23:H28)</f>
        <v>2999</v>
      </c>
      <c r="I22" s="348"/>
      <c r="J22" s="348">
        <f>SUM(J23:J28)</f>
        <v>1516</v>
      </c>
    </row>
    <row r="23" spans="1:10" ht="12.75">
      <c r="A23" s="312" t="s">
        <v>103</v>
      </c>
      <c r="B23" s="348"/>
      <c r="C23" s="348">
        <v>85153</v>
      </c>
      <c r="D23" s="351"/>
      <c r="E23" s="348">
        <f>C23-'[18]Janvāris'!C23</f>
        <v>22332</v>
      </c>
      <c r="F23" s="312" t="s">
        <v>103</v>
      </c>
      <c r="G23" s="348"/>
      <c r="H23" s="348">
        <f t="shared" si="0"/>
        <v>85</v>
      </c>
      <c r="I23" s="351"/>
      <c r="J23" s="348">
        <f>H23-'[18]Janvāris'!H23</f>
        <v>22</v>
      </c>
    </row>
    <row r="24" spans="1:10" ht="12.75">
      <c r="A24" s="312" t="s">
        <v>104</v>
      </c>
      <c r="B24" s="348"/>
      <c r="C24" s="348">
        <v>485187</v>
      </c>
      <c r="D24" s="351"/>
      <c r="E24" s="348">
        <f>C24-'[18]Janvāris'!C24</f>
        <v>231199</v>
      </c>
      <c r="F24" s="312" t="s">
        <v>104</v>
      </c>
      <c r="G24" s="348"/>
      <c r="H24" s="348">
        <f t="shared" si="0"/>
        <v>485</v>
      </c>
      <c r="I24" s="351"/>
      <c r="J24" s="348">
        <f>H24-'[18]Janvāris'!H24</f>
        <v>231</v>
      </c>
    </row>
    <row r="25" spans="1:10" ht="12.75">
      <c r="A25" s="312" t="s">
        <v>105</v>
      </c>
      <c r="B25" s="348"/>
      <c r="C25" s="348">
        <v>49859</v>
      </c>
      <c r="D25" s="351"/>
      <c r="E25" s="348">
        <f>C25-'[18]Janvāris'!C25</f>
        <v>29579</v>
      </c>
      <c r="F25" s="312" t="s">
        <v>105</v>
      </c>
      <c r="G25" s="348"/>
      <c r="H25" s="348">
        <f t="shared" si="0"/>
        <v>50</v>
      </c>
      <c r="I25" s="351"/>
      <c r="J25" s="348">
        <f>H25-'[18]Janvāris'!H25</f>
        <v>30</v>
      </c>
    </row>
    <row r="26" spans="1:10" ht="12.75">
      <c r="A26" s="312" t="s">
        <v>106</v>
      </c>
      <c r="B26" s="348"/>
      <c r="C26" s="348">
        <v>2161764</v>
      </c>
      <c r="D26" s="351"/>
      <c r="E26" s="348">
        <f>C26-'[18]Janvāris'!C26</f>
        <v>1101915</v>
      </c>
      <c r="F26" s="312" t="s">
        <v>106</v>
      </c>
      <c r="G26" s="348"/>
      <c r="H26" s="348">
        <f t="shared" si="0"/>
        <v>2162</v>
      </c>
      <c r="I26" s="351"/>
      <c r="J26" s="348">
        <f>H26-'[18]Janvāris'!H26</f>
        <v>1102</v>
      </c>
    </row>
    <row r="27" spans="1:10" ht="25.5">
      <c r="A27" s="533" t="s">
        <v>107</v>
      </c>
      <c r="B27" s="348"/>
      <c r="C27" s="348">
        <v>179835</v>
      </c>
      <c r="D27" s="351"/>
      <c r="E27" s="348">
        <f>C27-'[18]Janvāris'!C27</f>
        <v>101593</v>
      </c>
      <c r="F27" s="533" t="s">
        <v>107</v>
      </c>
      <c r="G27" s="348"/>
      <c r="H27" s="348">
        <f t="shared" si="0"/>
        <v>180</v>
      </c>
      <c r="I27" s="351"/>
      <c r="J27" s="348">
        <f>H27-'[18]Janvāris'!H27</f>
        <v>102</v>
      </c>
    </row>
    <row r="28" spans="1:10" ht="12.75">
      <c r="A28" s="312" t="s">
        <v>108</v>
      </c>
      <c r="B28" s="348"/>
      <c r="C28" s="348">
        <v>37558</v>
      </c>
      <c r="D28" s="351"/>
      <c r="E28" s="348">
        <f>C28-'[18]Janvāris'!C28</f>
        <v>29476</v>
      </c>
      <c r="F28" s="312" t="s">
        <v>108</v>
      </c>
      <c r="G28" s="348"/>
      <c r="H28" s="348">
        <f>ROUND(C28/1000,0)-1</f>
        <v>37</v>
      </c>
      <c r="I28" s="351"/>
      <c r="J28" s="348">
        <f>H28-'[18]Janvāris'!H28</f>
        <v>29</v>
      </c>
    </row>
    <row r="29" spans="1:10" ht="38.25">
      <c r="A29" s="534" t="s">
        <v>109</v>
      </c>
      <c r="B29" s="348"/>
      <c r="C29" s="20">
        <v>3989019</v>
      </c>
      <c r="D29" s="359"/>
      <c r="E29" s="20">
        <f>C29-'[18]Janvāris'!C29</f>
        <v>2094078</v>
      </c>
      <c r="F29" s="534" t="s">
        <v>109</v>
      </c>
      <c r="G29" s="348"/>
      <c r="H29" s="348">
        <f t="shared" si="0"/>
        <v>3989</v>
      </c>
      <c r="I29" s="351"/>
      <c r="J29" s="348">
        <f>H29-'[18]Janvāris'!H29</f>
        <v>2094</v>
      </c>
    </row>
    <row r="30" spans="1:10" ht="12.75">
      <c r="A30" s="530" t="s">
        <v>110</v>
      </c>
      <c r="B30" s="348"/>
      <c r="C30" s="20">
        <f>SUM(C31,C35,C39,C43)</f>
        <v>24122264</v>
      </c>
      <c r="D30" s="359"/>
      <c r="E30" s="20">
        <f>SUM(E31,E35,E39,E43)</f>
        <v>12092321</v>
      </c>
      <c r="F30" s="530" t="s">
        <v>110</v>
      </c>
      <c r="G30" s="348"/>
      <c r="H30" s="348">
        <f>SUM(H31,H35,H39,H43)</f>
        <v>24122</v>
      </c>
      <c r="I30" s="348"/>
      <c r="J30" s="348">
        <f>SUM(J31,J35,J39,J43)</f>
        <v>12091</v>
      </c>
    </row>
    <row r="31" spans="1:10" ht="12.75">
      <c r="A31" s="528" t="s">
        <v>111</v>
      </c>
      <c r="B31" s="348"/>
      <c r="C31" s="20">
        <f>SUM(C32:C34)</f>
        <v>800556</v>
      </c>
      <c r="D31" s="359"/>
      <c r="E31" s="20">
        <f>SUM(E32:E34)</f>
        <v>415496</v>
      </c>
      <c r="F31" s="528" t="s">
        <v>111</v>
      </c>
      <c r="G31" s="348"/>
      <c r="H31" s="348">
        <f>SUM(H32:H34)</f>
        <v>801</v>
      </c>
      <c r="I31" s="348"/>
      <c r="J31" s="348">
        <f>SUM(J32:J34)</f>
        <v>416</v>
      </c>
    </row>
    <row r="32" spans="1:10" ht="25.5">
      <c r="A32" s="533" t="s">
        <v>112</v>
      </c>
      <c r="B32" s="348"/>
      <c r="C32" s="348">
        <v>594228</v>
      </c>
      <c r="D32" s="351"/>
      <c r="E32" s="348">
        <f>C32-'[18]Janvāris'!C32</f>
        <v>315986</v>
      </c>
      <c r="F32" s="533" t="s">
        <v>112</v>
      </c>
      <c r="G32" s="348"/>
      <c r="H32" s="348">
        <f>ROUND(C32/1000,0)</f>
        <v>594</v>
      </c>
      <c r="I32" s="351"/>
      <c r="J32" s="348">
        <f>H32-'[18]Janvāris'!H32</f>
        <v>316</v>
      </c>
    </row>
    <row r="33" spans="1:10" ht="38.25">
      <c r="A33" s="533" t="s">
        <v>113</v>
      </c>
      <c r="B33" s="348"/>
      <c r="C33" s="348">
        <v>66647</v>
      </c>
      <c r="D33" s="351"/>
      <c r="E33" s="348">
        <f>C33-'[18]Janvāris'!C33</f>
        <v>30441</v>
      </c>
      <c r="F33" s="533" t="s">
        <v>113</v>
      </c>
      <c r="G33" s="348"/>
      <c r="H33" s="348">
        <f>ROUND(C33/1000,0)</f>
        <v>67</v>
      </c>
      <c r="I33" s="351"/>
      <c r="J33" s="348">
        <f>H33-'[18]Janvāris'!H33</f>
        <v>31</v>
      </c>
    </row>
    <row r="34" spans="1:10" ht="12.75">
      <c r="A34" s="312" t="s">
        <v>114</v>
      </c>
      <c r="B34" s="348"/>
      <c r="C34" s="348">
        <v>139681</v>
      </c>
      <c r="D34" s="351"/>
      <c r="E34" s="348">
        <f>C34-'[18]Janvāris'!C34</f>
        <v>69069</v>
      </c>
      <c r="F34" s="312" t="s">
        <v>114</v>
      </c>
      <c r="G34" s="348"/>
      <c r="H34" s="348">
        <f>ROUND(C34/1000,0)</f>
        <v>140</v>
      </c>
      <c r="I34" s="351"/>
      <c r="J34" s="348">
        <f>H34-'[18]Janvāris'!H34</f>
        <v>69</v>
      </c>
    </row>
    <row r="35" spans="1:10" ht="12.75">
      <c r="A35" s="528" t="s">
        <v>115</v>
      </c>
      <c r="B35" s="348"/>
      <c r="C35" s="20">
        <f>SUM(C36:C38)</f>
        <v>17344226</v>
      </c>
      <c r="D35" s="359"/>
      <c r="E35" s="20">
        <f>SUM(E36:E38)</f>
        <v>8690063</v>
      </c>
      <c r="F35" s="528" t="s">
        <v>115</v>
      </c>
      <c r="G35" s="348"/>
      <c r="H35" s="348">
        <f>SUM(H36:H38)</f>
        <v>17344</v>
      </c>
      <c r="I35" s="348"/>
      <c r="J35" s="348">
        <f>SUM(J36:J38)</f>
        <v>8690</v>
      </c>
    </row>
    <row r="36" spans="1:10" ht="12.75">
      <c r="A36" s="312" t="s">
        <v>116</v>
      </c>
      <c r="B36" s="348"/>
      <c r="C36" s="348">
        <v>41668</v>
      </c>
      <c r="D36" s="351"/>
      <c r="E36" s="348">
        <f>C36-'[18]Janvāris'!C36</f>
        <v>20834</v>
      </c>
      <c r="F36" s="312" t="s">
        <v>116</v>
      </c>
      <c r="G36" s="348"/>
      <c r="H36" s="348">
        <f>ROUND(C36/1000,0)</f>
        <v>42</v>
      </c>
      <c r="I36" s="351"/>
      <c r="J36" s="348">
        <f>H36-'[18]Janvāris'!H36</f>
        <v>21</v>
      </c>
    </row>
    <row r="37" spans="1:10" ht="12.75">
      <c r="A37" s="312" t="s">
        <v>117</v>
      </c>
      <c r="B37" s="348"/>
      <c r="C37" s="348">
        <v>17302558</v>
      </c>
      <c r="D37" s="351"/>
      <c r="E37" s="348">
        <f>C37-'[18]Janvāris'!C37</f>
        <v>8669229</v>
      </c>
      <c r="F37" s="312" t="s">
        <v>117</v>
      </c>
      <c r="G37" s="348"/>
      <c r="H37" s="348">
        <f>ROUND(C37/1000,0)-1</f>
        <v>17302</v>
      </c>
      <c r="I37" s="351"/>
      <c r="J37" s="348">
        <f>H37-'[18]Janvāris'!H37</f>
        <v>8669</v>
      </c>
    </row>
    <row r="38" spans="1:10" ht="38.25">
      <c r="A38" s="532" t="s">
        <v>118</v>
      </c>
      <c r="B38" s="348"/>
      <c r="C38" s="348"/>
      <c r="D38" s="351"/>
      <c r="E38" s="348">
        <f>C38-'[18]Janvāris'!C38</f>
        <v>0</v>
      </c>
      <c r="F38" s="532" t="s">
        <v>118</v>
      </c>
      <c r="G38" s="348"/>
      <c r="H38" s="348"/>
      <c r="I38" s="351"/>
      <c r="J38" s="348">
        <f>H38-'[18]Janvāris'!H38</f>
        <v>0</v>
      </c>
    </row>
    <row r="39" spans="1:10" ht="38.25">
      <c r="A39" s="529" t="s">
        <v>119</v>
      </c>
      <c r="B39" s="348"/>
      <c r="C39" s="20">
        <f>SUM(C40:C42)</f>
        <v>5727022</v>
      </c>
      <c r="D39" s="20"/>
      <c r="E39" s="20">
        <f>SUM(E40:E42)</f>
        <v>2819955</v>
      </c>
      <c r="F39" s="529" t="s">
        <v>119</v>
      </c>
      <c r="G39" s="348"/>
      <c r="H39" s="348">
        <f>SUM(H40:H42)</f>
        <v>5727</v>
      </c>
      <c r="I39" s="348"/>
      <c r="J39" s="348">
        <f>SUM(J40:J42)</f>
        <v>2819</v>
      </c>
    </row>
    <row r="40" spans="1:10" ht="12.75" customHeight="1">
      <c r="A40" s="312" t="s">
        <v>116</v>
      </c>
      <c r="B40" s="348"/>
      <c r="C40" s="348">
        <v>5726020</v>
      </c>
      <c r="D40" s="351"/>
      <c r="E40" s="348">
        <f>C40-'[18]Janvāris'!C40</f>
        <v>2862511</v>
      </c>
      <c r="F40" s="312" t="s">
        <v>116</v>
      </c>
      <c r="G40" s="348"/>
      <c r="H40" s="348">
        <f>ROUND(C40/1000,0)</f>
        <v>5726</v>
      </c>
      <c r="I40" s="351"/>
      <c r="J40" s="348">
        <f>H40-'[18]Janvāris'!H40</f>
        <v>2862</v>
      </c>
    </row>
    <row r="41" spans="1:10" ht="12.75" customHeight="1" hidden="1">
      <c r="A41" s="312" t="s">
        <v>120</v>
      </c>
      <c r="B41" s="348"/>
      <c r="C41" s="348"/>
      <c r="D41" s="351"/>
      <c r="E41" s="348">
        <f>C41-'[18]Janvāris'!C41</f>
        <v>0</v>
      </c>
      <c r="F41" s="312" t="s">
        <v>120</v>
      </c>
      <c r="G41" s="348"/>
      <c r="H41" s="348">
        <f>ROUND(C41/1000,0)</f>
        <v>0</v>
      </c>
      <c r="I41" s="351"/>
      <c r="J41" s="348">
        <f>H41-'[18]Janvāris'!H41</f>
        <v>0</v>
      </c>
    </row>
    <row r="42" spans="1:10" ht="12.75" customHeight="1">
      <c r="A42" s="312" t="s">
        <v>121</v>
      </c>
      <c r="B42" s="348"/>
      <c r="C42" s="348">
        <v>1002</v>
      </c>
      <c r="D42" s="351"/>
      <c r="E42" s="348">
        <f>C42-'[18]Janvāris'!C42</f>
        <v>-42556</v>
      </c>
      <c r="F42" s="312" t="s">
        <v>122</v>
      </c>
      <c r="G42" s="348"/>
      <c r="H42" s="348">
        <f>ROUND(C42/1000,0)</f>
        <v>1</v>
      </c>
      <c r="I42" s="351"/>
      <c r="J42" s="348">
        <f>H42-'[18]Janvāris'!H42</f>
        <v>-43</v>
      </c>
    </row>
    <row r="43" spans="1:10" ht="17.25" customHeight="1">
      <c r="A43" s="528" t="s">
        <v>123</v>
      </c>
      <c r="B43" s="535"/>
      <c r="C43" s="348">
        <v>250460</v>
      </c>
      <c r="D43" s="351"/>
      <c r="E43" s="348">
        <f>C43-'[18]Janvāris'!C43</f>
        <v>166807</v>
      </c>
      <c r="F43" s="528" t="s">
        <v>123</v>
      </c>
      <c r="G43" s="348"/>
      <c r="H43" s="348">
        <f>ROUND(C43/1000,0)</f>
        <v>250</v>
      </c>
      <c r="I43" s="351"/>
      <c r="J43" s="348">
        <f>H43-'[18]Janvāris'!H43</f>
        <v>166</v>
      </c>
    </row>
    <row r="44" spans="1:10" ht="12.75">
      <c r="A44" s="536" t="s">
        <v>124</v>
      </c>
      <c r="B44" s="537"/>
      <c r="C44" s="29" t="s">
        <v>125</v>
      </c>
      <c r="D44" s="538"/>
      <c r="E44" s="348"/>
      <c r="F44" s="536" t="s">
        <v>126</v>
      </c>
      <c r="G44" s="537"/>
      <c r="H44" s="29"/>
      <c r="I44" s="538"/>
      <c r="J44" s="539"/>
    </row>
    <row r="45" spans="1:10" ht="17.25" customHeight="1">
      <c r="A45" s="536"/>
      <c r="B45" s="513"/>
      <c r="C45" s="513"/>
      <c r="D45" s="513"/>
      <c r="E45" s="539"/>
      <c r="F45" s="536" t="s">
        <v>127</v>
      </c>
      <c r="G45" s="513"/>
      <c r="H45" s="513"/>
      <c r="I45" s="513"/>
      <c r="J45" s="539"/>
    </row>
    <row r="46" spans="1:10" ht="17.25" customHeight="1">
      <c r="A46" s="64" t="s">
        <v>644</v>
      </c>
      <c r="B46" s="4"/>
      <c r="C46" s="4"/>
      <c r="D46" s="4" t="s">
        <v>645</v>
      </c>
      <c r="E46" s="28"/>
      <c r="J46" s="28"/>
    </row>
    <row r="47" spans="1:9" s="28" customFormat="1" ht="17.25" customHeight="1">
      <c r="A47" s="1"/>
      <c r="F47" s="64" t="s">
        <v>564</v>
      </c>
      <c r="G47" s="4"/>
      <c r="H47" s="4"/>
      <c r="I47" s="4" t="s">
        <v>348</v>
      </c>
    </row>
    <row r="48" spans="1:9" s="538" customFormat="1" ht="17.25" customHeight="1">
      <c r="A48" s="540"/>
      <c r="B48" s="539"/>
      <c r="C48" s="309"/>
      <c r="D48" s="309"/>
      <c r="F48" s="540"/>
      <c r="G48" s="539"/>
      <c r="H48" s="309"/>
      <c r="I48" s="309"/>
    </row>
    <row r="49" spans="1:10" s="28" customFormat="1" ht="17.25" customHeight="1">
      <c r="A49" s="513"/>
      <c r="B49" s="513"/>
      <c r="C49" s="513"/>
      <c r="D49" s="513"/>
      <c r="E49" s="511"/>
      <c r="F49" s="513"/>
      <c r="G49" s="513"/>
      <c r="H49" s="513"/>
      <c r="I49" s="513"/>
      <c r="J49" s="511"/>
    </row>
    <row r="50" spans="2:9" ht="17.25" customHeight="1">
      <c r="B50" s="513"/>
      <c r="C50" s="513"/>
      <c r="D50" s="513"/>
      <c r="G50" s="513"/>
      <c r="H50" s="513"/>
      <c r="I50" s="513"/>
    </row>
    <row r="51" spans="1:9" s="538" customFormat="1" ht="17.25" customHeight="1">
      <c r="A51" s="540"/>
      <c r="C51" s="58"/>
      <c r="D51" s="488"/>
      <c r="F51" s="540"/>
      <c r="H51" s="58"/>
      <c r="I51" s="488"/>
    </row>
    <row r="52" spans="2:9" ht="17.25" customHeight="1">
      <c r="B52" s="538"/>
      <c r="C52" s="538"/>
      <c r="D52" s="538"/>
      <c r="G52" s="538"/>
      <c r="H52" s="538"/>
      <c r="I52" s="538"/>
    </row>
    <row r="53" spans="1:9" s="538" customFormat="1" ht="17.25" customHeight="1">
      <c r="A53" s="540"/>
      <c r="C53" s="58"/>
      <c r="D53" s="488"/>
      <c r="F53" s="540"/>
      <c r="H53" s="58"/>
      <c r="I53" s="488"/>
    </row>
    <row r="54" spans="2:9" ht="17.25" customHeight="1">
      <c r="B54" s="538"/>
      <c r="C54" s="538"/>
      <c r="D54" s="538"/>
      <c r="G54" s="538"/>
      <c r="H54" s="538"/>
      <c r="I54" s="538"/>
    </row>
    <row r="55" spans="2:8" ht="17.25" customHeight="1">
      <c r="B55" s="541"/>
      <c r="C55" s="58"/>
      <c r="G55" s="541"/>
      <c r="H55" s="58"/>
    </row>
    <row r="56" spans="2:8" ht="17.25" customHeight="1">
      <c r="B56" s="541"/>
      <c r="C56" s="24"/>
      <c r="G56" s="541"/>
      <c r="H56" s="24"/>
    </row>
    <row r="58" spans="2:8" ht="17.25" customHeight="1">
      <c r="B58" s="541"/>
      <c r="C58" s="28"/>
      <c r="G58" s="541"/>
      <c r="H58" s="28"/>
    </row>
    <row r="59" spans="2:8" ht="17.25" customHeight="1">
      <c r="B59" s="541"/>
      <c r="C59" s="28"/>
      <c r="G59" s="541"/>
      <c r="H59" s="28"/>
    </row>
  </sheetData>
  <printOptions/>
  <pageMargins left="0.75" right="0.24" top="0.29" bottom="0.37" header="0.17" footer="0.18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1">
      <selection activeCell="F12" sqref="F12"/>
    </sheetView>
  </sheetViews>
  <sheetFormatPr defaultColWidth="9.140625" defaultRowHeight="17.25" customHeight="1"/>
  <cols>
    <col min="1" max="1" width="45.57421875" style="513" hidden="1" customWidth="1"/>
    <col min="2" max="2" width="10.8515625" style="557" hidden="1" customWidth="1"/>
    <col min="3" max="3" width="11.28125" style="488" hidden="1" customWidth="1"/>
    <col min="4" max="4" width="12.140625" style="488" hidden="1" customWidth="1"/>
    <col min="5" max="5" width="12.8515625" style="488" hidden="1" customWidth="1"/>
    <col min="6" max="6" width="45.57421875" style="513" customWidth="1"/>
    <col min="7" max="7" width="10.8515625" style="557" customWidth="1"/>
    <col min="8" max="8" width="11.28125" style="488" customWidth="1"/>
    <col min="9" max="9" width="12.140625" style="488" customWidth="1"/>
    <col min="10" max="10" width="12.8515625" style="488" customWidth="1"/>
    <col min="11" max="16384" width="9.140625" style="488" customWidth="1"/>
  </cols>
  <sheetData>
    <row r="1" spans="2:10" ht="17.25" customHeight="1">
      <c r="B1" s="514"/>
      <c r="C1" s="72"/>
      <c r="D1" s="72"/>
      <c r="E1" s="72" t="s">
        <v>128</v>
      </c>
      <c r="G1" s="514"/>
      <c r="H1" s="72"/>
      <c r="I1" s="72"/>
      <c r="J1" s="72" t="s">
        <v>128</v>
      </c>
    </row>
    <row r="2" spans="1:10" ht="17.25" customHeight="1">
      <c r="A2" s="675" t="s">
        <v>129</v>
      </c>
      <c r="B2" s="675"/>
      <c r="C2" s="675"/>
      <c r="D2" s="675"/>
      <c r="E2" s="675"/>
      <c r="F2" s="675" t="s">
        <v>312</v>
      </c>
      <c r="G2" s="675"/>
      <c r="H2" s="675"/>
      <c r="I2" s="675"/>
      <c r="J2" s="675"/>
    </row>
    <row r="3" spans="1:10" s="24" customFormat="1" ht="17.25" customHeight="1">
      <c r="A3" s="514"/>
      <c r="B3" s="543"/>
      <c r="C3" s="107"/>
      <c r="D3" s="107"/>
      <c r="E3" s="107"/>
      <c r="F3" s="514"/>
      <c r="G3" s="543"/>
      <c r="H3" s="107"/>
      <c r="I3" s="107"/>
      <c r="J3" s="107"/>
    </row>
    <row r="4" spans="1:10" ht="17.25" customHeight="1">
      <c r="A4" s="674" t="s">
        <v>130</v>
      </c>
      <c r="B4" s="674"/>
      <c r="C4" s="674"/>
      <c r="D4" s="674"/>
      <c r="E4" s="674"/>
      <c r="F4" s="674" t="s">
        <v>130</v>
      </c>
      <c r="G4" s="674"/>
      <c r="H4" s="674"/>
      <c r="I4" s="674"/>
      <c r="J4" s="674"/>
    </row>
    <row r="5" spans="1:10" s="517" customFormat="1" ht="17.25" customHeight="1">
      <c r="A5" s="674" t="s">
        <v>527</v>
      </c>
      <c r="B5" s="674"/>
      <c r="C5" s="674"/>
      <c r="D5" s="674"/>
      <c r="E5" s="674"/>
      <c r="F5" s="675" t="s">
        <v>527</v>
      </c>
      <c r="G5" s="675"/>
      <c r="H5" s="675"/>
      <c r="I5" s="675"/>
      <c r="J5" s="675"/>
    </row>
    <row r="6" spans="2:10" ht="17.25" customHeight="1">
      <c r="B6" s="545"/>
      <c r="C6" s="24"/>
      <c r="D6" s="107" t="s">
        <v>131</v>
      </c>
      <c r="E6" s="72" t="s">
        <v>599</v>
      </c>
      <c r="G6" s="545"/>
      <c r="H6" s="24"/>
      <c r="I6" s="107" t="s">
        <v>131</v>
      </c>
      <c r="J6" s="72"/>
    </row>
    <row r="7" spans="1:10" s="24" customFormat="1" ht="33.75">
      <c r="A7" s="546" t="s">
        <v>318</v>
      </c>
      <c r="B7" s="525" t="s">
        <v>36</v>
      </c>
      <c r="C7" s="525" t="s">
        <v>404</v>
      </c>
      <c r="D7" s="525" t="s">
        <v>18</v>
      </c>
      <c r="E7" s="34" t="s">
        <v>707</v>
      </c>
      <c r="F7" s="546" t="s">
        <v>318</v>
      </c>
      <c r="G7" s="525" t="s">
        <v>36</v>
      </c>
      <c r="H7" s="525" t="s">
        <v>404</v>
      </c>
      <c r="I7" s="525" t="s">
        <v>18</v>
      </c>
      <c r="J7" s="34" t="s">
        <v>601</v>
      </c>
    </row>
    <row r="8" spans="1:10" ht="17.25" customHeight="1">
      <c r="A8" s="526" t="s">
        <v>88</v>
      </c>
      <c r="B8" s="527" t="s">
        <v>132</v>
      </c>
      <c r="C8" s="527" t="s">
        <v>133</v>
      </c>
      <c r="D8" s="527" t="s">
        <v>134</v>
      </c>
      <c r="E8" s="527" t="s">
        <v>89</v>
      </c>
      <c r="F8" s="526" t="s">
        <v>88</v>
      </c>
      <c r="G8" s="527" t="s">
        <v>132</v>
      </c>
      <c r="H8" s="527" t="s">
        <v>133</v>
      </c>
      <c r="I8" s="527" t="s">
        <v>134</v>
      </c>
      <c r="J8" s="527" t="s">
        <v>89</v>
      </c>
    </row>
    <row r="9" spans="1:10" ht="17.25" customHeight="1">
      <c r="A9" s="529" t="s">
        <v>135</v>
      </c>
      <c r="B9" s="20">
        <f>SUM(B10,B29)</f>
        <v>0</v>
      </c>
      <c r="C9" s="20">
        <f>SUM(C10,C29)</f>
        <v>64864726</v>
      </c>
      <c r="D9" s="359"/>
      <c r="E9" s="20">
        <f>SUM(E10,E29)</f>
        <v>33486892</v>
      </c>
      <c r="F9" s="529" t="s">
        <v>135</v>
      </c>
      <c r="G9" s="20"/>
      <c r="H9" s="20">
        <f>SUM(H10,H29)</f>
        <v>64864</v>
      </c>
      <c r="I9" s="359"/>
      <c r="J9" s="20">
        <f>SUM(J10,J29)</f>
        <v>33488</v>
      </c>
    </row>
    <row r="10" spans="1:10" s="1" customFormat="1" ht="17.25" customHeight="1">
      <c r="A10" s="547" t="s">
        <v>136</v>
      </c>
      <c r="B10" s="20">
        <f>SUM(B11:B27)</f>
        <v>0</v>
      </c>
      <c r="C10" s="20">
        <f>SUM(C11:C27)</f>
        <v>59546929</v>
      </c>
      <c r="D10" s="359"/>
      <c r="E10" s="20">
        <f>SUM(E11:E27)</f>
        <v>30794902</v>
      </c>
      <c r="F10" s="547" t="s">
        <v>136</v>
      </c>
      <c r="G10" s="20"/>
      <c r="H10" s="20">
        <f>SUM(H11:H27)</f>
        <v>59547</v>
      </c>
      <c r="I10" s="359"/>
      <c r="J10" s="20">
        <f>SUM(J11:J27)</f>
        <v>30798</v>
      </c>
    </row>
    <row r="11" spans="1:10" s="28" customFormat="1" ht="17.25" customHeight="1">
      <c r="A11" s="533" t="s">
        <v>137</v>
      </c>
      <c r="B11" s="348"/>
      <c r="C11" s="348">
        <v>6694987</v>
      </c>
      <c r="D11" s="351"/>
      <c r="E11" s="348">
        <f>C11-'[20]Janvāris'!C11</f>
        <v>3429251</v>
      </c>
      <c r="F11" s="533" t="s">
        <v>137</v>
      </c>
      <c r="G11" s="348"/>
      <c r="H11" s="348">
        <f>ROUND(C11/1000,0)</f>
        <v>6695</v>
      </c>
      <c r="I11" s="351"/>
      <c r="J11" s="348">
        <f>H11-'[20]Janvāris'!H11</f>
        <v>3429</v>
      </c>
    </row>
    <row r="12" spans="1:10" s="28" customFormat="1" ht="17.25" customHeight="1">
      <c r="A12" s="533" t="s">
        <v>536</v>
      </c>
      <c r="B12" s="348"/>
      <c r="C12" s="348">
        <v>19592</v>
      </c>
      <c r="D12" s="351"/>
      <c r="E12" s="348">
        <f>C12-'[20]Janvāris'!C12</f>
        <v>-64010</v>
      </c>
      <c r="F12" s="533" t="s">
        <v>536</v>
      </c>
      <c r="G12" s="348"/>
      <c r="H12" s="348">
        <f>ROUND(C12/1000,0)</f>
        <v>20</v>
      </c>
      <c r="I12" s="351"/>
      <c r="J12" s="348">
        <f>H12-'[20]Janvāris'!H12</f>
        <v>-63</v>
      </c>
    </row>
    <row r="13" spans="1:10" s="28" customFormat="1" ht="17.25" customHeight="1">
      <c r="A13" s="533" t="s">
        <v>538</v>
      </c>
      <c r="B13" s="348"/>
      <c r="C13" s="348">
        <v>969071</v>
      </c>
      <c r="D13" s="351"/>
      <c r="E13" s="348">
        <f>C13-'[20]Janvāris'!C13</f>
        <v>502125</v>
      </c>
      <c r="F13" s="533" t="s">
        <v>538</v>
      </c>
      <c r="G13" s="348"/>
      <c r="H13" s="348">
        <f aca="true" t="shared" si="0" ref="H13:H27">ROUND(C13/1000,0)</f>
        <v>969</v>
      </c>
      <c r="I13" s="351"/>
      <c r="J13" s="348">
        <f>H13-'[20]Janvāris'!H13</f>
        <v>502</v>
      </c>
    </row>
    <row r="14" spans="1:10" s="28" customFormat="1" ht="17.25" customHeight="1">
      <c r="A14" s="533" t="s">
        <v>540</v>
      </c>
      <c r="B14" s="348"/>
      <c r="C14" s="348">
        <v>30435070</v>
      </c>
      <c r="D14" s="351"/>
      <c r="E14" s="348">
        <f>C14-'[20]Janvāris'!C14</f>
        <v>16440283</v>
      </c>
      <c r="F14" s="533" t="s">
        <v>540</v>
      </c>
      <c r="G14" s="348"/>
      <c r="H14" s="348">
        <f t="shared" si="0"/>
        <v>30435</v>
      </c>
      <c r="I14" s="351"/>
      <c r="J14" s="348">
        <f>H14-'[20]Janvāris'!H14</f>
        <v>16440</v>
      </c>
    </row>
    <row r="15" spans="1:10" s="28" customFormat="1" ht="17.25" customHeight="1">
      <c r="A15" s="533" t="s">
        <v>542</v>
      </c>
      <c r="B15" s="348"/>
      <c r="C15" s="348">
        <v>1044870</v>
      </c>
      <c r="D15" s="351"/>
      <c r="E15" s="348">
        <f>C15-'[20]Janvāris'!C15</f>
        <v>657691</v>
      </c>
      <c r="F15" s="533" t="s">
        <v>542</v>
      </c>
      <c r="G15" s="348"/>
      <c r="H15" s="348">
        <f t="shared" si="0"/>
        <v>1045</v>
      </c>
      <c r="I15" s="351"/>
      <c r="J15" s="348">
        <f>H15-'[20]Janvāris'!H15</f>
        <v>658</v>
      </c>
    </row>
    <row r="16" spans="1:10" s="28" customFormat="1" ht="17.25" customHeight="1">
      <c r="A16" s="533" t="s">
        <v>544</v>
      </c>
      <c r="B16" s="348"/>
      <c r="C16" s="348">
        <v>5962556</v>
      </c>
      <c r="D16" s="351"/>
      <c r="E16" s="348">
        <f>C16-'[20]Janvāris'!C16</f>
        <v>3101540</v>
      </c>
      <c r="F16" s="533" t="s">
        <v>544</v>
      </c>
      <c r="G16" s="348"/>
      <c r="H16" s="348">
        <f t="shared" si="0"/>
        <v>5963</v>
      </c>
      <c r="I16" s="351"/>
      <c r="J16" s="348">
        <f>H16-'[20]Janvāris'!H16</f>
        <v>3102</v>
      </c>
    </row>
    <row r="17" spans="1:10" s="28" customFormat="1" ht="17.25" customHeight="1">
      <c r="A17" s="533" t="s">
        <v>546</v>
      </c>
      <c r="B17" s="348"/>
      <c r="C17" s="348">
        <v>8107376</v>
      </c>
      <c r="D17" s="351"/>
      <c r="E17" s="348">
        <f>C17-'[20]Janvāris'!C17</f>
        <v>3611013</v>
      </c>
      <c r="F17" s="533" t="s">
        <v>546</v>
      </c>
      <c r="G17" s="348"/>
      <c r="H17" s="348">
        <f t="shared" si="0"/>
        <v>8107</v>
      </c>
      <c r="I17" s="351"/>
      <c r="J17" s="348">
        <f>H17-'[20]Janvāris'!H17</f>
        <v>3611</v>
      </c>
    </row>
    <row r="18" spans="1:10" s="28" customFormat="1" ht="17.25" customHeight="1">
      <c r="A18" s="533" t="s">
        <v>548</v>
      </c>
      <c r="B18" s="348"/>
      <c r="C18" s="348">
        <v>3566861</v>
      </c>
      <c r="D18" s="351"/>
      <c r="E18" s="348">
        <f>C18-'[20]Janvāris'!C18</f>
        <v>1919423</v>
      </c>
      <c r="F18" s="533" t="s">
        <v>548</v>
      </c>
      <c r="G18" s="348"/>
      <c r="H18" s="348">
        <f t="shared" si="0"/>
        <v>3567</v>
      </c>
      <c r="I18" s="351"/>
      <c r="J18" s="348">
        <f>H18-'[20]Janvāris'!H18</f>
        <v>1920</v>
      </c>
    </row>
    <row r="19" spans="1:10" s="28" customFormat="1" ht="17.25" customHeight="1">
      <c r="A19" s="533" t="s">
        <v>550</v>
      </c>
      <c r="B19" s="348"/>
      <c r="C19" s="348">
        <v>132453</v>
      </c>
      <c r="D19" s="351"/>
      <c r="E19" s="348">
        <f>C19-'[20]Janvāris'!C19</f>
        <v>71803</v>
      </c>
      <c r="F19" s="533" t="s">
        <v>550</v>
      </c>
      <c r="G19" s="348"/>
      <c r="H19" s="348">
        <f>ROUND(C19/1000,0)+1</f>
        <v>133</v>
      </c>
      <c r="I19" s="351"/>
      <c r="J19" s="348">
        <f>H19-'[20]Janvāris'!H19</f>
        <v>73</v>
      </c>
    </row>
    <row r="20" spans="1:10" s="28" customFormat="1" ht="25.5">
      <c r="A20" s="533" t="s">
        <v>552</v>
      </c>
      <c r="B20" s="348"/>
      <c r="C20" s="348">
        <v>149306</v>
      </c>
      <c r="D20" s="351"/>
      <c r="E20" s="348">
        <f>C20-'[20]Janvāris'!C20</f>
        <v>90767</v>
      </c>
      <c r="F20" s="533" t="s">
        <v>552</v>
      </c>
      <c r="G20" s="348"/>
      <c r="H20" s="348">
        <f>ROUND(C20/1000,0)</f>
        <v>149</v>
      </c>
      <c r="I20" s="351"/>
      <c r="J20" s="348">
        <f>H20-'[20]Janvāris'!H20</f>
        <v>91</v>
      </c>
    </row>
    <row r="21" spans="1:10" s="28" customFormat="1" ht="25.5">
      <c r="A21" s="533" t="s">
        <v>554</v>
      </c>
      <c r="B21" s="348"/>
      <c r="C21" s="348">
        <v>45461</v>
      </c>
      <c r="D21" s="351"/>
      <c r="E21" s="348">
        <f>C21-'[20]Janvāris'!C21</f>
        <v>43502</v>
      </c>
      <c r="F21" s="533" t="s">
        <v>554</v>
      </c>
      <c r="G21" s="348"/>
      <c r="H21" s="348">
        <f t="shared" si="0"/>
        <v>45</v>
      </c>
      <c r="I21" s="351"/>
      <c r="J21" s="348">
        <f>H21-'[20]Janvāris'!H21</f>
        <v>43</v>
      </c>
    </row>
    <row r="22" spans="1:10" s="28" customFormat="1" ht="17.25" customHeight="1">
      <c r="A22" s="533" t="s">
        <v>138</v>
      </c>
      <c r="B22" s="86"/>
      <c r="C22" s="348">
        <v>1297797</v>
      </c>
      <c r="D22" s="351"/>
      <c r="E22" s="348">
        <f>C22-'[20]Janvāris'!C22</f>
        <v>696054</v>
      </c>
      <c r="F22" s="533" t="s">
        <v>138</v>
      </c>
      <c r="G22" s="86"/>
      <c r="H22" s="348">
        <f t="shared" si="0"/>
        <v>1298</v>
      </c>
      <c r="I22" s="351"/>
      <c r="J22" s="348">
        <f>H22-'[20]Janvāris'!H22</f>
        <v>696</v>
      </c>
    </row>
    <row r="23" spans="1:10" s="28" customFormat="1" ht="17.25" customHeight="1">
      <c r="A23" s="533" t="s">
        <v>558</v>
      </c>
      <c r="B23" s="348"/>
      <c r="C23" s="348">
        <v>152248</v>
      </c>
      <c r="D23" s="351"/>
      <c r="E23" s="348">
        <f>C23-'[20]Janvāris'!C23</f>
        <v>91808</v>
      </c>
      <c r="F23" s="533" t="s">
        <v>558</v>
      </c>
      <c r="G23" s="348"/>
      <c r="H23" s="348">
        <f t="shared" si="0"/>
        <v>152</v>
      </c>
      <c r="I23" s="351"/>
      <c r="J23" s="348">
        <f>H23-'[20]Janvāris'!H23</f>
        <v>92</v>
      </c>
    </row>
    <row r="24" spans="1:10" s="28" customFormat="1" ht="17.25" customHeight="1">
      <c r="A24" s="533" t="s">
        <v>139</v>
      </c>
      <c r="B24" s="348"/>
      <c r="C24" s="348">
        <v>713989</v>
      </c>
      <c r="D24" s="351"/>
      <c r="E24" s="348">
        <f>C24-'[20]Janvāris'!C24</f>
        <v>185251</v>
      </c>
      <c r="F24" s="533" t="s">
        <v>139</v>
      </c>
      <c r="G24" s="348"/>
      <c r="H24" s="348">
        <f t="shared" si="0"/>
        <v>714</v>
      </c>
      <c r="I24" s="351"/>
      <c r="J24" s="348">
        <f>H24-'[20]Janvāris'!H24</f>
        <v>185</v>
      </c>
    </row>
    <row r="25" spans="1:10" s="28" customFormat="1" ht="17.25" customHeight="1">
      <c r="A25" s="533" t="s">
        <v>140</v>
      </c>
      <c r="B25" s="348"/>
      <c r="C25" s="348">
        <v>46809</v>
      </c>
      <c r="D25" s="351"/>
      <c r="E25" s="348">
        <f>C25-'[20]Janvāris'!C25</f>
        <v>-51598</v>
      </c>
      <c r="F25" s="533" t="s">
        <v>140</v>
      </c>
      <c r="G25" s="348"/>
      <c r="H25" s="348">
        <f t="shared" si="0"/>
        <v>47</v>
      </c>
      <c r="I25" s="351"/>
      <c r="J25" s="348">
        <f>H25-'[20]Janvāris'!H25</f>
        <v>-51</v>
      </c>
    </row>
    <row r="26" spans="1:10" s="28" customFormat="1" ht="17.25" customHeight="1">
      <c r="A26" s="533" t="s">
        <v>141</v>
      </c>
      <c r="B26" s="348"/>
      <c r="C26" s="348">
        <v>3012</v>
      </c>
      <c r="D26" s="351"/>
      <c r="E26" s="348">
        <f>C26-'[20]Janvāris'!C26</f>
        <v>503</v>
      </c>
      <c r="F26" s="533" t="s">
        <v>141</v>
      </c>
      <c r="G26" s="348"/>
      <c r="H26" s="348">
        <f>ROUND(C26/1000,0)</f>
        <v>3</v>
      </c>
      <c r="I26" s="351"/>
      <c r="J26" s="348">
        <f>H26-'[20]Janvāris'!H26</f>
        <v>1</v>
      </c>
    </row>
    <row r="27" spans="1:10" s="28" customFormat="1" ht="18.75" customHeight="1">
      <c r="A27" s="89" t="s">
        <v>785</v>
      </c>
      <c r="B27" s="225"/>
      <c r="C27" s="312">
        <v>205471</v>
      </c>
      <c r="D27" s="312"/>
      <c r="E27" s="348">
        <f>C27-'[20]Janvāris'!C27</f>
        <v>69496</v>
      </c>
      <c r="F27" s="89" t="s">
        <v>785</v>
      </c>
      <c r="G27" s="225"/>
      <c r="H27" s="348">
        <f t="shared" si="0"/>
        <v>205</v>
      </c>
      <c r="I27" s="312"/>
      <c r="J27" s="348">
        <f>H27-'[20]Janvāris'!H27</f>
        <v>69</v>
      </c>
    </row>
    <row r="28" spans="1:10" s="28" customFormat="1" ht="17.25" customHeight="1" hidden="1">
      <c r="A28" s="81" t="s">
        <v>712</v>
      </c>
      <c r="B28" s="222"/>
      <c r="C28" s="282"/>
      <c r="D28" s="282"/>
      <c r="E28" s="348">
        <f>C28-'[20]Janvāris'!C28</f>
        <v>0</v>
      </c>
      <c r="F28" s="81" t="s">
        <v>712</v>
      </c>
      <c r="G28" s="222"/>
      <c r="H28" s="282"/>
      <c r="I28" s="282"/>
      <c r="J28" s="348">
        <f>H28-'[20]Janvāris'!H28</f>
        <v>0</v>
      </c>
    </row>
    <row r="29" spans="1:10" s="28" customFormat="1" ht="12.75">
      <c r="A29" s="547" t="s">
        <v>142</v>
      </c>
      <c r="B29" s="20">
        <f>SUM(B30,B34)</f>
        <v>0</v>
      </c>
      <c r="C29" s="20">
        <f>SUM(C30,C34)</f>
        <v>5317797</v>
      </c>
      <c r="D29" s="359"/>
      <c r="E29" s="348">
        <f>SUM(E30,E34)</f>
        <v>2691990</v>
      </c>
      <c r="F29" s="547" t="s">
        <v>142</v>
      </c>
      <c r="G29" s="20"/>
      <c r="H29" s="20">
        <f>SUM(H30,H34)</f>
        <v>5317</v>
      </c>
      <c r="I29" s="359"/>
      <c r="J29" s="20">
        <f>SUM(J30,J34)</f>
        <v>2690</v>
      </c>
    </row>
    <row r="30" spans="1:10" s="28" customFormat="1" ht="12.75">
      <c r="A30" s="529" t="s">
        <v>111</v>
      </c>
      <c r="B30" s="348">
        <f>SUM(B31:B33)</f>
        <v>0</v>
      </c>
      <c r="C30" s="348">
        <f>SUM(C31:C33)</f>
        <v>855345</v>
      </c>
      <c r="D30" s="351"/>
      <c r="E30" s="348">
        <f>SUM(E31:E33)</f>
        <v>460763</v>
      </c>
      <c r="F30" s="529" t="s">
        <v>111</v>
      </c>
      <c r="G30" s="20"/>
      <c r="H30" s="20">
        <f>SUM(H31:H33)</f>
        <v>855</v>
      </c>
      <c r="I30" s="359"/>
      <c r="J30" s="20">
        <f>SUM(J31:J33)</f>
        <v>459</v>
      </c>
    </row>
    <row r="31" spans="1:10" s="28" customFormat="1" ht="25.5">
      <c r="A31" s="548" t="s">
        <v>143</v>
      </c>
      <c r="B31" s="348"/>
      <c r="C31" s="348">
        <v>667852</v>
      </c>
      <c r="D31" s="351"/>
      <c r="E31" s="348">
        <f>C31-'[20]Janvāris'!C31</f>
        <v>364342</v>
      </c>
      <c r="F31" s="548" t="s">
        <v>143</v>
      </c>
      <c r="G31" s="348"/>
      <c r="H31" s="348">
        <f aca="true" t="shared" si="1" ref="H31:H36">ROUND(C31/1000,0)</f>
        <v>668</v>
      </c>
      <c r="I31" s="351"/>
      <c r="J31" s="348">
        <f>H31-'[20]Janvāris'!H31</f>
        <v>364</v>
      </c>
    </row>
    <row r="32" spans="1:10" s="28" customFormat="1" ht="25.5">
      <c r="A32" s="548" t="s">
        <v>144</v>
      </c>
      <c r="B32" s="348"/>
      <c r="C32" s="348">
        <v>91623</v>
      </c>
      <c r="D32" s="351"/>
      <c r="E32" s="348">
        <f>C32-'[20]Janvāris'!C32</f>
        <v>49062</v>
      </c>
      <c r="F32" s="548" t="s">
        <v>144</v>
      </c>
      <c r="G32" s="348"/>
      <c r="H32" s="348">
        <f>ROUND(C32/1000,0)-1</f>
        <v>91</v>
      </c>
      <c r="I32" s="351"/>
      <c r="J32" s="348">
        <f>H32-'[20]Janvāris'!H32</f>
        <v>48</v>
      </c>
    </row>
    <row r="33" spans="1:10" s="28" customFormat="1" ht="12.75">
      <c r="A33" s="548" t="s">
        <v>114</v>
      </c>
      <c r="B33" s="348"/>
      <c r="C33" s="348">
        <v>95870</v>
      </c>
      <c r="D33" s="351"/>
      <c r="E33" s="348">
        <f>C33-'[20]Janvāris'!C33</f>
        <v>47359</v>
      </c>
      <c r="F33" s="548" t="s">
        <v>114</v>
      </c>
      <c r="G33" s="348"/>
      <c r="H33" s="348">
        <f t="shared" si="1"/>
        <v>96</v>
      </c>
      <c r="I33" s="351"/>
      <c r="J33" s="348">
        <f>H33-'[20]Janvāris'!H33</f>
        <v>47</v>
      </c>
    </row>
    <row r="34" spans="1:10" s="28" customFormat="1" ht="25.5">
      <c r="A34" s="529" t="s">
        <v>145</v>
      </c>
      <c r="B34" s="20">
        <f>SUM(B35:B36)</f>
        <v>0</v>
      </c>
      <c r="C34" s="20">
        <f>SUM(C35:C36)</f>
        <v>4462452</v>
      </c>
      <c r="D34" s="359"/>
      <c r="E34" s="20">
        <f>SUM(E35:E36)</f>
        <v>2231227</v>
      </c>
      <c r="F34" s="529" t="s">
        <v>145</v>
      </c>
      <c r="G34" s="20"/>
      <c r="H34" s="20">
        <f>SUM(H35:H36)</f>
        <v>4462</v>
      </c>
      <c r="I34" s="359"/>
      <c r="J34" s="20">
        <f>SUM(J35:J36)</f>
        <v>2231</v>
      </c>
    </row>
    <row r="35" spans="1:10" s="28" customFormat="1" ht="12.75">
      <c r="A35" s="533" t="s">
        <v>146</v>
      </c>
      <c r="B35" s="348"/>
      <c r="C35" s="348">
        <v>4462452</v>
      </c>
      <c r="D35" s="351"/>
      <c r="E35" s="348">
        <f>C35-'[20]Janvāris'!C35</f>
        <v>2231227</v>
      </c>
      <c r="F35" s="533" t="s">
        <v>146</v>
      </c>
      <c r="G35" s="348"/>
      <c r="H35" s="348">
        <f t="shared" si="1"/>
        <v>4462</v>
      </c>
      <c r="I35" s="351"/>
      <c r="J35" s="348">
        <f>H35-'[20]Janvāris'!H35</f>
        <v>2231</v>
      </c>
    </row>
    <row r="36" spans="1:10" s="106" customFormat="1" ht="12.75">
      <c r="A36" s="548" t="s">
        <v>147</v>
      </c>
      <c r="B36" s="369"/>
      <c r="C36" s="549"/>
      <c r="D36" s="550"/>
      <c r="E36" s="348">
        <f>C36-'[20]Janvāris'!C36</f>
        <v>0</v>
      </c>
      <c r="F36" s="548" t="s">
        <v>147</v>
      </c>
      <c r="G36" s="369"/>
      <c r="H36" s="348">
        <f t="shared" si="1"/>
        <v>0</v>
      </c>
      <c r="I36" s="550"/>
      <c r="J36" s="348">
        <f>H36-'[20]Janvāris'!H36</f>
        <v>0</v>
      </c>
    </row>
    <row r="37" spans="1:10" s="106" customFormat="1" ht="17.25" customHeight="1">
      <c r="A37" s="551"/>
      <c r="B37" s="447"/>
      <c r="C37" s="447"/>
      <c r="D37" s="447"/>
      <c r="E37" s="447"/>
      <c r="F37" s="551"/>
      <c r="G37" s="447"/>
      <c r="H37" s="447"/>
      <c r="I37" s="447"/>
      <c r="J37" s="447"/>
    </row>
    <row r="38" spans="1:10" s="28" customFormat="1" ht="17.25" customHeight="1">
      <c r="A38" s="1"/>
      <c r="C38" s="552"/>
      <c r="E38" s="488"/>
      <c r="F38" s="1"/>
      <c r="H38" s="552"/>
      <c r="J38" s="488"/>
    </row>
    <row r="39" spans="1:10" s="28" customFormat="1" ht="17.25" customHeight="1">
      <c r="A39" s="553"/>
      <c r="B39" s="554"/>
      <c r="C39" s="552"/>
      <c r="D39" s="447"/>
      <c r="E39" s="488"/>
      <c r="F39" s="553"/>
      <c r="G39" s="554"/>
      <c r="H39" s="552"/>
      <c r="I39" s="447"/>
      <c r="J39" s="488"/>
    </row>
    <row r="40" spans="1:10" s="28" customFormat="1" ht="17.25" customHeight="1">
      <c r="A40" s="553"/>
      <c r="B40" s="554"/>
      <c r="C40" s="552"/>
      <c r="D40" s="447"/>
      <c r="E40" s="488"/>
      <c r="F40" s="553"/>
      <c r="G40" s="554"/>
      <c r="H40" s="552"/>
      <c r="I40" s="447"/>
      <c r="J40" s="488"/>
    </row>
    <row r="41" spans="1:10" s="28" customFormat="1" ht="17.25" customHeight="1">
      <c r="A41" s="513"/>
      <c r="B41" s="552"/>
      <c r="C41" s="447"/>
      <c r="E41" s="488"/>
      <c r="F41" s="513"/>
      <c r="G41" s="552"/>
      <c r="H41" s="447"/>
      <c r="J41" s="488"/>
    </row>
    <row r="42" spans="1:9" s="28" customFormat="1" ht="17.25" customHeight="1">
      <c r="A42" s="64" t="s">
        <v>644</v>
      </c>
      <c r="B42" s="4"/>
      <c r="C42" s="4"/>
      <c r="D42" s="4" t="s">
        <v>645</v>
      </c>
      <c r="F42" s="64" t="s">
        <v>148</v>
      </c>
      <c r="G42" s="4"/>
      <c r="H42" s="4"/>
      <c r="I42" s="4" t="s">
        <v>348</v>
      </c>
    </row>
    <row r="43" spans="1:10" s="28" customFormat="1" ht="17.25" customHeight="1">
      <c r="A43" s="513"/>
      <c r="B43" s="555"/>
      <c r="C43" s="171"/>
      <c r="D43" s="171"/>
      <c r="E43" s="488"/>
      <c r="F43" s="513"/>
      <c r="G43" s="555"/>
      <c r="H43" s="171"/>
      <c r="I43" s="171"/>
      <c r="J43" s="488"/>
    </row>
    <row r="44" spans="1:10" s="28" customFormat="1" ht="17.25" customHeight="1">
      <c r="A44" s="513"/>
      <c r="B44" s="552"/>
      <c r="E44" s="488"/>
      <c r="F44" s="513"/>
      <c r="G44" s="552"/>
      <c r="J44" s="488"/>
    </row>
    <row r="45" spans="1:10" s="28" customFormat="1" ht="17.25" customHeight="1">
      <c r="A45" s="513"/>
      <c r="B45" s="555"/>
      <c r="C45" s="171"/>
      <c r="D45" s="171"/>
      <c r="E45" s="488"/>
      <c r="F45" s="513"/>
      <c r="G45" s="555"/>
      <c r="H45" s="171"/>
      <c r="I45" s="171"/>
      <c r="J45" s="488"/>
    </row>
    <row r="46" spans="1:10" s="28" customFormat="1" ht="17.25" customHeight="1">
      <c r="A46" s="513"/>
      <c r="B46" s="555"/>
      <c r="C46" s="171"/>
      <c r="E46" s="488"/>
      <c r="F46" s="513"/>
      <c r="G46" s="555"/>
      <c r="H46" s="171"/>
      <c r="J46" s="488"/>
    </row>
    <row r="47" spans="2:9" ht="17.25" customHeight="1">
      <c r="B47" s="556"/>
      <c r="C47" s="541"/>
      <c r="D47" s="171"/>
      <c r="G47" s="556"/>
      <c r="H47" s="541"/>
      <c r="I47" s="171"/>
    </row>
  </sheetData>
  <mergeCells count="6">
    <mergeCell ref="A5:E5"/>
    <mergeCell ref="F5:J5"/>
    <mergeCell ref="A2:E2"/>
    <mergeCell ref="F2:J2"/>
    <mergeCell ref="A4:E4"/>
    <mergeCell ref="F4:J4"/>
  </mergeCells>
  <printOptions/>
  <pageMargins left="0.75" right="0.19" top="1" bottom="0.35" header="0.5" footer="0.28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">
      <selection activeCell="F12" sqref="F12"/>
    </sheetView>
  </sheetViews>
  <sheetFormatPr defaultColWidth="9.140625" defaultRowHeight="17.25" customHeight="1"/>
  <cols>
    <col min="1" max="1" width="40.28125" style="513" hidden="1" customWidth="1"/>
    <col min="2" max="2" width="8.8515625" style="488" hidden="1" customWidth="1"/>
    <col min="3" max="3" width="12.28125" style="488" hidden="1" customWidth="1"/>
    <col min="4" max="4" width="10.7109375" style="488" hidden="1" customWidth="1"/>
    <col min="5" max="5" width="11.57421875" style="488" hidden="1" customWidth="1"/>
    <col min="6" max="6" width="40.28125" style="513" customWidth="1"/>
    <col min="7" max="7" width="8.8515625" style="488" customWidth="1"/>
    <col min="8" max="8" width="12.28125" style="488" customWidth="1"/>
    <col min="9" max="9" width="10.7109375" style="488" customWidth="1"/>
    <col min="10" max="10" width="11.57421875" style="488" customWidth="1"/>
    <col min="11" max="16384" width="9.140625" style="488" customWidth="1"/>
  </cols>
  <sheetData>
    <row r="1" spans="1:10" s="24" customFormat="1" ht="17.25" customHeight="1">
      <c r="A1" s="1"/>
      <c r="B1" s="72"/>
      <c r="C1" s="72"/>
      <c r="D1" s="72"/>
      <c r="E1" s="3" t="s">
        <v>149</v>
      </c>
      <c r="F1" s="1"/>
      <c r="G1" s="72"/>
      <c r="H1" s="72"/>
      <c r="I1" s="72"/>
      <c r="J1" s="3" t="s">
        <v>149</v>
      </c>
    </row>
    <row r="2" spans="1:10" s="1" customFormat="1" ht="17.25" customHeight="1">
      <c r="A2" s="514" t="s">
        <v>150</v>
      </c>
      <c r="B2" s="72"/>
      <c r="C2" s="72"/>
      <c r="D2" s="72"/>
      <c r="E2" s="558"/>
      <c r="F2" s="514" t="s">
        <v>150</v>
      </c>
      <c r="G2" s="72"/>
      <c r="H2" s="72"/>
      <c r="I2" s="72"/>
      <c r="J2" s="558"/>
    </row>
    <row r="3" spans="1:10" s="24" customFormat="1" ht="17.25" customHeight="1">
      <c r="A3" s="513"/>
      <c r="D3" s="107"/>
      <c r="E3" s="107"/>
      <c r="F3" s="513"/>
      <c r="I3" s="107"/>
      <c r="J3" s="107"/>
    </row>
    <row r="4" spans="1:10" s="517" customFormat="1" ht="17.25" customHeight="1">
      <c r="A4" s="674" t="s">
        <v>151</v>
      </c>
      <c r="B4" s="674"/>
      <c r="C4" s="674"/>
      <c r="D4" s="674"/>
      <c r="E4" s="674"/>
      <c r="F4" s="674" t="s">
        <v>151</v>
      </c>
      <c r="G4" s="674"/>
      <c r="H4" s="674"/>
      <c r="I4" s="674"/>
      <c r="J4" s="674"/>
    </row>
    <row r="5" spans="1:10" s="517" customFormat="1" ht="17.25" customHeight="1">
      <c r="A5" s="674" t="s">
        <v>152</v>
      </c>
      <c r="B5" s="674"/>
      <c r="C5" s="674"/>
      <c r="D5" s="674"/>
      <c r="E5" s="674"/>
      <c r="F5" s="675" t="s">
        <v>152</v>
      </c>
      <c r="G5" s="675"/>
      <c r="H5" s="675"/>
      <c r="I5" s="675"/>
      <c r="J5" s="675"/>
    </row>
    <row r="6" spans="1:10" s="24" customFormat="1" ht="17.25" customHeight="1">
      <c r="A6" s="513"/>
      <c r="C6" s="107" t="s">
        <v>153</v>
      </c>
      <c r="D6" s="107"/>
      <c r="E6" s="72" t="s">
        <v>599</v>
      </c>
      <c r="F6" s="513"/>
      <c r="I6" s="107"/>
      <c r="J6" s="6" t="s">
        <v>317</v>
      </c>
    </row>
    <row r="7" spans="1:10" s="24" customFormat="1" ht="33.75">
      <c r="A7" s="546" t="s">
        <v>318</v>
      </c>
      <c r="B7" s="525" t="s">
        <v>36</v>
      </c>
      <c r="C7" s="525" t="s">
        <v>404</v>
      </c>
      <c r="D7" s="525" t="s">
        <v>18</v>
      </c>
      <c r="E7" s="34" t="s">
        <v>601</v>
      </c>
      <c r="F7" s="546" t="s">
        <v>318</v>
      </c>
      <c r="G7" s="525" t="s">
        <v>36</v>
      </c>
      <c r="H7" s="525" t="s">
        <v>404</v>
      </c>
      <c r="I7" s="525" t="s">
        <v>18</v>
      </c>
      <c r="J7" s="34" t="s">
        <v>601</v>
      </c>
    </row>
    <row r="8" spans="1:10" s="1" customFormat="1" ht="17.25" customHeight="1">
      <c r="A8" s="526" t="s">
        <v>88</v>
      </c>
      <c r="B8" s="527" t="s">
        <v>132</v>
      </c>
      <c r="C8" s="527" t="s">
        <v>133</v>
      </c>
      <c r="D8" s="527" t="s">
        <v>134</v>
      </c>
      <c r="E8" s="527" t="s">
        <v>89</v>
      </c>
      <c r="F8" s="526" t="s">
        <v>88</v>
      </c>
      <c r="G8" s="527" t="s">
        <v>132</v>
      </c>
      <c r="H8" s="527" t="s">
        <v>133</v>
      </c>
      <c r="I8" s="527" t="s">
        <v>134</v>
      </c>
      <c r="J8" s="527" t="s">
        <v>89</v>
      </c>
    </row>
    <row r="9" spans="1:10" s="1" customFormat="1" ht="17.25" customHeight="1">
      <c r="A9" s="529" t="s">
        <v>794</v>
      </c>
      <c r="B9" s="348"/>
      <c r="C9" s="20">
        <f>'[18]Februāris'!$C$9</f>
        <v>68635906</v>
      </c>
      <c r="D9" s="351"/>
      <c r="E9" s="20">
        <f>C9-'[19]Janvāris'!C9</f>
        <v>34890458</v>
      </c>
      <c r="F9" s="529" t="s">
        <v>794</v>
      </c>
      <c r="G9" s="348"/>
      <c r="H9" s="20">
        <f>ROUND(C9/1000,0)</f>
        <v>68636</v>
      </c>
      <c r="I9" s="359"/>
      <c r="J9" s="20">
        <f>H9-'[19]Janvāris'!H9</f>
        <v>34890</v>
      </c>
    </row>
    <row r="10" spans="1:10" s="1" customFormat="1" ht="17.25" customHeight="1">
      <c r="A10" s="529" t="s">
        <v>154</v>
      </c>
      <c r="B10" s="348"/>
      <c r="C10" s="20">
        <f>SUM(C11,C26)</f>
        <v>64917584</v>
      </c>
      <c r="D10" s="359"/>
      <c r="E10" s="20">
        <f>SUM(E11,E26)</f>
        <v>32663725</v>
      </c>
      <c r="F10" s="529" t="s">
        <v>154</v>
      </c>
      <c r="G10" s="348"/>
      <c r="H10" s="20">
        <f>SUM(H11,H26)</f>
        <v>64917</v>
      </c>
      <c r="I10" s="359"/>
      <c r="J10" s="20">
        <f>SUM(J11,J26)</f>
        <v>32665</v>
      </c>
    </row>
    <row r="11" spans="1:10" s="538" customFormat="1" ht="17.25" customHeight="1">
      <c r="A11" s="547" t="s">
        <v>798</v>
      </c>
      <c r="B11" s="348"/>
      <c r="C11" s="20">
        <f>SUM(C12,C18,C19)</f>
        <v>58398142</v>
      </c>
      <c r="D11" s="359"/>
      <c r="E11" s="20">
        <f>SUM(E12,E18,E19)</f>
        <v>29678885</v>
      </c>
      <c r="F11" s="547" t="s">
        <v>798</v>
      </c>
      <c r="G11" s="348"/>
      <c r="H11" s="20">
        <f>SUM(H12,H18,H19)</f>
        <v>58398</v>
      </c>
      <c r="I11" s="359"/>
      <c r="J11" s="20">
        <f>SUM(J12,J18,J19)</f>
        <v>29680</v>
      </c>
    </row>
    <row r="12" spans="1:10" s="538" customFormat="1" ht="17.25" customHeight="1">
      <c r="A12" s="547" t="s">
        <v>574</v>
      </c>
      <c r="B12" s="348"/>
      <c r="C12" s="20">
        <f>SUM(C13,C14,C15)</f>
        <v>45490695</v>
      </c>
      <c r="D12" s="359"/>
      <c r="E12" s="20">
        <f>SUM(E13,E14,E15)</f>
        <v>24084849</v>
      </c>
      <c r="F12" s="547" t="s">
        <v>574</v>
      </c>
      <c r="G12" s="348"/>
      <c r="H12" s="20">
        <f>SUM(H13,H14,H15)</f>
        <v>45491</v>
      </c>
      <c r="I12" s="359"/>
      <c r="J12" s="20">
        <f>SUM(J13,J14,J15)</f>
        <v>24084</v>
      </c>
    </row>
    <row r="13" spans="1:10" ht="12.75">
      <c r="A13" s="548" t="s">
        <v>155</v>
      </c>
      <c r="B13" s="348"/>
      <c r="C13" s="348">
        <v>23554221</v>
      </c>
      <c r="D13" s="351"/>
      <c r="E13" s="348">
        <f>C13-'[19]Janvāris'!C13</f>
        <v>12509844</v>
      </c>
      <c r="F13" s="548" t="s">
        <v>155</v>
      </c>
      <c r="G13" s="348"/>
      <c r="H13" s="348">
        <f>ROUND(C13/1000,0)</f>
        <v>23554</v>
      </c>
      <c r="I13" s="351"/>
      <c r="J13" s="348">
        <f>H13-'[19]Janvāris'!H13</f>
        <v>12510</v>
      </c>
    </row>
    <row r="14" spans="1:10" ht="25.5">
      <c r="A14" s="548" t="s">
        <v>156</v>
      </c>
      <c r="B14" s="348"/>
      <c r="C14" s="348">
        <v>5991894</v>
      </c>
      <c r="D14" s="351"/>
      <c r="E14" s="348">
        <f>C14-'[19]Janvāris'!C14</f>
        <v>3114073</v>
      </c>
      <c r="F14" s="548" t="s">
        <v>156</v>
      </c>
      <c r="G14" s="348"/>
      <c r="H14" s="348">
        <f>ROUND(C14/1000,0)</f>
        <v>5992</v>
      </c>
      <c r="I14" s="351"/>
      <c r="J14" s="348">
        <f>H14-'[19]Janvāris'!H14</f>
        <v>3114</v>
      </c>
    </row>
    <row r="15" spans="1:10" ht="17.25" customHeight="1">
      <c r="A15" s="548" t="s">
        <v>157</v>
      </c>
      <c r="B15" s="348"/>
      <c r="C15" s="348">
        <f>SUM(C16:C17)</f>
        <v>15944580</v>
      </c>
      <c r="D15" s="351"/>
      <c r="E15" s="348">
        <f>SUM(E16:E17)</f>
        <v>8460932</v>
      </c>
      <c r="F15" s="548" t="s">
        <v>157</v>
      </c>
      <c r="G15" s="348"/>
      <c r="H15" s="348">
        <f>SUM(H16:H17)</f>
        <v>15945</v>
      </c>
      <c r="I15" s="351"/>
      <c r="J15" s="348">
        <f>H15-'[19]Janvāris'!H15-1</f>
        <v>8460</v>
      </c>
    </row>
    <row r="16" spans="1:10" ht="25.5">
      <c r="A16" s="559" t="s">
        <v>158</v>
      </c>
      <c r="B16" s="348"/>
      <c r="C16" s="348">
        <f>6026145+9663670-86704</f>
        <v>15603111</v>
      </c>
      <c r="D16" s="351"/>
      <c r="E16" s="348">
        <f>C16-'[19]Janvāris'!C16</f>
        <v>8276557</v>
      </c>
      <c r="F16" s="559" t="s">
        <v>158</v>
      </c>
      <c r="G16" s="348"/>
      <c r="H16" s="348">
        <f>ROUND(C16/1000,0)</f>
        <v>15603</v>
      </c>
      <c r="I16" s="351"/>
      <c r="J16" s="348">
        <f>H16-'[19]Janvāris'!H16</f>
        <v>8276</v>
      </c>
    </row>
    <row r="17" spans="1:10" ht="12.75">
      <c r="A17" s="559" t="s">
        <v>159</v>
      </c>
      <c r="B17" s="348"/>
      <c r="C17" s="348">
        <f>138982+201035+1452</f>
        <v>341469</v>
      </c>
      <c r="D17" s="351"/>
      <c r="E17" s="348">
        <f>C17-'[19]Janvāris'!C17</f>
        <v>184375</v>
      </c>
      <c r="F17" s="559" t="s">
        <v>159</v>
      </c>
      <c r="G17" s="348"/>
      <c r="H17" s="348">
        <f>ROUND(C17/1000,0)+1</f>
        <v>342</v>
      </c>
      <c r="I17" s="351"/>
      <c r="J17" s="348">
        <f>H17-'[19]Janvāris'!H17-1</f>
        <v>184</v>
      </c>
    </row>
    <row r="18" spans="1:10" ht="25.5">
      <c r="A18" s="547" t="s">
        <v>160</v>
      </c>
      <c r="B18" s="348"/>
      <c r="C18" s="20">
        <v>771900</v>
      </c>
      <c r="D18" s="351"/>
      <c r="E18" s="348">
        <f>C18-'[19]Janvāris'!C18</f>
        <v>111626</v>
      </c>
      <c r="F18" s="547" t="s">
        <v>160</v>
      </c>
      <c r="G18" s="348"/>
      <c r="H18" s="20">
        <f>ROUND(C18/1000,0)</f>
        <v>772</v>
      </c>
      <c r="I18" s="359"/>
      <c r="J18" s="20">
        <f>ROUND(E18/1000,0)</f>
        <v>112</v>
      </c>
    </row>
    <row r="19" spans="1:10" ht="12.75">
      <c r="A19" s="547" t="s">
        <v>585</v>
      </c>
      <c r="B19" s="348"/>
      <c r="C19" s="20">
        <f>SUM(C20:C25)</f>
        <v>12135547</v>
      </c>
      <c r="D19" s="351"/>
      <c r="E19" s="348">
        <f>SUM(E20:E24)</f>
        <v>5482410</v>
      </c>
      <c r="F19" s="547" t="s">
        <v>585</v>
      </c>
      <c r="G19" s="348"/>
      <c r="H19" s="20">
        <f>SUM(H20:H25)</f>
        <v>12135</v>
      </c>
      <c r="I19" s="359"/>
      <c r="J19" s="20">
        <f>SUM(J20:J24)</f>
        <v>5484</v>
      </c>
    </row>
    <row r="20" spans="1:10" ht="12.75">
      <c r="A20" s="548" t="s">
        <v>161</v>
      </c>
      <c r="B20" s="348"/>
      <c r="C20" s="348">
        <v>38125</v>
      </c>
      <c r="D20" s="351"/>
      <c r="E20" s="348">
        <f>C20-'[19]Janvāris'!C20</f>
        <v>-15782</v>
      </c>
      <c r="F20" s="548" t="s">
        <v>161</v>
      </c>
      <c r="G20" s="348"/>
      <c r="H20" s="348">
        <f aca="true" t="shared" si="0" ref="H20:H25">ROUND(C20/1000,0)</f>
        <v>38</v>
      </c>
      <c r="I20" s="351"/>
      <c r="J20" s="348">
        <f>H20-'[19]Janvāris'!H20</f>
        <v>-15</v>
      </c>
    </row>
    <row r="21" spans="1:10" ht="12.75">
      <c r="A21" s="548" t="s">
        <v>162</v>
      </c>
      <c r="B21" s="348"/>
      <c r="C21" s="348">
        <v>829807</v>
      </c>
      <c r="D21" s="351"/>
      <c r="E21" s="348">
        <f>C21-'[19]Janvāris'!C21</f>
        <v>371651</v>
      </c>
      <c r="F21" s="548" t="s">
        <v>162</v>
      </c>
      <c r="G21" s="348"/>
      <c r="H21" s="348">
        <f t="shared" si="0"/>
        <v>830</v>
      </c>
      <c r="I21" s="351"/>
      <c r="J21" s="348">
        <f>H21-'[19]Janvāris'!H21</f>
        <v>372</v>
      </c>
    </row>
    <row r="22" spans="1:10" ht="12.75">
      <c r="A22" s="548" t="s">
        <v>163</v>
      </c>
      <c r="B22" s="348"/>
      <c r="C22" s="348">
        <v>4462452</v>
      </c>
      <c r="D22" s="351"/>
      <c r="E22" s="348">
        <f>C22-'[19]Janvāris'!C22</f>
        <v>2231227</v>
      </c>
      <c r="F22" s="548" t="s">
        <v>163</v>
      </c>
      <c r="G22" s="348"/>
      <c r="H22" s="348">
        <f t="shared" si="0"/>
        <v>4462</v>
      </c>
      <c r="I22" s="351"/>
      <c r="J22" s="348">
        <f>H22-'[19]Janvāris'!H22</f>
        <v>2231</v>
      </c>
    </row>
    <row r="23" spans="1:10" ht="25.5">
      <c r="A23" s="548" t="s">
        <v>164</v>
      </c>
      <c r="B23" s="348"/>
      <c r="C23" s="348">
        <v>2911111</v>
      </c>
      <c r="D23" s="351"/>
      <c r="E23" s="348">
        <f>C23-'[19]Janvāris'!C23</f>
        <v>1428893</v>
      </c>
      <c r="F23" s="548" t="s">
        <v>164</v>
      </c>
      <c r="G23" s="348"/>
      <c r="H23" s="348">
        <f t="shared" si="0"/>
        <v>2911</v>
      </c>
      <c r="I23" s="351"/>
      <c r="J23" s="348">
        <f>H23-'[19]Janvāris'!H23</f>
        <v>1429</v>
      </c>
    </row>
    <row r="24" spans="1:10" ht="12.75">
      <c r="A24" s="548" t="s">
        <v>165</v>
      </c>
      <c r="B24" s="348"/>
      <c r="C24" s="348">
        <v>3038707</v>
      </c>
      <c r="D24" s="351"/>
      <c r="E24" s="348">
        <f>C24-'[19]Janvāris'!C24</f>
        <v>1466421</v>
      </c>
      <c r="F24" s="548" t="s">
        <v>165</v>
      </c>
      <c r="G24" s="348"/>
      <c r="H24" s="348">
        <f t="shared" si="0"/>
        <v>3039</v>
      </c>
      <c r="I24" s="351"/>
      <c r="J24" s="348">
        <f>H24-'[19]Janvāris'!H24</f>
        <v>1467</v>
      </c>
    </row>
    <row r="25" spans="1:10" ht="15.75" customHeight="1">
      <c r="A25" s="548" t="s">
        <v>166</v>
      </c>
      <c r="B25" s="348"/>
      <c r="C25" s="348">
        <v>855345</v>
      </c>
      <c r="D25" s="351"/>
      <c r="E25" s="348">
        <f>C25-'[19]Janvāris'!C25</f>
        <v>835297</v>
      </c>
      <c r="F25" s="548" t="s">
        <v>166</v>
      </c>
      <c r="G25" s="348"/>
      <c r="H25" s="348">
        <f t="shared" si="0"/>
        <v>855</v>
      </c>
      <c r="I25" s="351"/>
      <c r="J25" s="348">
        <f>H25-'[19]Janvāris'!H25</f>
        <v>855</v>
      </c>
    </row>
    <row r="26" spans="1:10" s="538" customFormat="1" ht="12.75">
      <c r="A26" s="547" t="s">
        <v>813</v>
      </c>
      <c r="B26" s="348"/>
      <c r="C26" s="20">
        <f>SUM(C27:C28)</f>
        <v>6519442</v>
      </c>
      <c r="D26" s="351"/>
      <c r="E26" s="348">
        <f>SUM(E27:E28)</f>
        <v>2984840</v>
      </c>
      <c r="F26" s="547" t="s">
        <v>813</v>
      </c>
      <c r="G26" s="20"/>
      <c r="H26" s="20">
        <f>SUM(H27:H28)</f>
        <v>6519</v>
      </c>
      <c r="I26" s="359"/>
      <c r="J26" s="20">
        <f>SUM(J27:J28)</f>
        <v>2985</v>
      </c>
    </row>
    <row r="27" spans="1:10" s="538" customFormat="1" ht="12.75">
      <c r="A27" s="548" t="s">
        <v>167</v>
      </c>
      <c r="B27" s="348"/>
      <c r="C27" s="348">
        <f>1865381+22035</f>
        <v>1887416</v>
      </c>
      <c r="D27" s="351"/>
      <c r="E27" s="348">
        <f>C27-'[19]Janvāris'!C27</f>
        <v>861633</v>
      </c>
      <c r="F27" s="548" t="s">
        <v>167</v>
      </c>
      <c r="G27" s="348"/>
      <c r="H27" s="348">
        <f>ROUND(C27/1000,0)</f>
        <v>1887</v>
      </c>
      <c r="I27" s="351"/>
      <c r="J27" s="348">
        <f>H27-'[19]Janvāris'!H27</f>
        <v>862</v>
      </c>
    </row>
    <row r="28" spans="1:10" ht="17.25" customHeight="1">
      <c r="A28" s="548" t="s">
        <v>593</v>
      </c>
      <c r="B28" s="348"/>
      <c r="C28" s="348">
        <v>4632026</v>
      </c>
      <c r="D28" s="351"/>
      <c r="E28" s="348">
        <f>C28-'[19]Janvāris'!C28</f>
        <v>2123207</v>
      </c>
      <c r="F28" s="548" t="s">
        <v>593</v>
      </c>
      <c r="G28" s="348"/>
      <c r="H28" s="348">
        <f>ROUND(C28/1000,0)</f>
        <v>4632</v>
      </c>
      <c r="I28" s="351"/>
      <c r="J28" s="348">
        <f>H28-'[19]Janvāris'!H28</f>
        <v>2123</v>
      </c>
    </row>
    <row r="29" spans="1:10" s="538" customFormat="1" ht="12.75">
      <c r="A29" s="547" t="s">
        <v>168</v>
      </c>
      <c r="B29" s="348"/>
      <c r="C29" s="20">
        <f>C30-C31</f>
        <v>-52858</v>
      </c>
      <c r="D29" s="351"/>
      <c r="E29" s="348">
        <f>E30-E31</f>
        <v>-33281</v>
      </c>
      <c r="F29" s="547" t="s">
        <v>168</v>
      </c>
      <c r="G29" s="20"/>
      <c r="H29" s="20">
        <f>H30-H31</f>
        <v>-53</v>
      </c>
      <c r="I29" s="359"/>
      <c r="J29" s="20">
        <f>J30-J31</f>
        <v>-33</v>
      </c>
    </row>
    <row r="30" spans="1:10" ht="12.75">
      <c r="A30" s="548" t="s">
        <v>169</v>
      </c>
      <c r="B30" s="348"/>
      <c r="C30" s="348">
        <v>27735</v>
      </c>
      <c r="D30" s="351"/>
      <c r="E30" s="348">
        <f>C30-'[19]Janvāris'!C30</f>
        <v>7260</v>
      </c>
      <c r="F30" s="548" t="s">
        <v>169</v>
      </c>
      <c r="G30" s="348"/>
      <c r="H30" s="348">
        <f>ROUND(C30/1000,0)</f>
        <v>28</v>
      </c>
      <c r="I30" s="351"/>
      <c r="J30" s="348">
        <f>H30-'[19]Janvāris'!H30</f>
        <v>8</v>
      </c>
    </row>
    <row r="31" spans="1:10" ht="12.75">
      <c r="A31" s="548" t="s">
        <v>170</v>
      </c>
      <c r="B31" s="348"/>
      <c r="C31" s="348">
        <v>80593</v>
      </c>
      <c r="D31" s="351"/>
      <c r="E31" s="348">
        <f>C31-'[19]Janvāris'!C31</f>
        <v>40541</v>
      </c>
      <c r="F31" s="548" t="s">
        <v>170</v>
      </c>
      <c r="G31" s="348"/>
      <c r="H31" s="348">
        <f>ROUND(C31/1000,0)</f>
        <v>81</v>
      </c>
      <c r="I31" s="351"/>
      <c r="J31" s="348">
        <f>H31-'[19]Janvāris'!H31</f>
        <v>41</v>
      </c>
    </row>
    <row r="32" spans="1:10" ht="12.75">
      <c r="A32" s="547" t="s">
        <v>693</v>
      </c>
      <c r="B32" s="348"/>
      <c r="C32" s="348">
        <f>C9-C10-C25-C29</f>
        <v>2915835</v>
      </c>
      <c r="D32" s="351"/>
      <c r="E32" s="348">
        <f>C32-'[19]Janvāris'!C32</f>
        <v>549324</v>
      </c>
      <c r="F32" s="547" t="s">
        <v>693</v>
      </c>
      <c r="G32" s="20"/>
      <c r="H32" s="20">
        <f>H9-H10-H25-H29</f>
        <v>2917</v>
      </c>
      <c r="I32" s="359"/>
      <c r="J32" s="20">
        <f>J9-J10-J29</f>
        <v>2258</v>
      </c>
    </row>
    <row r="33" spans="1:10" s="28" customFormat="1" ht="17.25" customHeight="1">
      <c r="A33" s="540"/>
      <c r="B33" s="552"/>
      <c r="C33"/>
      <c r="D33" s="552"/>
      <c r="E33" s="552"/>
      <c r="F33" s="540"/>
      <c r="G33" s="552"/>
      <c r="H33"/>
      <c r="I33" s="552"/>
      <c r="J33" s="552"/>
    </row>
    <row r="34" spans="1:10" s="28" customFormat="1" ht="17.25" customHeight="1">
      <c r="A34" s="540"/>
      <c r="B34" s="552"/>
      <c r="C34"/>
      <c r="D34" s="552"/>
      <c r="E34" s="552"/>
      <c r="F34" s="540"/>
      <c r="G34" s="552"/>
      <c r="H34"/>
      <c r="I34" s="552"/>
      <c r="J34" s="552"/>
    </row>
    <row r="35" spans="1:10" ht="17.25" customHeight="1">
      <c r="A35" s="542"/>
      <c r="B35" s="552"/>
      <c r="C35"/>
      <c r="D35" s="552"/>
      <c r="E35" s="552"/>
      <c r="F35" s="542"/>
      <c r="G35" s="552"/>
      <c r="H35"/>
      <c r="I35" s="552"/>
      <c r="J35" s="552"/>
    </row>
    <row r="36" spans="1:10" s="28" customFormat="1" ht="17.25" customHeight="1">
      <c r="A36" s="64" t="s">
        <v>644</v>
      </c>
      <c r="B36" s="4"/>
      <c r="C36"/>
      <c r="D36" s="4" t="s">
        <v>645</v>
      </c>
      <c r="E36" s="542"/>
      <c r="F36" s="64" t="s">
        <v>625</v>
      </c>
      <c r="G36" s="4"/>
      <c r="H36"/>
      <c r="I36" s="4" t="s">
        <v>348</v>
      </c>
      <c r="J36" s="542"/>
    </row>
    <row r="37" spans="1:10" s="28" customFormat="1" ht="17.25" customHeight="1">
      <c r="A37" s="1"/>
      <c r="C37"/>
      <c r="D37" s="552"/>
      <c r="E37" s="552"/>
      <c r="F37" s="1"/>
      <c r="H37"/>
      <c r="I37" s="552"/>
      <c r="J37" s="552"/>
    </row>
    <row r="38" spans="1:10" s="28" customFormat="1" ht="17.25" customHeight="1">
      <c r="A38" s="542"/>
      <c r="B38" s="171"/>
      <c r="C38"/>
      <c r="D38" s="552"/>
      <c r="E38" s="552"/>
      <c r="F38" s="542"/>
      <c r="G38" s="171"/>
      <c r="H38"/>
      <c r="I38" s="552"/>
      <c r="J38" s="552"/>
    </row>
    <row r="39" spans="1:10" s="28" customFormat="1" ht="17.25" customHeight="1">
      <c r="A39" s="542"/>
      <c r="B39" s="171"/>
      <c r="C39"/>
      <c r="D39" s="552"/>
      <c r="E39" s="552"/>
      <c r="F39" s="542"/>
      <c r="G39" s="171"/>
      <c r="H39"/>
      <c r="I39" s="552"/>
      <c r="J39" s="552"/>
    </row>
    <row r="40" spans="1:10" ht="17.25" customHeight="1">
      <c r="A40" s="542"/>
      <c r="B40" s="541"/>
      <c r="C40"/>
      <c r="D40" s="552"/>
      <c r="E40" s="552"/>
      <c r="F40" s="542"/>
      <c r="G40" s="541"/>
      <c r="H40"/>
      <c r="I40" s="552"/>
      <c r="J40" s="552"/>
    </row>
    <row r="41" spans="3:10" ht="17.25" customHeight="1">
      <c r="C41"/>
      <c r="D41" s="552"/>
      <c r="E41" s="552"/>
      <c r="H41"/>
      <c r="I41" s="552"/>
      <c r="J41" s="552"/>
    </row>
    <row r="42" spans="3:10" ht="17.25" customHeight="1">
      <c r="C42"/>
      <c r="D42" s="552"/>
      <c r="E42" s="552"/>
      <c r="F42" s="513" t="s">
        <v>643</v>
      </c>
      <c r="H42"/>
      <c r="I42" s="552"/>
      <c r="J42" s="552"/>
    </row>
    <row r="43" spans="3:8" ht="17.25" customHeight="1">
      <c r="C43"/>
      <c r="F43" s="513" t="s">
        <v>399</v>
      </c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4">
    <mergeCell ref="A4:E4"/>
    <mergeCell ref="F4:J4"/>
    <mergeCell ref="A5:E5"/>
    <mergeCell ref="F5:J5"/>
  </mergeCells>
  <printOptions/>
  <pageMargins left="0.9" right="0.75" top="1" bottom="0.75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12" sqref="F12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1"/>
      <c r="B1" s="72"/>
      <c r="C1" s="72"/>
      <c r="D1" s="72"/>
      <c r="E1" s="3" t="s">
        <v>171</v>
      </c>
    </row>
    <row r="2" spans="1:5" ht="12.75">
      <c r="A2" s="654" t="s">
        <v>483</v>
      </c>
      <c r="B2" s="654"/>
      <c r="C2" s="654"/>
      <c r="D2" s="654"/>
      <c r="E2" s="654"/>
    </row>
    <row r="3" spans="1:5" ht="12.75">
      <c r="A3" s="1"/>
      <c r="B3" s="488"/>
      <c r="C3" s="488"/>
      <c r="D3" s="560"/>
      <c r="E3" s="560"/>
    </row>
    <row r="4" spans="1:5" ht="12.75">
      <c r="A4" s="674" t="s">
        <v>172</v>
      </c>
      <c r="B4" s="674"/>
      <c r="C4" s="674"/>
      <c r="D4" s="674"/>
      <c r="E4" s="674"/>
    </row>
    <row r="5" spans="1:5" ht="12.75">
      <c r="A5" s="675" t="s">
        <v>527</v>
      </c>
      <c r="B5" s="675"/>
      <c r="C5" s="675"/>
      <c r="D5" s="675"/>
      <c r="E5" s="675"/>
    </row>
    <row r="6" spans="1:5" ht="12.75">
      <c r="A6" s="1"/>
      <c r="B6" s="107"/>
      <c r="C6" s="107"/>
      <c r="D6" s="24"/>
      <c r="E6" s="492" t="s">
        <v>704</v>
      </c>
    </row>
    <row r="7" spans="1:5" ht="33.75">
      <c r="A7" s="561" t="s">
        <v>318</v>
      </c>
      <c r="B7" s="525" t="s">
        <v>36</v>
      </c>
      <c r="C7" s="525" t="s">
        <v>404</v>
      </c>
      <c r="D7" s="525" t="s">
        <v>18</v>
      </c>
      <c r="E7" s="34" t="s">
        <v>601</v>
      </c>
    </row>
    <row r="8" spans="1:5" ht="12.75">
      <c r="A8" s="222">
        <v>1</v>
      </c>
      <c r="B8" s="562">
        <v>2</v>
      </c>
      <c r="C8" s="562">
        <v>3</v>
      </c>
      <c r="D8" s="563">
        <v>4</v>
      </c>
      <c r="E8" s="563">
        <v>5</v>
      </c>
    </row>
    <row r="9" spans="1:5" ht="24.75" customHeight="1">
      <c r="A9" s="564" t="s">
        <v>173</v>
      </c>
      <c r="B9" s="348"/>
      <c r="C9" s="348">
        <f>SUM(C10:C14)</f>
        <v>6712</v>
      </c>
      <c r="D9" s="428"/>
      <c r="E9" s="348">
        <f>C9-'[17]janvāris'!C9</f>
        <v>3052</v>
      </c>
    </row>
    <row r="10" spans="1:5" ht="24.75" customHeight="1">
      <c r="A10" s="565" t="s">
        <v>174</v>
      </c>
      <c r="B10" s="348"/>
      <c r="C10" s="348">
        <v>1499</v>
      </c>
      <c r="D10" s="428"/>
      <c r="E10" s="348">
        <f>C10-'[17]janvāris'!C10</f>
        <v>453</v>
      </c>
    </row>
    <row r="11" spans="1:5" ht="21.75" customHeight="1">
      <c r="A11" s="565" t="s">
        <v>175</v>
      </c>
      <c r="B11" s="348"/>
      <c r="C11" s="348">
        <v>261</v>
      </c>
      <c r="D11" s="428"/>
      <c r="E11" s="348">
        <f>C11-'[17]janvāris'!C11</f>
        <v>220</v>
      </c>
    </row>
    <row r="12" spans="1:5" ht="30" customHeight="1">
      <c r="A12" s="566" t="s">
        <v>176</v>
      </c>
      <c r="B12" s="348"/>
      <c r="C12" s="348">
        <v>2018</v>
      </c>
      <c r="D12" s="428"/>
      <c r="E12" s="348">
        <f>C12-'[17]janvāris'!C12</f>
        <v>1064</v>
      </c>
    </row>
    <row r="13" spans="1:5" ht="39" customHeight="1">
      <c r="A13" s="566" t="s">
        <v>177</v>
      </c>
      <c r="B13" s="348"/>
      <c r="C13" s="348">
        <f>554</f>
        <v>554</v>
      </c>
      <c r="D13" s="428"/>
      <c r="E13" s="348">
        <f>C13-'[17]janvāris'!C13</f>
        <v>335</v>
      </c>
    </row>
    <row r="14" spans="1:5" ht="19.5" customHeight="1">
      <c r="A14" s="565" t="s">
        <v>178</v>
      </c>
      <c r="B14" s="348"/>
      <c r="C14" s="348">
        <f>2393-15+2</f>
        <v>2380</v>
      </c>
      <c r="D14" s="428"/>
      <c r="E14" s="348">
        <f>C14-'[17]janvāris'!C14</f>
        <v>980</v>
      </c>
    </row>
    <row r="15" spans="1:5" ht="19.5" customHeight="1">
      <c r="A15" s="567" t="s">
        <v>179</v>
      </c>
      <c r="B15" s="348"/>
      <c r="C15" s="348">
        <f>SUM(C16:C20)</f>
        <v>3135</v>
      </c>
      <c r="D15" s="428"/>
      <c r="E15" s="348">
        <f>SUM(E16:E20)</f>
        <v>2098</v>
      </c>
    </row>
    <row r="16" spans="1:5" ht="19.5" customHeight="1">
      <c r="A16" s="565" t="s">
        <v>180</v>
      </c>
      <c r="B16" s="348"/>
      <c r="C16" s="348">
        <v>437</v>
      </c>
      <c r="D16" s="428"/>
      <c r="E16" s="348">
        <f>C16-'[17]janvāris'!C17</f>
        <v>318</v>
      </c>
    </row>
    <row r="17" spans="1:5" ht="19.5" customHeight="1">
      <c r="A17" s="565" t="s">
        <v>175</v>
      </c>
      <c r="B17" s="348"/>
      <c r="C17" s="348">
        <v>123</v>
      </c>
      <c r="D17" s="428"/>
      <c r="E17" s="348">
        <f>C17-'[17]janvāris'!C18</f>
        <v>72</v>
      </c>
    </row>
    <row r="18" spans="1:5" ht="19.5" customHeight="1">
      <c r="A18" s="565" t="s">
        <v>181</v>
      </c>
      <c r="B18" s="348"/>
      <c r="C18" s="348">
        <v>1203</v>
      </c>
      <c r="D18" s="428"/>
      <c r="E18" s="348">
        <f>C18-'[17]janvāris'!C19</f>
        <v>576</v>
      </c>
    </row>
    <row r="19" spans="1:5" ht="19.5" customHeight="1">
      <c r="A19" s="568" t="s">
        <v>182</v>
      </c>
      <c r="B19" s="348"/>
      <c r="C19" s="348">
        <v>360</v>
      </c>
      <c r="D19" s="428"/>
      <c r="E19" s="348">
        <f>C19-'[17]janvāris'!C20</f>
        <v>220</v>
      </c>
    </row>
    <row r="20" spans="1:5" ht="19.5" customHeight="1">
      <c r="A20" s="568" t="s">
        <v>183</v>
      </c>
      <c r="B20" s="348"/>
      <c r="C20" s="348">
        <f>972+40</f>
        <v>1012</v>
      </c>
      <c r="D20" s="428"/>
      <c r="E20" s="348">
        <f>C20-'[17]janvāris'!C21+40</f>
        <v>912</v>
      </c>
    </row>
    <row r="21" spans="1:5" ht="12.75">
      <c r="A21" s="569"/>
      <c r="B21" s="570"/>
      <c r="C21" s="570"/>
      <c r="D21" s="506"/>
      <c r="E21" s="570"/>
    </row>
    <row r="22" spans="1:5" ht="12.75">
      <c r="A22" s="322"/>
      <c r="B22" s="322"/>
      <c r="C22" s="322"/>
      <c r="D22" s="322"/>
      <c r="E22" s="322"/>
    </row>
    <row r="23" spans="1:6" ht="12.75">
      <c r="A23" s="551"/>
      <c r="B23" s="447"/>
      <c r="C23" s="447"/>
      <c r="D23" s="508"/>
      <c r="E23" s="447"/>
      <c r="F23" s="322"/>
    </row>
    <row r="24" spans="1:6" ht="15">
      <c r="A24" s="517" t="s">
        <v>184</v>
      </c>
      <c r="D24" s="517" t="s">
        <v>348</v>
      </c>
      <c r="F24" s="322"/>
    </row>
    <row r="25" ht="12.75">
      <c r="F25" s="322"/>
    </row>
    <row r="26" ht="12.75">
      <c r="F26" s="322"/>
    </row>
    <row r="27" ht="12.75">
      <c r="F27" s="322"/>
    </row>
    <row r="28" ht="12.75">
      <c r="F28" s="322"/>
    </row>
    <row r="29" ht="12.75">
      <c r="F29" s="322"/>
    </row>
    <row r="30" ht="12.75">
      <c r="F30" s="322"/>
    </row>
    <row r="31" ht="12.75">
      <c r="F31" s="322"/>
    </row>
    <row r="32" spans="1:6" ht="12.75">
      <c r="A32" s="28" t="s">
        <v>828</v>
      </c>
      <c r="F32" s="322"/>
    </row>
    <row r="33" spans="1:6" ht="12.75">
      <c r="A33" s="28" t="s">
        <v>399</v>
      </c>
      <c r="F33" s="322"/>
    </row>
  </sheetData>
  <mergeCells count="3">
    <mergeCell ref="A2:E2"/>
    <mergeCell ref="A4:E4"/>
    <mergeCell ref="A5:E5"/>
  </mergeCells>
  <printOptions/>
  <pageMargins left="1.21" right="0.75" top="1.35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F12" sqref="F12"/>
    </sheetView>
  </sheetViews>
  <sheetFormatPr defaultColWidth="9.140625" defaultRowHeight="17.25" customHeight="1"/>
  <cols>
    <col min="1" max="1" width="40.00390625" style="1" customWidth="1"/>
    <col min="2" max="2" width="8.8515625" style="488" customWidth="1"/>
    <col min="3" max="3" width="11.28125" style="488" customWidth="1"/>
    <col min="4" max="4" width="12.57421875" style="488" customWidth="1"/>
    <col min="5" max="5" width="11.57421875" style="488" customWidth="1"/>
  </cols>
  <sheetData>
    <row r="1" spans="2:5" ht="17.25" customHeight="1">
      <c r="B1" s="72"/>
      <c r="C1" s="72"/>
      <c r="D1" s="72"/>
      <c r="E1" s="3" t="s">
        <v>185</v>
      </c>
    </row>
    <row r="2" spans="1:5" ht="17.25" customHeight="1">
      <c r="A2" s="654" t="s">
        <v>186</v>
      </c>
      <c r="B2" s="654"/>
      <c r="C2" s="654"/>
      <c r="D2" s="654"/>
      <c r="E2" s="654"/>
    </row>
    <row r="3" spans="4:5" ht="17.25" customHeight="1">
      <c r="D3" s="560"/>
      <c r="E3" s="560"/>
    </row>
    <row r="4" spans="1:5" ht="17.25" customHeight="1">
      <c r="A4" s="674" t="s">
        <v>187</v>
      </c>
      <c r="B4" s="674"/>
      <c r="C4" s="674"/>
      <c r="D4" s="674"/>
      <c r="E4" s="674"/>
    </row>
    <row r="5" spans="1:5" ht="12.75" customHeight="1">
      <c r="A5" s="675" t="s">
        <v>527</v>
      </c>
      <c r="B5" s="675"/>
      <c r="C5" s="675"/>
      <c r="D5" s="675"/>
      <c r="E5" s="675"/>
    </row>
    <row r="6" spans="1:5" ht="12.75" customHeight="1">
      <c r="A6" s="544"/>
      <c r="B6" s="544"/>
      <c r="C6" s="544"/>
      <c r="D6" s="544"/>
      <c r="E6" s="544"/>
    </row>
    <row r="7" spans="2:5" ht="10.5" customHeight="1">
      <c r="B7" s="107"/>
      <c r="C7" s="107"/>
      <c r="D7" s="24"/>
      <c r="E7" s="492" t="s">
        <v>704</v>
      </c>
    </row>
    <row r="8" spans="1:5" ht="22.5">
      <c r="A8" s="561" t="s">
        <v>318</v>
      </c>
      <c r="B8" s="525" t="s">
        <v>36</v>
      </c>
      <c r="C8" s="525" t="s">
        <v>404</v>
      </c>
      <c r="D8" s="525" t="s">
        <v>18</v>
      </c>
      <c r="E8" s="34" t="s">
        <v>601</v>
      </c>
    </row>
    <row r="9" spans="1:5" ht="12.75">
      <c r="A9" s="222">
        <v>1</v>
      </c>
      <c r="B9" s="562">
        <v>2</v>
      </c>
      <c r="C9" s="562">
        <v>3</v>
      </c>
      <c r="D9" s="563">
        <v>4</v>
      </c>
      <c r="E9" s="563">
        <v>5</v>
      </c>
    </row>
    <row r="10" spans="1:5" ht="12.75">
      <c r="A10" s="529" t="s">
        <v>794</v>
      </c>
      <c r="B10" s="348"/>
      <c r="C10" s="348">
        <v>6712</v>
      </c>
      <c r="D10" s="428"/>
      <c r="E10" s="348">
        <v>3052</v>
      </c>
    </row>
    <row r="11" spans="1:5" ht="12.75">
      <c r="A11" s="529" t="s">
        <v>154</v>
      </c>
      <c r="B11" s="348"/>
      <c r="C11" s="348">
        <f>SUM(C12,C27)</f>
        <v>4011</v>
      </c>
      <c r="D11" s="428"/>
      <c r="E11" s="348">
        <f>E12+E27</f>
        <v>2058</v>
      </c>
    </row>
    <row r="12" spans="1:5" ht="12.75">
      <c r="A12" s="547" t="s">
        <v>798</v>
      </c>
      <c r="B12" s="348"/>
      <c r="C12" s="348">
        <f>SUM(C13,C19,C20)</f>
        <v>3147</v>
      </c>
      <c r="D12" s="428"/>
      <c r="E12" s="348">
        <f>E13+E19+E20</f>
        <v>1748</v>
      </c>
    </row>
    <row r="13" spans="1:5" ht="12.75">
      <c r="A13" s="547" t="s">
        <v>574</v>
      </c>
      <c r="B13" s="348"/>
      <c r="C13" s="348">
        <f>SUM(C14,C15,C16)</f>
        <v>1978</v>
      </c>
      <c r="D13" s="428"/>
      <c r="E13" s="348">
        <f>SUM(E14:E16)</f>
        <v>1113</v>
      </c>
    </row>
    <row r="14" spans="1:5" ht="17.25" customHeight="1">
      <c r="A14" s="548" t="s">
        <v>155</v>
      </c>
      <c r="B14" s="348"/>
      <c r="C14" s="348">
        <v>282</v>
      </c>
      <c r="D14" s="428"/>
      <c r="E14" s="348">
        <f>C14-'[16]Janvāris'!C13</f>
        <v>170</v>
      </c>
    </row>
    <row r="15" spans="1:5" ht="25.5">
      <c r="A15" s="548" t="s">
        <v>156</v>
      </c>
      <c r="B15" s="348"/>
      <c r="C15" s="348">
        <v>69</v>
      </c>
      <c r="D15" s="428"/>
      <c r="E15" s="348">
        <f>C15-'[16]Janvāris'!C14</f>
        <v>40</v>
      </c>
    </row>
    <row r="16" spans="1:5" ht="12.75">
      <c r="A16" s="548" t="s">
        <v>157</v>
      </c>
      <c r="B16" s="348"/>
      <c r="C16" s="348">
        <f>SUM(C17:C18)</f>
        <v>1627</v>
      </c>
      <c r="D16" s="428"/>
      <c r="E16" s="348">
        <f>C16-'[16]Janvāris'!C15</f>
        <v>903</v>
      </c>
    </row>
    <row r="17" spans="1:5" ht="25.5">
      <c r="A17" s="559" t="s">
        <v>158</v>
      </c>
      <c r="B17" s="348"/>
      <c r="C17" s="348">
        <f>1406+241-5-40</f>
        <v>1602</v>
      </c>
      <c r="D17" s="428"/>
      <c r="E17" s="348">
        <f>C17-'[16]Janvāris'!C16</f>
        <v>887</v>
      </c>
    </row>
    <row r="18" spans="1:5" ht="12.75">
      <c r="A18" s="559" t="s">
        <v>188</v>
      </c>
      <c r="B18" s="348"/>
      <c r="C18" s="348">
        <f>12+12+1</f>
        <v>25</v>
      </c>
      <c r="D18" s="428"/>
      <c r="E18" s="348">
        <f>C18-'[16]Janvāris'!C17</f>
        <v>16</v>
      </c>
    </row>
    <row r="19" spans="1:5" ht="25.5">
      <c r="A19" s="547" t="s">
        <v>160</v>
      </c>
      <c r="B19" s="348"/>
      <c r="C19" s="348">
        <v>5</v>
      </c>
      <c r="D19" s="428"/>
      <c r="E19" s="348">
        <f>C19-'[16]Janvāris'!C18</f>
        <v>1</v>
      </c>
    </row>
    <row r="20" spans="1:5" ht="12.75">
      <c r="A20" s="547" t="s">
        <v>585</v>
      </c>
      <c r="B20" s="348"/>
      <c r="C20" s="348">
        <f>SUM(C21:C26)</f>
        <v>1164</v>
      </c>
      <c r="D20" s="428"/>
      <c r="E20" s="348">
        <f>C20-'[16]Janvāris'!C19</f>
        <v>634</v>
      </c>
    </row>
    <row r="21" spans="1:5" ht="12.75">
      <c r="A21" s="548" t="s">
        <v>161</v>
      </c>
      <c r="B21" s="348"/>
      <c r="C21" s="348">
        <v>38</v>
      </c>
      <c r="D21" s="428"/>
      <c r="E21" s="348">
        <f>C21-'[16]Janvāris'!C20</f>
        <v>6</v>
      </c>
    </row>
    <row r="22" spans="1:5" ht="12.75">
      <c r="A22" s="548" t="s">
        <v>162</v>
      </c>
      <c r="B22" s="348"/>
      <c r="C22" s="348">
        <v>99</v>
      </c>
      <c r="D22" s="428"/>
      <c r="E22" s="348">
        <f>C22-'[16]Janvāris'!C21</f>
        <v>75</v>
      </c>
    </row>
    <row r="23" spans="1:5" ht="12.75">
      <c r="A23" s="548" t="s">
        <v>163</v>
      </c>
      <c r="B23" s="348"/>
      <c r="C23" s="348">
        <v>74</v>
      </c>
      <c r="D23" s="428"/>
      <c r="E23" s="348">
        <f>C23-'[16]Janvāris'!C22</f>
        <v>60</v>
      </c>
    </row>
    <row r="24" spans="1:5" ht="25.5">
      <c r="A24" s="548" t="s">
        <v>164</v>
      </c>
      <c r="B24" s="348"/>
      <c r="C24" s="348">
        <v>542</v>
      </c>
      <c r="D24" s="428"/>
      <c r="E24" s="348">
        <f>C24-'[16]Janvāris'!C23</f>
        <v>254</v>
      </c>
    </row>
    <row r="25" spans="1:5" ht="12.75">
      <c r="A25" s="548" t="s">
        <v>165</v>
      </c>
      <c r="B25" s="348"/>
      <c r="C25" s="348">
        <v>371</v>
      </c>
      <c r="D25" s="428"/>
      <c r="E25" s="348">
        <f>C25-'[16]Janvāris'!C24</f>
        <v>199</v>
      </c>
    </row>
    <row r="26" spans="1:5" ht="12.75">
      <c r="A26" s="548" t="s">
        <v>189</v>
      </c>
      <c r="B26" s="348"/>
      <c r="C26" s="348">
        <v>40</v>
      </c>
      <c r="D26" s="428"/>
      <c r="E26" s="348">
        <f>C26-'[16]Janvāris'!C25</f>
        <v>37</v>
      </c>
    </row>
    <row r="27" spans="1:5" ht="12.75">
      <c r="A27" s="547" t="s">
        <v>813</v>
      </c>
      <c r="B27" s="348"/>
      <c r="C27" s="348">
        <f>SUM(C28:C29)</f>
        <v>864</v>
      </c>
      <c r="D27" s="428"/>
      <c r="E27" s="348">
        <f>C27-'[16]Janvāris'!C26</f>
        <v>310</v>
      </c>
    </row>
    <row r="28" spans="1:5" ht="17.25" customHeight="1">
      <c r="A28" s="548" t="s">
        <v>167</v>
      </c>
      <c r="B28" s="348"/>
      <c r="C28" s="348">
        <v>781</v>
      </c>
      <c r="D28" s="428"/>
      <c r="E28" s="348">
        <f>C28-'[16]Janvāris'!C27</f>
        <v>237</v>
      </c>
    </row>
    <row r="29" spans="1:5" ht="12.75">
      <c r="A29" s="312" t="s">
        <v>593</v>
      </c>
      <c r="B29" s="348"/>
      <c r="C29" s="348">
        <v>83</v>
      </c>
      <c r="D29" s="428"/>
      <c r="E29" s="348">
        <f>C29-'[16]Janvāris'!C28</f>
        <v>73</v>
      </c>
    </row>
    <row r="30" spans="1:5" ht="12.75">
      <c r="A30" s="547" t="s">
        <v>168</v>
      </c>
      <c r="B30" s="348"/>
      <c r="C30" s="348">
        <f>C31-C32</f>
        <v>-876</v>
      </c>
      <c r="D30" s="428"/>
      <c r="E30" s="348">
        <f>C30-'[16]Janvāris'!C29</f>
        <v>0</v>
      </c>
    </row>
    <row r="31" spans="1:5" ht="12.75">
      <c r="A31" s="548" t="s">
        <v>169</v>
      </c>
      <c r="B31" s="348"/>
      <c r="C31" s="348">
        <v>132</v>
      </c>
      <c r="D31" s="428"/>
      <c r="E31" s="348">
        <f>C31-'[16]Janvāris'!C30</f>
        <v>68</v>
      </c>
    </row>
    <row r="32" spans="1:5" ht="12.75">
      <c r="A32" s="548" t="s">
        <v>170</v>
      </c>
      <c r="B32" s="348"/>
      <c r="C32" s="348">
        <v>1008</v>
      </c>
      <c r="D32" s="428"/>
      <c r="E32" s="348">
        <f>C32-'[16]Janvāris'!C31</f>
        <v>68</v>
      </c>
    </row>
    <row r="33" spans="1:5" ht="12.75">
      <c r="A33" s="547" t="s">
        <v>693</v>
      </c>
      <c r="B33" s="348"/>
      <c r="C33" s="348">
        <f>C10-C11-C30</f>
        <v>3577</v>
      </c>
      <c r="D33" s="428"/>
      <c r="E33" s="348">
        <f>C33-'[16]Janvāris'!C32</f>
        <v>995</v>
      </c>
    </row>
    <row r="34" spans="1:4" ht="17.25" customHeight="1">
      <c r="A34" s="540"/>
      <c r="B34" s="447"/>
      <c r="C34" s="447"/>
      <c r="D34" s="571"/>
    </row>
    <row r="35" ht="17.25" customHeight="1">
      <c r="A35" s="542"/>
    </row>
    <row r="36" ht="17.25" customHeight="1">
      <c r="A36" s="542"/>
    </row>
    <row r="37" ht="17.25" customHeight="1">
      <c r="A37" s="540"/>
    </row>
    <row r="38" spans="1:5" ht="12.75" customHeight="1">
      <c r="A38" s="64" t="s">
        <v>827</v>
      </c>
      <c r="B38" s="4"/>
      <c r="C38" s="4"/>
      <c r="D38" s="4" t="s">
        <v>348</v>
      </c>
      <c r="E38" s="572"/>
    </row>
    <row r="39" spans="1:3" ht="17.25" customHeight="1">
      <c r="A39" s="513"/>
      <c r="B39" s="309"/>
      <c r="C39" s="309"/>
    </row>
    <row r="40" spans="1:3" ht="17.25" customHeight="1">
      <c r="A40" s="542"/>
      <c r="B40" s="167"/>
      <c r="C40" s="167"/>
    </row>
    <row r="41" spans="1:3" ht="17.25" customHeight="1">
      <c r="A41" s="542"/>
      <c r="B41" s="1"/>
      <c r="C41" s="1"/>
    </row>
    <row r="42" spans="1:3" ht="17.25" customHeight="1">
      <c r="A42" s="513"/>
      <c r="B42" s="513"/>
      <c r="C42" s="513"/>
    </row>
    <row r="44" ht="12.75" customHeight="1">
      <c r="A44" s="28" t="s">
        <v>643</v>
      </c>
    </row>
    <row r="45" ht="12.75" customHeight="1">
      <c r="A45" s="28" t="s">
        <v>399</v>
      </c>
    </row>
  </sheetData>
  <mergeCells count="3">
    <mergeCell ref="A2:E2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workbookViewId="0" topLeftCell="F1">
      <selection activeCell="F5" sqref="F5:J5"/>
    </sheetView>
  </sheetViews>
  <sheetFormatPr defaultColWidth="9.140625" defaultRowHeight="12.75"/>
  <cols>
    <col min="1" max="1" width="33.8515625" style="1" hidden="1" customWidth="1"/>
    <col min="2" max="2" width="12.7109375" style="2" hidden="1" customWidth="1"/>
    <col min="3" max="3" width="2.57421875" style="1" hidden="1" customWidth="1"/>
    <col min="4" max="4" width="3.57421875" style="1" hidden="1" customWidth="1"/>
    <col min="5" max="5" width="2.8515625" style="1" hidden="1" customWidth="1"/>
    <col min="6" max="6" width="53.14062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</cols>
  <sheetData>
    <row r="1" spans="1:10" ht="18.75" customHeight="1">
      <c r="A1" s="71"/>
      <c r="B1" s="71"/>
      <c r="C1" s="71"/>
      <c r="D1" s="71"/>
      <c r="E1" s="71"/>
      <c r="F1" s="1"/>
      <c r="G1" s="2"/>
      <c r="H1" s="1"/>
      <c r="I1" s="1"/>
      <c r="J1" s="1" t="s">
        <v>400</v>
      </c>
    </row>
    <row r="2" spans="1:10" ht="18.75" customHeight="1">
      <c r="A2" s="71"/>
      <c r="B2" s="71"/>
      <c r="C2" s="71"/>
      <c r="D2" s="71"/>
      <c r="E2" s="71"/>
      <c r="F2" s="72" t="s">
        <v>401</v>
      </c>
      <c r="G2" s="73"/>
      <c r="H2" s="72"/>
      <c r="I2" s="72"/>
      <c r="J2" s="72"/>
    </row>
    <row r="3" spans="1:10" ht="14.25" customHeight="1">
      <c r="A3" s="71"/>
      <c r="B3" s="71"/>
      <c r="C3" s="71"/>
      <c r="D3" s="71"/>
      <c r="E3" s="71"/>
      <c r="F3" s="1"/>
      <c r="G3" s="2"/>
      <c r="H3" s="1"/>
      <c r="I3" s="1"/>
      <c r="J3" s="1"/>
    </row>
    <row r="4" spans="1:10" ht="18.75" customHeight="1">
      <c r="A4" s="71"/>
      <c r="B4" s="71"/>
      <c r="C4" s="71"/>
      <c r="D4" s="71"/>
      <c r="E4" s="71"/>
      <c r="F4" s="623" t="s">
        <v>402</v>
      </c>
      <c r="G4" s="623"/>
      <c r="H4" s="623"/>
      <c r="I4" s="623"/>
      <c r="J4" s="623"/>
    </row>
    <row r="5" spans="1:10" ht="18.75" customHeight="1">
      <c r="A5" s="71"/>
      <c r="B5" s="71"/>
      <c r="C5" s="71"/>
      <c r="D5" s="71"/>
      <c r="E5" s="71"/>
      <c r="F5" s="653" t="s">
        <v>315</v>
      </c>
      <c r="G5" s="653"/>
      <c r="H5" s="653"/>
      <c r="I5" s="653"/>
      <c r="J5" s="653"/>
    </row>
    <row r="6" spans="1:10" ht="14.25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ht="15.75" customHeight="1">
      <c r="A7" s="74"/>
      <c r="B7" s="73"/>
      <c r="C7" s="72"/>
      <c r="D7" s="24"/>
      <c r="E7" s="24"/>
      <c r="F7" s="74"/>
      <c r="G7" s="73"/>
      <c r="H7" s="72"/>
      <c r="I7" s="24"/>
      <c r="J7" s="6" t="s">
        <v>317</v>
      </c>
    </row>
    <row r="8" spans="1:10" ht="49.5" customHeight="1">
      <c r="A8" s="34" t="s">
        <v>318</v>
      </c>
      <c r="B8" s="75" t="s">
        <v>403</v>
      </c>
      <c r="C8" s="34" t="s">
        <v>404</v>
      </c>
      <c r="D8" s="34" t="s">
        <v>405</v>
      </c>
      <c r="E8" s="34" t="s">
        <v>406</v>
      </c>
      <c r="F8" s="34" t="s">
        <v>318</v>
      </c>
      <c r="G8" s="75" t="s">
        <v>403</v>
      </c>
      <c r="H8" s="34" t="s">
        <v>404</v>
      </c>
      <c r="I8" s="34" t="s">
        <v>405</v>
      </c>
      <c r="J8" s="34" t="s">
        <v>407</v>
      </c>
    </row>
    <row r="9" spans="1:10" ht="12.75">
      <c r="A9" s="34">
        <v>1</v>
      </c>
      <c r="B9" s="75">
        <v>2</v>
      </c>
      <c r="C9" s="34">
        <v>3</v>
      </c>
      <c r="D9" s="34">
        <v>4</v>
      </c>
      <c r="E9" s="34">
        <v>5</v>
      </c>
      <c r="F9" s="34">
        <v>1</v>
      </c>
      <c r="G9" s="75">
        <v>2</v>
      </c>
      <c r="H9" s="34">
        <v>3</v>
      </c>
      <c r="I9" s="34">
        <v>4</v>
      </c>
      <c r="J9" s="34">
        <v>5</v>
      </c>
    </row>
    <row r="10" spans="1:10" ht="12.75">
      <c r="A10" s="57" t="s">
        <v>408</v>
      </c>
      <c r="B10" s="76">
        <f>SUM(B24,B33)</f>
        <v>1455956480</v>
      </c>
      <c r="C10" s="76">
        <f>SUM(C24,C33)</f>
        <v>0</v>
      </c>
      <c r="D10" s="77">
        <f>IF(ISERROR(C10/B10)," ",(C10/B10))</f>
        <v>0</v>
      </c>
      <c r="E10" s="76">
        <f>C10</f>
        <v>0</v>
      </c>
      <c r="F10" s="57" t="s">
        <v>408</v>
      </c>
      <c r="G10" s="78">
        <f>SUM(G24,G33)</f>
        <v>1455956</v>
      </c>
      <c r="H10" s="78">
        <f>SUM(H24,H33)</f>
        <v>212422</v>
      </c>
      <c r="I10" s="79">
        <f>IF(ISERROR(H10/G10)," ",(H10/G10))*100</f>
        <v>14.58986397940597</v>
      </c>
      <c r="J10" s="78">
        <f>H10-'[2]Janvaris'!H10</f>
        <v>97379</v>
      </c>
    </row>
    <row r="11" spans="1:10" ht="12.75" customHeight="1">
      <c r="A11" s="80" t="s">
        <v>409</v>
      </c>
      <c r="B11" s="76">
        <f>SUM(B12,B20,B21,B22)</f>
        <v>795383031</v>
      </c>
      <c r="C11" s="76">
        <f>SUM(C12,C20,C21)</f>
        <v>0</v>
      </c>
      <c r="D11" s="77">
        <f aca="true" t="shared" si="0" ref="D11:D74">IF(ISERROR(C11/B11)," ",(C11/B11))</f>
        <v>0</v>
      </c>
      <c r="E11" s="76">
        <f aca="true" t="shared" si="1" ref="E11:E75">C11</f>
        <v>0</v>
      </c>
      <c r="F11" s="80" t="s">
        <v>409</v>
      </c>
      <c r="G11" s="78">
        <f>SUM(G12,G20,G21,G22)</f>
        <v>795383</v>
      </c>
      <c r="H11" s="78">
        <f>SUM(H12,H20,H21,H22)</f>
        <v>114086</v>
      </c>
      <c r="I11" s="79">
        <f>IF(ISERROR(H11/G11)," ",(H11/G11))*100</f>
        <v>14.343530098078535</v>
      </c>
      <c r="J11" s="78">
        <f>H11-'[2]Janvaris'!H11</f>
        <v>49621</v>
      </c>
    </row>
    <row r="12" spans="1:10" ht="12.75">
      <c r="A12" s="81" t="s">
        <v>410</v>
      </c>
      <c r="B12" s="82">
        <f>SUM(B13,B15,B19)</f>
        <v>611912797</v>
      </c>
      <c r="C12" s="82">
        <f>SUM(C13,C15,C19)</f>
        <v>0</v>
      </c>
      <c r="D12" s="83">
        <f t="shared" si="0"/>
        <v>0</v>
      </c>
      <c r="E12" s="76">
        <f t="shared" si="1"/>
        <v>0</v>
      </c>
      <c r="F12" s="81" t="s">
        <v>410</v>
      </c>
      <c r="G12" s="84">
        <f>SUM(G13,G15,G19)</f>
        <v>611913</v>
      </c>
      <c r="H12" s="84">
        <f>SUM(H13,H15,H19)</f>
        <v>89908</v>
      </c>
      <c r="I12" s="85">
        <f>IF(ISERROR(H12/G12)," ",(H12/G12))*100</f>
        <v>14.692938375226545</v>
      </c>
      <c r="J12" s="84">
        <f>H12-'[2]Janvaris'!H12</f>
        <v>39211</v>
      </c>
    </row>
    <row r="13" spans="1:10" ht="12.75">
      <c r="A13" s="22" t="s">
        <v>411</v>
      </c>
      <c r="B13" s="82">
        <f>SUM(B14)</f>
        <v>98046000</v>
      </c>
      <c r="C13" s="82">
        <f>SUM(C14)</f>
        <v>0</v>
      </c>
      <c r="D13" s="83">
        <f t="shared" si="0"/>
        <v>0</v>
      </c>
      <c r="E13" s="76">
        <f t="shared" si="1"/>
        <v>0</v>
      </c>
      <c r="F13" s="22" t="s">
        <v>411</v>
      </c>
      <c r="G13" s="82">
        <f>SUM(G14)</f>
        <v>98046</v>
      </c>
      <c r="H13" s="82">
        <f>SUM(H14)</f>
        <v>13504</v>
      </c>
      <c r="I13" s="85">
        <f>IF(ISERROR(H13/G13)," ",(H13/G13))*100</f>
        <v>13.773126899618546</v>
      </c>
      <c r="J13" s="82">
        <f>H13-'[2]Janvaris'!H13</f>
        <v>6628</v>
      </c>
    </row>
    <row r="14" spans="1:10" ht="12.75">
      <c r="A14" s="86" t="s">
        <v>412</v>
      </c>
      <c r="B14" s="82">
        <v>98046000</v>
      </c>
      <c r="C14" s="82"/>
      <c r="D14" s="83">
        <f t="shared" si="0"/>
        <v>0</v>
      </c>
      <c r="E14" s="76">
        <f t="shared" si="1"/>
        <v>0</v>
      </c>
      <c r="F14" s="86" t="s">
        <v>412</v>
      </c>
      <c r="G14" s="84">
        <f>ROUND(B14/1000,0)</f>
        <v>98046</v>
      </c>
      <c r="H14" s="84">
        <v>13504</v>
      </c>
      <c r="I14" s="85">
        <f>IF(ISERROR(H14/G14)," ",(H14/G14))*100</f>
        <v>13.773126899618546</v>
      </c>
      <c r="J14" s="84">
        <f>H14-'[2]Janvaris'!H14-1</f>
        <v>6627</v>
      </c>
    </row>
    <row r="15" spans="1:10" ht="12.75">
      <c r="A15" s="22" t="s">
        <v>413</v>
      </c>
      <c r="B15" s="82">
        <f>SUM(B16:B18)</f>
        <v>513866797</v>
      </c>
      <c r="C15" s="82">
        <f>SUM(C16:C18)</f>
        <v>0</v>
      </c>
      <c r="D15" s="83">
        <f t="shared" si="0"/>
        <v>0</v>
      </c>
      <c r="E15" s="76">
        <f t="shared" si="1"/>
        <v>0</v>
      </c>
      <c r="F15" s="22" t="s">
        <v>413</v>
      </c>
      <c r="G15" s="82">
        <f>SUM(G16:G18)</f>
        <v>513867</v>
      </c>
      <c r="H15" s="82">
        <f>SUM(H16:H18)</f>
        <v>72909</v>
      </c>
      <c r="I15" s="85">
        <f aca="true" t="shared" si="2" ref="I15:I78">IF(ISERROR(H15/G15)," ",(H15/G15))*100</f>
        <v>14.188301642253734</v>
      </c>
      <c r="J15" s="82">
        <f>H15-'[2]Janvaris'!H15</f>
        <v>32033</v>
      </c>
    </row>
    <row r="16" spans="1:10" ht="12.75" customHeight="1">
      <c r="A16" s="87" t="s">
        <v>414</v>
      </c>
      <c r="B16" s="82">
        <v>368947657</v>
      </c>
      <c r="C16" s="82"/>
      <c r="D16" s="83">
        <f t="shared" si="0"/>
        <v>0</v>
      </c>
      <c r="E16" s="76">
        <f t="shared" si="1"/>
        <v>0</v>
      </c>
      <c r="F16" s="87" t="s">
        <v>414</v>
      </c>
      <c r="G16" s="84">
        <f aca="true" t="shared" si="3" ref="G16:G23">ROUND(B16/1000,0)</f>
        <v>368948</v>
      </c>
      <c r="H16" s="84">
        <v>52068</v>
      </c>
      <c r="I16" s="85">
        <f t="shared" si="2"/>
        <v>14.112557867233322</v>
      </c>
      <c r="J16" s="84">
        <f>H16-'[2]Janvaris'!H16</f>
        <v>22180</v>
      </c>
    </row>
    <row r="17" spans="1:10" ht="12.75">
      <c r="A17" s="86" t="s">
        <v>415</v>
      </c>
      <c r="B17" s="82">
        <v>132976140</v>
      </c>
      <c r="C17" s="82"/>
      <c r="D17" s="83">
        <f t="shared" si="0"/>
        <v>0</v>
      </c>
      <c r="E17" s="76">
        <f t="shared" si="1"/>
        <v>0</v>
      </c>
      <c r="F17" s="86" t="s">
        <v>415</v>
      </c>
      <c r="G17" s="84">
        <f t="shared" si="3"/>
        <v>132976</v>
      </c>
      <c r="H17" s="84">
        <v>18787</v>
      </c>
      <c r="I17" s="85">
        <f t="shared" si="2"/>
        <v>14.128113343761282</v>
      </c>
      <c r="J17" s="84">
        <f>H17-'[2]Janvaris'!H17</f>
        <v>8830</v>
      </c>
    </row>
    <row r="18" spans="1:10" ht="12.75">
      <c r="A18" s="86" t="s">
        <v>416</v>
      </c>
      <c r="B18" s="82">
        <v>11943000</v>
      </c>
      <c r="C18" s="82"/>
      <c r="D18" s="83">
        <f t="shared" si="0"/>
        <v>0</v>
      </c>
      <c r="E18" s="76">
        <f t="shared" si="1"/>
        <v>0</v>
      </c>
      <c r="F18" s="86" t="s">
        <v>416</v>
      </c>
      <c r="G18" s="84">
        <f t="shared" si="3"/>
        <v>11943</v>
      </c>
      <c r="H18" s="84">
        <v>2054</v>
      </c>
      <c r="I18" s="85">
        <f t="shared" si="2"/>
        <v>17.198358871305366</v>
      </c>
      <c r="J18" s="84">
        <f>H18-'[2]Janvaris'!H18</f>
        <v>1023</v>
      </c>
    </row>
    <row r="19" spans="1:10" ht="12.75">
      <c r="A19" s="22" t="s">
        <v>417</v>
      </c>
      <c r="B19" s="82"/>
      <c r="C19" s="82"/>
      <c r="D19" s="83" t="str">
        <f t="shared" si="0"/>
        <v> </v>
      </c>
      <c r="E19" s="76">
        <f t="shared" si="1"/>
        <v>0</v>
      </c>
      <c r="F19" s="22" t="s">
        <v>417</v>
      </c>
      <c r="G19" s="88" t="s">
        <v>360</v>
      </c>
      <c r="H19" s="82">
        <v>3495</v>
      </c>
      <c r="I19" s="85"/>
      <c r="J19" s="82">
        <f>H19-'[2]Janvaris'!H19+1</f>
        <v>551</v>
      </c>
    </row>
    <row r="20" spans="1:10" ht="12.75">
      <c r="A20" s="81" t="s">
        <v>418</v>
      </c>
      <c r="B20" s="82">
        <v>66652153</v>
      </c>
      <c r="C20" s="82"/>
      <c r="D20" s="83">
        <f t="shared" si="0"/>
        <v>0</v>
      </c>
      <c r="E20" s="76">
        <f t="shared" si="1"/>
        <v>0</v>
      </c>
      <c r="F20" s="81" t="s">
        <v>418</v>
      </c>
      <c r="G20" s="84">
        <f t="shared" si="3"/>
        <v>66652</v>
      </c>
      <c r="H20" s="84">
        <v>10859</v>
      </c>
      <c r="I20" s="85">
        <f t="shared" si="2"/>
        <v>16.292084258536878</v>
      </c>
      <c r="J20" s="84">
        <f>H20-'[2]Janvaris'!H20-2</f>
        <v>4639</v>
      </c>
    </row>
    <row r="21" spans="1:10" ht="12.75" customHeight="1">
      <c r="A21" s="89" t="s">
        <v>419</v>
      </c>
      <c r="B21" s="82">
        <v>60659270</v>
      </c>
      <c r="C21" s="82"/>
      <c r="D21" s="83">
        <f t="shared" si="0"/>
        <v>0</v>
      </c>
      <c r="E21" s="76">
        <f t="shared" si="1"/>
        <v>0</v>
      </c>
      <c r="F21" s="89" t="s">
        <v>419</v>
      </c>
      <c r="G21" s="84">
        <f t="shared" si="3"/>
        <v>60659</v>
      </c>
      <c r="H21" s="84">
        <v>10473</v>
      </c>
      <c r="I21" s="85">
        <f t="shared" si="2"/>
        <v>17.265368700440163</v>
      </c>
      <c r="J21" s="84">
        <f>H21-'[2]Janvaris'!H21</f>
        <v>5271</v>
      </c>
    </row>
    <row r="22" spans="1:10" ht="12" customHeight="1">
      <c r="A22" s="89" t="s">
        <v>420</v>
      </c>
      <c r="B22" s="82">
        <f>45600095+10558716</f>
        <v>56158811</v>
      </c>
      <c r="C22" s="82"/>
      <c r="D22" s="83"/>
      <c r="E22" s="76"/>
      <c r="F22" s="89" t="s">
        <v>421</v>
      </c>
      <c r="G22" s="84">
        <f t="shared" si="3"/>
        <v>56159</v>
      </c>
      <c r="H22" s="84">
        <v>2846</v>
      </c>
      <c r="I22" s="85">
        <f t="shared" si="2"/>
        <v>5.067754055449705</v>
      </c>
      <c r="J22" s="84">
        <f>H22-'[2]Janvaris'!H22</f>
        <v>498</v>
      </c>
    </row>
    <row r="23" spans="1:10" ht="12.75" customHeight="1">
      <c r="A23" s="90" t="s">
        <v>422</v>
      </c>
      <c r="B23" s="82">
        <v>1201200</v>
      </c>
      <c r="C23" s="82"/>
      <c r="D23" s="83">
        <f t="shared" si="0"/>
        <v>0</v>
      </c>
      <c r="E23" s="76">
        <f t="shared" si="1"/>
        <v>0</v>
      </c>
      <c r="F23" s="90" t="s">
        <v>422</v>
      </c>
      <c r="G23" s="91">
        <f t="shared" si="3"/>
        <v>1201</v>
      </c>
      <c r="H23" s="92">
        <v>200</v>
      </c>
      <c r="I23" s="93">
        <f t="shared" si="2"/>
        <v>16.65278934221482</v>
      </c>
      <c r="J23" s="92">
        <f>H23-'[2]Janvaris'!H23</f>
        <v>100</v>
      </c>
    </row>
    <row r="24" spans="1:10" ht="12.75" customHeight="1">
      <c r="A24" s="80" t="s">
        <v>423</v>
      </c>
      <c r="B24" s="76">
        <f>SUM(B11-B23)</f>
        <v>794181831</v>
      </c>
      <c r="C24" s="76">
        <f>SUM(C11-C23)</f>
        <v>0</v>
      </c>
      <c r="D24" s="77">
        <f t="shared" si="0"/>
        <v>0</v>
      </c>
      <c r="E24" s="76">
        <f t="shared" si="1"/>
        <v>0</v>
      </c>
      <c r="F24" s="80" t="s">
        <v>423</v>
      </c>
      <c r="G24" s="78">
        <f>SUM(G11-G23)</f>
        <v>794182</v>
      </c>
      <c r="H24" s="78">
        <f>SUM(H11-H23)</f>
        <v>113886</v>
      </c>
      <c r="I24" s="79">
        <f t="shared" si="2"/>
        <v>14.340037925815494</v>
      </c>
      <c r="J24" s="78">
        <f>H24-'[2]Janvaris'!H24</f>
        <v>49521</v>
      </c>
    </row>
    <row r="25" spans="1:10" ht="12.75">
      <c r="A25" s="19" t="s">
        <v>424</v>
      </c>
      <c r="B25" s="76">
        <f>SUM(B26)</f>
        <v>725518701</v>
      </c>
      <c r="C25" s="76">
        <f>SUM(C26)</f>
        <v>0</v>
      </c>
      <c r="D25" s="77">
        <f t="shared" si="0"/>
        <v>0</v>
      </c>
      <c r="E25" s="76">
        <f t="shared" si="1"/>
        <v>0</v>
      </c>
      <c r="F25" s="19" t="s">
        <v>424</v>
      </c>
      <c r="G25" s="78">
        <f>SUM(G26)</f>
        <v>725518</v>
      </c>
      <c r="H25" s="78">
        <f>SUM(H26)</f>
        <v>108374</v>
      </c>
      <c r="I25" s="79">
        <f t="shared" si="2"/>
        <v>14.937465369570432</v>
      </c>
      <c r="J25" s="78">
        <f>H25-'[2]Janvaris'!H25</f>
        <v>52511</v>
      </c>
    </row>
    <row r="26" spans="1:10" ht="12.75">
      <c r="A26" s="81" t="s">
        <v>425</v>
      </c>
      <c r="B26" s="82">
        <f>SUM(B27:B31)</f>
        <v>725518701</v>
      </c>
      <c r="C26" s="82">
        <f>SUM(C27:C31)</f>
        <v>0</v>
      </c>
      <c r="D26" s="83">
        <f t="shared" si="0"/>
        <v>0</v>
      </c>
      <c r="E26" s="76">
        <f t="shared" si="1"/>
        <v>0</v>
      </c>
      <c r="F26" s="81" t="s">
        <v>425</v>
      </c>
      <c r="G26" s="84">
        <f>SUM(G27:G31)</f>
        <v>725518</v>
      </c>
      <c r="H26" s="84">
        <f>SUM(H27:H31)</f>
        <v>108374</v>
      </c>
      <c r="I26" s="85">
        <f t="shared" si="2"/>
        <v>14.937465369570432</v>
      </c>
      <c r="J26" s="84">
        <f>H26-'[2]Janvaris'!H26</f>
        <v>52511</v>
      </c>
    </row>
    <row r="27" spans="1:10" ht="12.75">
      <c r="A27" s="86" t="s">
        <v>426</v>
      </c>
      <c r="B27" s="82">
        <v>495585390</v>
      </c>
      <c r="C27" s="82"/>
      <c r="D27" s="83">
        <f t="shared" si="0"/>
        <v>0</v>
      </c>
      <c r="E27" s="76">
        <f t="shared" si="1"/>
        <v>0</v>
      </c>
      <c r="F27" s="86" t="s">
        <v>426</v>
      </c>
      <c r="G27" s="84">
        <f aca="true" t="shared" si="4" ref="G27:G32">ROUND(B27/1000,0)</f>
        <v>495585</v>
      </c>
      <c r="H27" s="84">
        <v>74702</v>
      </c>
      <c r="I27" s="85">
        <f t="shared" si="2"/>
        <v>15.073498996135882</v>
      </c>
      <c r="J27" s="84">
        <f>H27-'[2]Janvaris'!H27</f>
        <v>36556</v>
      </c>
    </row>
    <row r="28" spans="1:10" ht="12.75">
      <c r="A28" s="86" t="s">
        <v>427</v>
      </c>
      <c r="B28" s="82">
        <v>51689860</v>
      </c>
      <c r="C28" s="82"/>
      <c r="D28" s="83">
        <f t="shared" si="0"/>
        <v>0</v>
      </c>
      <c r="E28" s="76">
        <f t="shared" si="1"/>
        <v>0</v>
      </c>
      <c r="F28" s="86" t="s">
        <v>427</v>
      </c>
      <c r="G28" s="84">
        <f t="shared" si="4"/>
        <v>51690</v>
      </c>
      <c r="H28" s="84">
        <f>6238+74+222+109</f>
        <v>6643</v>
      </c>
      <c r="I28" s="85">
        <f t="shared" si="2"/>
        <v>12.851615399497001</v>
      </c>
      <c r="J28" s="84">
        <f>H28-'[2]Janvaris'!H28</f>
        <v>2966</v>
      </c>
    </row>
    <row r="29" spans="1:10" ht="12.75">
      <c r="A29" s="86" t="s">
        <v>428</v>
      </c>
      <c r="B29" s="82">
        <v>80619197</v>
      </c>
      <c r="C29" s="82"/>
      <c r="D29" s="83">
        <f t="shared" si="0"/>
        <v>0</v>
      </c>
      <c r="E29" s="76">
        <f t="shared" si="1"/>
        <v>0</v>
      </c>
      <c r="F29" s="86" t="s">
        <v>428</v>
      </c>
      <c r="G29" s="84">
        <f t="shared" si="4"/>
        <v>80619</v>
      </c>
      <c r="H29" s="84">
        <f>11690</f>
        <v>11690</v>
      </c>
      <c r="I29" s="85">
        <f t="shared" si="2"/>
        <v>14.500303898584702</v>
      </c>
      <c r="J29" s="84">
        <f>H29-'[2]Janvaris'!H29</f>
        <v>5861</v>
      </c>
    </row>
    <row r="30" spans="1:10" ht="12.75">
      <c r="A30" s="86" t="s">
        <v>429</v>
      </c>
      <c r="B30" s="82">
        <f>1678188+926917</f>
        <v>2605105</v>
      </c>
      <c r="C30" s="82"/>
      <c r="D30" s="83">
        <f t="shared" si="0"/>
        <v>0</v>
      </c>
      <c r="E30" s="76">
        <f t="shared" si="1"/>
        <v>0</v>
      </c>
      <c r="F30" s="86" t="s">
        <v>430</v>
      </c>
      <c r="G30" s="84">
        <f t="shared" si="4"/>
        <v>2605</v>
      </c>
      <c r="H30" s="84">
        <f>520</f>
        <v>520</v>
      </c>
      <c r="I30" s="85">
        <f t="shared" si="2"/>
        <v>19.961612284069098</v>
      </c>
      <c r="J30" s="84">
        <f>H30-'[2]Janvaris'!H30</f>
        <v>30</v>
      </c>
    </row>
    <row r="31" spans="1:10" ht="12.75">
      <c r="A31" s="86" t="s">
        <v>431</v>
      </c>
      <c r="B31" s="82">
        <v>95019149</v>
      </c>
      <c r="C31" s="82"/>
      <c r="D31" s="83">
        <f t="shared" si="0"/>
        <v>0</v>
      </c>
      <c r="E31" s="76">
        <f t="shared" si="1"/>
        <v>0</v>
      </c>
      <c r="F31" s="86" t="s">
        <v>431</v>
      </c>
      <c r="G31" s="84">
        <f t="shared" si="4"/>
        <v>95019</v>
      </c>
      <c r="H31" s="84">
        <v>14819</v>
      </c>
      <c r="I31" s="85">
        <f t="shared" si="2"/>
        <v>15.595828202780496</v>
      </c>
      <c r="J31" s="84">
        <f>H31-'[2]Janvaris'!H31</f>
        <v>7098</v>
      </c>
    </row>
    <row r="32" spans="1:10" ht="12.75">
      <c r="A32" s="94" t="s">
        <v>432</v>
      </c>
      <c r="B32" s="82">
        <v>63744052</v>
      </c>
      <c r="C32" s="82"/>
      <c r="D32" s="83">
        <f t="shared" si="0"/>
        <v>0</v>
      </c>
      <c r="E32" s="76">
        <f t="shared" si="1"/>
        <v>0</v>
      </c>
      <c r="F32" s="94" t="s">
        <v>432</v>
      </c>
      <c r="G32" s="91">
        <f t="shared" si="4"/>
        <v>63744</v>
      </c>
      <c r="H32" s="82">
        <v>9838</v>
      </c>
      <c r="I32" s="93">
        <f t="shared" si="2"/>
        <v>15.433609437751002</v>
      </c>
      <c r="J32" s="82">
        <f>H32-'[2]Janvaris'!H32</f>
        <v>4653</v>
      </c>
    </row>
    <row r="33" spans="1:10" ht="12.75" customHeight="1">
      <c r="A33" s="80" t="s">
        <v>433</v>
      </c>
      <c r="B33" s="76">
        <f>SUM(B25-B32)</f>
        <v>661774649</v>
      </c>
      <c r="C33" s="76">
        <f>SUM(C25-C32)</f>
        <v>0</v>
      </c>
      <c r="D33" s="77">
        <f t="shared" si="0"/>
        <v>0</v>
      </c>
      <c r="E33" s="76">
        <f t="shared" si="1"/>
        <v>0</v>
      </c>
      <c r="F33" s="80" t="s">
        <v>433</v>
      </c>
      <c r="G33" s="78">
        <f>SUM(G25-G32)</f>
        <v>661774</v>
      </c>
      <c r="H33" s="78">
        <f>SUM(H25-H32)</f>
        <v>98536</v>
      </c>
      <c r="I33" s="79">
        <f t="shared" si="2"/>
        <v>14.889675327226515</v>
      </c>
      <c r="J33" s="78">
        <f>H33-'[2]Janvaris'!H33</f>
        <v>47858</v>
      </c>
    </row>
    <row r="34" spans="1:10" ht="15" customHeight="1">
      <c r="A34" s="95" t="s">
        <v>434</v>
      </c>
      <c r="B34" s="76">
        <f>SUM(B35:B37)</f>
        <v>1522764836</v>
      </c>
      <c r="C34" s="76">
        <f>SUM(C35:C37)</f>
        <v>0</v>
      </c>
      <c r="D34" s="77">
        <f t="shared" si="0"/>
        <v>0</v>
      </c>
      <c r="E34" s="76">
        <f t="shared" si="1"/>
        <v>0</v>
      </c>
      <c r="F34" s="95" t="s">
        <v>434</v>
      </c>
      <c r="G34" s="78">
        <f>SUM(G35:G37)</f>
        <v>1522764</v>
      </c>
      <c r="H34" s="78">
        <f>SUM(H35:H37)</f>
        <v>219818</v>
      </c>
      <c r="I34" s="79">
        <f t="shared" si="2"/>
        <v>14.43546078052804</v>
      </c>
      <c r="J34" s="78">
        <f>H34-'[2]Janvaris'!H34</f>
        <v>108891</v>
      </c>
    </row>
    <row r="35" spans="1:10" ht="38.25">
      <c r="A35" s="95" t="s">
        <v>435</v>
      </c>
      <c r="B35" s="76">
        <f>SUM(B52+B69)</f>
        <v>1411058420</v>
      </c>
      <c r="C35" s="76">
        <f>SUM(C52+C69)</f>
        <v>0</v>
      </c>
      <c r="D35" s="77">
        <f t="shared" si="0"/>
        <v>0</v>
      </c>
      <c r="E35" s="76">
        <f t="shared" si="1"/>
        <v>0</v>
      </c>
      <c r="F35" s="95" t="s">
        <v>435</v>
      </c>
      <c r="G35" s="78">
        <f>SUM(G52+G69)</f>
        <v>1411058</v>
      </c>
      <c r="H35" s="78">
        <f>SUM(H52+H69)</f>
        <v>210911</v>
      </c>
      <c r="I35" s="79">
        <f t="shared" si="2"/>
        <v>14.947011391452373</v>
      </c>
      <c r="J35" s="78">
        <f>H35-'[2]Janvaris'!H35</f>
        <v>105584</v>
      </c>
    </row>
    <row r="36" spans="1:10" ht="25.5">
      <c r="A36" s="95" t="s">
        <v>436</v>
      </c>
      <c r="B36" s="76">
        <f>SUM(B54+B71)</f>
        <v>37213049</v>
      </c>
      <c r="C36" s="76">
        <f>SUM(C54+C71)</f>
        <v>0</v>
      </c>
      <c r="D36" s="77">
        <f t="shared" si="0"/>
        <v>0</v>
      </c>
      <c r="E36" s="76">
        <f t="shared" si="1"/>
        <v>0</v>
      </c>
      <c r="F36" s="95" t="s">
        <v>436</v>
      </c>
      <c r="G36" s="78">
        <f>SUM(G54+G71)</f>
        <v>37213</v>
      </c>
      <c r="H36" s="78">
        <f>SUM(H54+H71)</f>
        <v>5277</v>
      </c>
      <c r="I36" s="79">
        <f t="shared" si="2"/>
        <v>14.180528309999193</v>
      </c>
      <c r="J36" s="78">
        <f>H36-'[2]Janvaris'!H36</f>
        <v>1602</v>
      </c>
    </row>
    <row r="37" spans="1:10" ht="38.25">
      <c r="A37" s="95" t="s">
        <v>437</v>
      </c>
      <c r="B37" s="76">
        <f>SUM(B57+B73)</f>
        <v>74493367</v>
      </c>
      <c r="C37" s="76">
        <f>SUM(C57+C73)</f>
        <v>0</v>
      </c>
      <c r="D37" s="77">
        <f t="shared" si="0"/>
        <v>0</v>
      </c>
      <c r="E37" s="76">
        <f t="shared" si="1"/>
        <v>0</v>
      </c>
      <c r="F37" s="95" t="s">
        <v>437</v>
      </c>
      <c r="G37" s="78">
        <f>SUM(G57+G73)</f>
        <v>74493</v>
      </c>
      <c r="H37" s="78">
        <f>SUM(H57+H73)</f>
        <v>3630</v>
      </c>
      <c r="I37" s="79">
        <f t="shared" si="2"/>
        <v>4.8729410817123755</v>
      </c>
      <c r="J37" s="78">
        <f>H37-'[2]Janvaris'!H37</f>
        <v>1705</v>
      </c>
    </row>
    <row r="38" spans="1:10" ht="26.25" customHeight="1">
      <c r="A38" s="95" t="s">
        <v>438</v>
      </c>
      <c r="B38" s="76">
        <f>SUM(B10-B34)</f>
        <v>-66808356</v>
      </c>
      <c r="C38" s="76">
        <f>SUM(C10-C34)</f>
        <v>0</v>
      </c>
      <c r="D38" s="77">
        <f t="shared" si="0"/>
        <v>0</v>
      </c>
      <c r="E38" s="76">
        <f t="shared" si="1"/>
        <v>0</v>
      </c>
      <c r="F38" s="95" t="s">
        <v>438</v>
      </c>
      <c r="G38" s="78">
        <f>SUM(G10-G34)</f>
        <v>-66808</v>
      </c>
      <c r="H38" s="78">
        <f>SUM(H10-H34)</f>
        <v>-7396</v>
      </c>
      <c r="I38" s="79">
        <f t="shared" si="2"/>
        <v>11.070530475392168</v>
      </c>
      <c r="J38" s="78">
        <f>H38-'[2]Janvaris'!H38</f>
        <v>-11512</v>
      </c>
    </row>
    <row r="39" spans="1:10" ht="15" customHeight="1">
      <c r="A39" s="95" t="s">
        <v>439</v>
      </c>
      <c r="B39" s="76">
        <f>SUM(B59+B75)</f>
        <v>12372983</v>
      </c>
      <c r="C39" s="76">
        <f>SUM(C59+C75)</f>
        <v>0</v>
      </c>
      <c r="D39" s="77">
        <f t="shared" si="0"/>
        <v>0</v>
      </c>
      <c r="E39" s="76">
        <f t="shared" si="1"/>
        <v>0</v>
      </c>
      <c r="F39" s="95" t="s">
        <v>439</v>
      </c>
      <c r="G39" s="78">
        <f>SUM(G59+G75)</f>
        <v>12373</v>
      </c>
      <c r="H39" s="78">
        <f>SUM(H59+H75)</f>
        <v>119</v>
      </c>
      <c r="I39" s="79">
        <f t="shared" si="2"/>
        <v>0.9617715994504162</v>
      </c>
      <c r="J39" s="78">
        <f>H39-'[2]Janvaris'!H39</f>
        <v>-106</v>
      </c>
    </row>
    <row r="40" spans="1:10" ht="27" customHeight="1">
      <c r="A40" s="95" t="s">
        <v>440</v>
      </c>
      <c r="B40" s="76">
        <f>SUM(B34+B39)</f>
        <v>1535137819</v>
      </c>
      <c r="C40" s="76">
        <f>SUM(C34+C39)</f>
        <v>0</v>
      </c>
      <c r="D40" s="77">
        <f t="shared" si="0"/>
        <v>0</v>
      </c>
      <c r="E40" s="76">
        <f t="shared" si="1"/>
        <v>0</v>
      </c>
      <c r="F40" s="95" t="s">
        <v>440</v>
      </c>
      <c r="G40" s="78">
        <f>SUM(G34+G39)</f>
        <v>1535137</v>
      </c>
      <c r="H40" s="78">
        <f>SUM(H34+H39)</f>
        <v>219937</v>
      </c>
      <c r="I40" s="79">
        <f t="shared" si="2"/>
        <v>14.326864638139789</v>
      </c>
      <c r="J40" s="78">
        <f>H40-'[2]Janvaris'!H40</f>
        <v>108785</v>
      </c>
    </row>
    <row r="41" spans="1:10" ht="25.5">
      <c r="A41" s="95" t="s">
        <v>441</v>
      </c>
      <c r="B41" s="76">
        <f>IF((B38-B39=B10-B40)=TRUE,B38-B39,9)</f>
        <v>-79181339</v>
      </c>
      <c r="C41" s="78">
        <f>C38-C39</f>
        <v>0</v>
      </c>
      <c r="D41" s="77">
        <f t="shared" si="0"/>
        <v>0</v>
      </c>
      <c r="E41" s="76">
        <f t="shared" si="1"/>
        <v>0</v>
      </c>
      <c r="F41" s="95" t="s">
        <v>441</v>
      </c>
      <c r="G41" s="78">
        <f>IF((G38-G39=G10-G40)=TRUE,G38-G39,9)</f>
        <v>-79181</v>
      </c>
      <c r="H41" s="78">
        <f>IF((H38-H39=H10-H40)=TRUE,H38-H39,9)</f>
        <v>-7515</v>
      </c>
      <c r="I41" s="78">
        <f t="shared" si="2"/>
        <v>9.49091322413205</v>
      </c>
      <c r="J41" s="78">
        <f>H41-'[2]Janvaris'!H41</f>
        <v>-11406</v>
      </c>
    </row>
    <row r="42" spans="1:10" ht="12.75">
      <c r="A42" s="95"/>
      <c r="B42" s="76"/>
      <c r="C42" s="78"/>
      <c r="D42" s="77"/>
      <c r="E42" s="76"/>
      <c r="F42" s="96" t="s">
        <v>442</v>
      </c>
      <c r="G42" s="78"/>
      <c r="H42" s="78"/>
      <c r="I42" s="78"/>
      <c r="J42" s="78">
        <f>H42-'[2]Janvaris'!H42</f>
        <v>0</v>
      </c>
    </row>
    <row r="43" spans="1:10" ht="25.5">
      <c r="A43" s="95"/>
      <c r="B43" s="76"/>
      <c r="C43" s="78"/>
      <c r="D43" s="77"/>
      <c r="E43" s="76"/>
      <c r="F43" s="96" t="s">
        <v>443</v>
      </c>
      <c r="G43" s="97">
        <v>15000</v>
      </c>
      <c r="H43" s="97">
        <v>0</v>
      </c>
      <c r="I43" s="97">
        <f t="shared" si="2"/>
        <v>0</v>
      </c>
      <c r="J43" s="97">
        <f>H43-'[2]Janvaris'!H43</f>
        <v>-3240</v>
      </c>
    </row>
    <row r="44" spans="1:10" ht="25.5">
      <c r="A44" s="95"/>
      <c r="B44" s="76"/>
      <c r="C44" s="78"/>
      <c r="D44" s="77"/>
      <c r="E44" s="76"/>
      <c r="F44" s="96" t="s">
        <v>444</v>
      </c>
      <c r="G44" s="97">
        <v>300</v>
      </c>
      <c r="H44" s="97">
        <v>260</v>
      </c>
      <c r="I44" s="97">
        <f t="shared" si="2"/>
        <v>86.66666666666667</v>
      </c>
      <c r="J44" s="97">
        <f>H44-'[2]Janvaris'!H44</f>
        <v>45</v>
      </c>
    </row>
    <row r="45" spans="1:10" ht="12.75">
      <c r="A45" s="95"/>
      <c r="B45" s="76"/>
      <c r="C45" s="78"/>
      <c r="D45" s="77"/>
      <c r="E45" s="76"/>
      <c r="F45" s="96" t="s">
        <v>445</v>
      </c>
      <c r="G45" s="97">
        <v>63881</v>
      </c>
      <c r="H45" s="97">
        <v>48809</v>
      </c>
      <c r="I45" s="97">
        <f t="shared" si="2"/>
        <v>76.40613014824439</v>
      </c>
      <c r="J45" s="97">
        <f>H45-'[2]Janvaris'!H45</f>
        <v>-13678</v>
      </c>
    </row>
    <row r="46" spans="1:10" ht="12.75">
      <c r="A46" s="95"/>
      <c r="B46" s="76"/>
      <c r="C46" s="78"/>
      <c r="D46" s="77"/>
      <c r="E46" s="76"/>
      <c r="F46" s="96" t="s">
        <v>446</v>
      </c>
      <c r="G46" s="98" t="s">
        <v>360</v>
      </c>
      <c r="H46" s="97">
        <v>-41554</v>
      </c>
      <c r="I46" s="97"/>
      <c r="J46" s="97">
        <f>H46-'[2]Janvaris'!H46</f>
        <v>28279</v>
      </c>
    </row>
    <row r="47" spans="1:10" ht="12.75">
      <c r="A47" s="80" t="s">
        <v>447</v>
      </c>
      <c r="B47" s="76">
        <f>B50+B53+B55</f>
        <v>822563488</v>
      </c>
      <c r="C47" s="76">
        <f>C50+C53+C55</f>
        <v>0</v>
      </c>
      <c r="D47" s="77">
        <f t="shared" si="0"/>
        <v>0</v>
      </c>
      <c r="E47" s="76">
        <f t="shared" si="1"/>
        <v>0</v>
      </c>
      <c r="F47" s="80" t="s">
        <v>447</v>
      </c>
      <c r="G47" s="78">
        <f>G50+G53+G55</f>
        <v>822563</v>
      </c>
      <c r="H47" s="78">
        <f>H50+H53+H55</f>
        <v>112027</v>
      </c>
      <c r="I47" s="79">
        <f t="shared" si="2"/>
        <v>13.619260773946799</v>
      </c>
      <c r="J47" s="78">
        <f>H47-'[2]Janvaris'!H47</f>
        <v>56494</v>
      </c>
    </row>
    <row r="48" spans="1:10" ht="12.75">
      <c r="A48" s="99" t="s">
        <v>448</v>
      </c>
      <c r="B48" s="82">
        <f>B51+B56</f>
        <v>63744052</v>
      </c>
      <c r="C48" s="82">
        <f>C51+C56</f>
        <v>0</v>
      </c>
      <c r="D48" s="83">
        <f t="shared" si="0"/>
        <v>0</v>
      </c>
      <c r="E48" s="76">
        <f t="shared" si="1"/>
        <v>0</v>
      </c>
      <c r="F48" s="99" t="s">
        <v>448</v>
      </c>
      <c r="G48" s="91">
        <f>G51+G56</f>
        <v>63744</v>
      </c>
      <c r="H48" s="91">
        <f>H51+H56</f>
        <v>9838</v>
      </c>
      <c r="I48" s="93">
        <f t="shared" si="2"/>
        <v>15.433609437751002</v>
      </c>
      <c r="J48" s="91">
        <f>H48-'[2]Janvaris'!H48</f>
        <v>4653</v>
      </c>
    </row>
    <row r="49" spans="1:10" ht="13.5" customHeight="1">
      <c r="A49" s="80" t="s">
        <v>449</v>
      </c>
      <c r="B49" s="76">
        <f>SUM(B47-B48)</f>
        <v>758819436</v>
      </c>
      <c r="C49" s="76">
        <f>SUM(C47-C48)</f>
        <v>0</v>
      </c>
      <c r="D49" s="77">
        <f t="shared" si="0"/>
        <v>0</v>
      </c>
      <c r="E49" s="76">
        <f t="shared" si="1"/>
        <v>0</v>
      </c>
      <c r="F49" s="80" t="s">
        <v>449</v>
      </c>
      <c r="G49" s="78">
        <f>SUM(G47-G48)</f>
        <v>758819</v>
      </c>
      <c r="H49" s="78">
        <f>SUM(H47-H48)</f>
        <v>102189</v>
      </c>
      <c r="I49" s="79">
        <f t="shared" si="2"/>
        <v>13.46684782537074</v>
      </c>
      <c r="J49" s="78">
        <f>H49-'[2]Janvaris'!H49</f>
        <v>51841</v>
      </c>
    </row>
    <row r="50" spans="1:10" ht="12.75">
      <c r="A50" s="81" t="s">
        <v>450</v>
      </c>
      <c r="B50" s="82">
        <f>736101793+7241586</f>
        <v>743343379</v>
      </c>
      <c r="C50" s="82"/>
      <c r="D50" s="83">
        <f t="shared" si="0"/>
        <v>0</v>
      </c>
      <c r="E50" s="76">
        <f t="shared" si="1"/>
        <v>0</v>
      </c>
      <c r="F50" s="81" t="s">
        <v>450</v>
      </c>
      <c r="G50" s="82">
        <f>ROUND(B50/1000,0)</f>
        <v>743343</v>
      </c>
      <c r="H50" s="82">
        <v>107105</v>
      </c>
      <c r="I50" s="85">
        <f t="shared" si="2"/>
        <v>14.408557018765228</v>
      </c>
      <c r="J50" s="82">
        <f>H50-'[2]Janvaris'!H50</f>
        <v>53730</v>
      </c>
    </row>
    <row r="51" spans="1:10" ht="12.75">
      <c r="A51" s="94" t="s">
        <v>451</v>
      </c>
      <c r="B51" s="82">
        <v>62992652</v>
      </c>
      <c r="C51" s="82"/>
      <c r="D51" s="83">
        <f t="shared" si="0"/>
        <v>0</v>
      </c>
      <c r="E51" s="76">
        <f t="shared" si="1"/>
        <v>0</v>
      </c>
      <c r="F51" s="94" t="s">
        <v>451</v>
      </c>
      <c r="G51" s="91">
        <f>ROUND(B51/1000,0)</f>
        <v>62993</v>
      </c>
      <c r="H51" s="91">
        <v>9666</v>
      </c>
      <c r="I51" s="93">
        <f t="shared" si="2"/>
        <v>15.344562094200942</v>
      </c>
      <c r="J51" s="91">
        <f>H51-'[2]Janvaris'!H51</f>
        <v>4601</v>
      </c>
    </row>
    <row r="52" spans="1:10" ht="13.5" customHeight="1">
      <c r="A52" s="80" t="s">
        <v>452</v>
      </c>
      <c r="B52" s="76">
        <f>SUM(B50-B51)</f>
        <v>680350727</v>
      </c>
      <c r="C52" s="76">
        <f>SUM(C50-C51)</f>
        <v>0</v>
      </c>
      <c r="D52" s="77">
        <f t="shared" si="0"/>
        <v>0</v>
      </c>
      <c r="E52" s="76">
        <f t="shared" si="1"/>
        <v>0</v>
      </c>
      <c r="F52" s="80" t="s">
        <v>452</v>
      </c>
      <c r="G52" s="78">
        <f>SUM(G50-G51)</f>
        <v>680350</v>
      </c>
      <c r="H52" s="78">
        <f>SUM(H50-H51)</f>
        <v>97439</v>
      </c>
      <c r="I52" s="79">
        <f t="shared" si="2"/>
        <v>14.321893143235098</v>
      </c>
      <c r="J52" s="78">
        <f>H52-'[2]Janvaris'!H52</f>
        <v>49129</v>
      </c>
    </row>
    <row r="53" spans="1:10" ht="12.75">
      <c r="A53" s="81" t="s">
        <v>453</v>
      </c>
      <c r="B53" s="82">
        <f>22316983+2357780</f>
        <v>24674763</v>
      </c>
      <c r="C53" s="82"/>
      <c r="D53" s="83">
        <f t="shared" si="0"/>
        <v>0</v>
      </c>
      <c r="E53" s="76">
        <f t="shared" si="1"/>
        <v>0</v>
      </c>
      <c r="F53" s="81" t="s">
        <v>453</v>
      </c>
      <c r="G53" s="82">
        <f>ROUND(B53/1000,0)</f>
        <v>24675</v>
      </c>
      <c r="H53" s="82">
        <v>1742</v>
      </c>
      <c r="I53" s="85">
        <f t="shared" si="2"/>
        <v>7.059777102330293</v>
      </c>
      <c r="J53" s="82">
        <f>H53-'[2]Janvaris'!H53</f>
        <v>1244</v>
      </c>
    </row>
    <row r="54" spans="1:10" ht="15" customHeight="1">
      <c r="A54" s="80" t="s">
        <v>454</v>
      </c>
      <c r="B54" s="76">
        <f>SUM(B53)</f>
        <v>24674763</v>
      </c>
      <c r="C54" s="76">
        <f>SUM(C53)</f>
        <v>0</v>
      </c>
      <c r="D54" s="77">
        <f t="shared" si="0"/>
        <v>0</v>
      </c>
      <c r="E54" s="76">
        <f t="shared" si="1"/>
        <v>0</v>
      </c>
      <c r="F54" s="80" t="s">
        <v>454</v>
      </c>
      <c r="G54" s="78">
        <f>SUM(G53)</f>
        <v>24675</v>
      </c>
      <c r="H54" s="78">
        <f>SUM(H53)</f>
        <v>1742</v>
      </c>
      <c r="I54" s="79">
        <f t="shared" si="2"/>
        <v>7.059777102330293</v>
      </c>
      <c r="J54" s="78">
        <f>H54-'[2]Janvaris'!H54</f>
        <v>1244</v>
      </c>
    </row>
    <row r="55" spans="1:10" ht="12.75">
      <c r="A55" s="81" t="s">
        <v>455</v>
      </c>
      <c r="B55" s="82">
        <f>53585996+959350</f>
        <v>54545346</v>
      </c>
      <c r="C55" s="82"/>
      <c r="D55" s="83">
        <f t="shared" si="0"/>
        <v>0</v>
      </c>
      <c r="E55" s="76">
        <f t="shared" si="1"/>
        <v>0</v>
      </c>
      <c r="F55" s="81" t="s">
        <v>455</v>
      </c>
      <c r="G55" s="82">
        <f>ROUND(B55/1000,0)</f>
        <v>54545</v>
      </c>
      <c r="H55" s="82">
        <v>3180</v>
      </c>
      <c r="I55" s="85">
        <f t="shared" si="2"/>
        <v>5.830048583738198</v>
      </c>
      <c r="J55" s="82">
        <f>H55-'[2]Janvaris'!H55</f>
        <v>1520</v>
      </c>
    </row>
    <row r="56" spans="1:10" ht="12.75">
      <c r="A56" s="94" t="s">
        <v>456</v>
      </c>
      <c r="B56" s="82">
        <v>751400</v>
      </c>
      <c r="C56" s="82"/>
      <c r="D56" s="83">
        <f t="shared" si="0"/>
        <v>0</v>
      </c>
      <c r="E56" s="76">
        <f t="shared" si="1"/>
        <v>0</v>
      </c>
      <c r="F56" s="94" t="s">
        <v>456</v>
      </c>
      <c r="G56" s="91">
        <f>ROUND(B56/1000,0)</f>
        <v>751</v>
      </c>
      <c r="H56" s="91">
        <v>172</v>
      </c>
      <c r="I56" s="93">
        <f t="shared" si="2"/>
        <v>22.902796271637815</v>
      </c>
      <c r="J56" s="91">
        <f>H56-'[2]Janvaris'!H56</f>
        <v>52</v>
      </c>
    </row>
    <row r="57" spans="1:10" ht="14.25" customHeight="1">
      <c r="A57" s="80" t="s">
        <v>457</v>
      </c>
      <c r="B57" s="76">
        <f>SUM(B55-B56)</f>
        <v>53793946</v>
      </c>
      <c r="C57" s="76">
        <f>SUM(C55-C56)</f>
        <v>0</v>
      </c>
      <c r="D57" s="77">
        <f t="shared" si="0"/>
        <v>0</v>
      </c>
      <c r="E57" s="76">
        <f t="shared" si="1"/>
        <v>0</v>
      </c>
      <c r="F57" s="80" t="s">
        <v>457</v>
      </c>
      <c r="G57" s="78">
        <f>SUM(G55-G56)</f>
        <v>53794</v>
      </c>
      <c r="H57" s="78">
        <f>SUM(H55-H56)</f>
        <v>3008</v>
      </c>
      <c r="I57" s="79">
        <f t="shared" si="2"/>
        <v>5.591701676766926</v>
      </c>
      <c r="J57" s="78">
        <f>H57-'[2]Janvaris'!H57</f>
        <v>1468</v>
      </c>
    </row>
    <row r="58" spans="1:10" ht="27" customHeight="1">
      <c r="A58" s="95" t="s">
        <v>458</v>
      </c>
      <c r="B58" s="76">
        <f>SUM(B11-B47)</f>
        <v>-27180457</v>
      </c>
      <c r="C58" s="76">
        <f>SUM(C11-C47)</f>
        <v>0</v>
      </c>
      <c r="D58" s="77">
        <f t="shared" si="0"/>
        <v>0</v>
      </c>
      <c r="E58" s="76">
        <f t="shared" si="1"/>
        <v>0</v>
      </c>
      <c r="F58" s="95" t="s">
        <v>458</v>
      </c>
      <c r="G58" s="78">
        <f>SUM(G11-G47)</f>
        <v>-27180</v>
      </c>
      <c r="H58" s="78">
        <f>SUM(H11-H47)</f>
        <v>2059</v>
      </c>
      <c r="I58" s="79">
        <f t="shared" si="2"/>
        <v>-7.57542310522443</v>
      </c>
      <c r="J58" s="78">
        <f>H58-'[2]Janvaris'!H58</f>
        <v>-6873</v>
      </c>
    </row>
    <row r="59" spans="1:10" ht="14.25" customHeight="1">
      <c r="A59" s="80" t="s">
        <v>459</v>
      </c>
      <c r="B59" s="76">
        <f>B62</f>
        <v>5673780</v>
      </c>
      <c r="C59" s="76"/>
      <c r="D59" s="77">
        <f t="shared" si="0"/>
        <v>0</v>
      </c>
      <c r="E59" s="76">
        <f t="shared" si="1"/>
        <v>0</v>
      </c>
      <c r="F59" s="80" t="s">
        <v>459</v>
      </c>
      <c r="G59" s="78">
        <f>G62</f>
        <v>5674</v>
      </c>
      <c r="H59" s="78">
        <f>H62</f>
        <v>-1006</v>
      </c>
      <c r="I59" s="79">
        <f t="shared" si="2"/>
        <v>-17.729996475149807</v>
      </c>
      <c r="J59" s="78">
        <f>H59-'[2]Janvaris'!H59</f>
        <v>-763</v>
      </c>
    </row>
    <row r="60" spans="1:10" ht="12.75">
      <c r="A60" s="81" t="s">
        <v>460</v>
      </c>
      <c r="B60" s="82">
        <v>48898920</v>
      </c>
      <c r="C60" s="82"/>
      <c r="D60" s="83">
        <f t="shared" si="0"/>
        <v>0</v>
      </c>
      <c r="E60" s="76">
        <f t="shared" si="1"/>
        <v>0</v>
      </c>
      <c r="F60" s="81" t="s">
        <v>461</v>
      </c>
      <c r="G60" s="84">
        <f>ROUND(B60/1000,0)</f>
        <v>48899</v>
      </c>
      <c r="H60" s="84">
        <v>13590</v>
      </c>
      <c r="I60" s="85">
        <f t="shared" si="2"/>
        <v>27.79197938608152</v>
      </c>
      <c r="J60" s="84">
        <f>H60-'[2]Janvaris'!H60</f>
        <v>5684</v>
      </c>
    </row>
    <row r="61" spans="1:10" ht="12.75" customHeight="1">
      <c r="A61" s="94" t="s">
        <v>456</v>
      </c>
      <c r="B61" s="82">
        <v>43225140</v>
      </c>
      <c r="C61" s="82"/>
      <c r="D61" s="83">
        <f t="shared" si="0"/>
        <v>0</v>
      </c>
      <c r="E61" s="76">
        <f t="shared" si="1"/>
        <v>0</v>
      </c>
      <c r="F61" s="94" t="s">
        <v>456</v>
      </c>
      <c r="G61" s="91">
        <f>ROUND(B61/1000,0)</f>
        <v>43225</v>
      </c>
      <c r="H61" s="91">
        <v>14596</v>
      </c>
      <c r="I61" s="93">
        <f t="shared" si="2"/>
        <v>33.767495662232506</v>
      </c>
      <c r="J61" s="91">
        <f>H61-'[2]Janvaris'!H61</f>
        <v>6447</v>
      </c>
    </row>
    <row r="62" spans="1:10" ht="12.75">
      <c r="A62" s="81" t="s">
        <v>462</v>
      </c>
      <c r="B62" s="82">
        <f>B60-B61</f>
        <v>5673780</v>
      </c>
      <c r="C62" s="82"/>
      <c r="D62" s="83">
        <f t="shared" si="0"/>
        <v>0</v>
      </c>
      <c r="E62" s="76">
        <f t="shared" si="1"/>
        <v>0</v>
      </c>
      <c r="F62" s="81" t="s">
        <v>462</v>
      </c>
      <c r="G62" s="84">
        <f>G60-G61</f>
        <v>5674</v>
      </c>
      <c r="H62" s="84">
        <f>SUM(H60-H61)</f>
        <v>-1006</v>
      </c>
      <c r="I62" s="85">
        <f t="shared" si="2"/>
        <v>-17.729996475149807</v>
      </c>
      <c r="J62" s="84">
        <f>H62-'[2]Janvaris'!H62</f>
        <v>-763</v>
      </c>
    </row>
    <row r="63" spans="1:10" ht="26.25" customHeight="1">
      <c r="A63" s="95" t="s">
        <v>463</v>
      </c>
      <c r="B63" s="76">
        <f>B58-B60</f>
        <v>-76079377</v>
      </c>
      <c r="C63" s="76">
        <f>C58-C60</f>
        <v>0</v>
      </c>
      <c r="D63" s="77">
        <f t="shared" si="0"/>
        <v>0</v>
      </c>
      <c r="E63" s="76">
        <f t="shared" si="1"/>
        <v>0</v>
      </c>
      <c r="F63" s="95" t="s">
        <v>464</v>
      </c>
      <c r="G63" s="78">
        <f>G58-G60</f>
        <v>-76079</v>
      </c>
      <c r="H63" s="78">
        <f>H58-H60</f>
        <v>-11531</v>
      </c>
      <c r="I63" s="79">
        <f t="shared" si="2"/>
        <v>15.156613520156679</v>
      </c>
      <c r="J63" s="78">
        <f>H63-'[2]Janvaris'!H63</f>
        <v>-12557</v>
      </c>
    </row>
    <row r="64" spans="1:10" ht="14.25" customHeight="1">
      <c r="A64" s="80" t="s">
        <v>465</v>
      </c>
      <c r="B64" s="76">
        <f>B67+B70+B72</f>
        <v>765146600</v>
      </c>
      <c r="C64" s="76">
        <f>C67+C70+C72</f>
        <v>0</v>
      </c>
      <c r="D64" s="77">
        <f t="shared" si="0"/>
        <v>0</v>
      </c>
      <c r="E64" s="76">
        <f t="shared" si="1"/>
        <v>0</v>
      </c>
      <c r="F64" s="80" t="s">
        <v>465</v>
      </c>
      <c r="G64" s="78">
        <f>G67+G70+G72</f>
        <v>765146</v>
      </c>
      <c r="H64" s="78">
        <f>H67+H70+H72</f>
        <v>117829</v>
      </c>
      <c r="I64" s="79">
        <f t="shared" si="2"/>
        <v>15.399544662064496</v>
      </c>
      <c r="J64" s="78">
        <f>H64-'[2]Janvaris'!H64</f>
        <v>57150</v>
      </c>
    </row>
    <row r="65" spans="1:10" ht="12.75">
      <c r="A65" s="94" t="s">
        <v>466</v>
      </c>
      <c r="B65" s="82">
        <f>B68</f>
        <v>1201200</v>
      </c>
      <c r="C65" s="82">
        <f>C23</f>
        <v>0</v>
      </c>
      <c r="D65" s="83">
        <f t="shared" si="0"/>
        <v>0</v>
      </c>
      <c r="E65" s="76">
        <f t="shared" si="1"/>
        <v>0</v>
      </c>
      <c r="F65" s="94" t="s">
        <v>466</v>
      </c>
      <c r="G65" s="91">
        <f>G68</f>
        <v>1201</v>
      </c>
      <c r="H65" s="91">
        <f>H68</f>
        <v>200</v>
      </c>
      <c r="I65" s="93">
        <f t="shared" si="2"/>
        <v>16.65278934221482</v>
      </c>
      <c r="J65" s="91">
        <f>H65-'[2]Janvaris'!H65</f>
        <v>100</v>
      </c>
    </row>
    <row r="66" spans="1:10" ht="14.25" customHeight="1">
      <c r="A66" s="80" t="s">
        <v>467</v>
      </c>
      <c r="B66" s="76">
        <f>SUM(B64-B65)</f>
        <v>763945400</v>
      </c>
      <c r="C66" s="76">
        <f>SUM(C64-C65)</f>
        <v>0</v>
      </c>
      <c r="D66" s="77">
        <f t="shared" si="0"/>
        <v>0</v>
      </c>
      <c r="E66" s="76">
        <f t="shared" si="1"/>
        <v>0</v>
      </c>
      <c r="F66" s="80" t="s">
        <v>467</v>
      </c>
      <c r="G66" s="78">
        <f>SUM(G64-G65)</f>
        <v>763945</v>
      </c>
      <c r="H66" s="78">
        <f>SUM(H64-H65)</f>
        <v>117629</v>
      </c>
      <c r="I66" s="79">
        <f t="shared" si="2"/>
        <v>15.397574432714398</v>
      </c>
      <c r="J66" s="78">
        <f>H66-'[2]Janvaris'!H66</f>
        <v>57050</v>
      </c>
    </row>
    <row r="67" spans="1:10" ht="12.75">
      <c r="A67" s="81" t="s">
        <v>468</v>
      </c>
      <c r="B67" s="82">
        <f>731791976+116917</f>
        <v>731908893</v>
      </c>
      <c r="C67" s="82"/>
      <c r="D67" s="83">
        <f t="shared" si="0"/>
        <v>0</v>
      </c>
      <c r="E67" s="76">
        <f t="shared" si="1"/>
        <v>0</v>
      </c>
      <c r="F67" s="81" t="s">
        <v>468</v>
      </c>
      <c r="G67" s="84">
        <f>ROUND(B67/1000,0)</f>
        <v>731909</v>
      </c>
      <c r="H67" s="84">
        <v>113672</v>
      </c>
      <c r="I67" s="85">
        <f t="shared" si="2"/>
        <v>15.530892501663457</v>
      </c>
      <c r="J67" s="84">
        <f>H67-'[2]Janvaris'!H67</f>
        <v>56555</v>
      </c>
    </row>
    <row r="68" spans="1:10" ht="12.75">
      <c r="A68" s="94" t="s">
        <v>469</v>
      </c>
      <c r="B68" s="82">
        <v>1201200</v>
      </c>
      <c r="C68" s="82">
        <f>C23</f>
        <v>0</v>
      </c>
      <c r="D68" s="83">
        <f t="shared" si="0"/>
        <v>0</v>
      </c>
      <c r="E68" s="76">
        <f t="shared" si="1"/>
        <v>0</v>
      </c>
      <c r="F68" s="94" t="s">
        <v>469</v>
      </c>
      <c r="G68" s="91">
        <f>ROUND(B68/1000,0)</f>
        <v>1201</v>
      </c>
      <c r="H68" s="92">
        <v>200</v>
      </c>
      <c r="I68" s="93">
        <f t="shared" si="2"/>
        <v>16.65278934221482</v>
      </c>
      <c r="J68" s="92">
        <f>H68-'[2]Janvaris'!H68</f>
        <v>100</v>
      </c>
    </row>
    <row r="69" spans="1:10" ht="15" customHeight="1">
      <c r="A69" s="80" t="s">
        <v>470</v>
      </c>
      <c r="B69" s="76">
        <f>SUM(B67-B68)</f>
        <v>730707693</v>
      </c>
      <c r="C69" s="76">
        <f>SUM(C67-C68)</f>
        <v>0</v>
      </c>
      <c r="D69" s="77">
        <f t="shared" si="0"/>
        <v>0</v>
      </c>
      <c r="E69" s="76">
        <f t="shared" si="1"/>
        <v>0</v>
      </c>
      <c r="F69" s="80" t="s">
        <v>470</v>
      </c>
      <c r="G69" s="78">
        <f>SUM(G67-G68)</f>
        <v>730708</v>
      </c>
      <c r="H69" s="78">
        <f>SUM(H67-H68)</f>
        <v>113472</v>
      </c>
      <c r="I69" s="79">
        <f t="shared" si="2"/>
        <v>15.529048539224972</v>
      </c>
      <c r="J69" s="78">
        <f>H69-'[2]Janvaris'!H69</f>
        <v>56455</v>
      </c>
    </row>
    <row r="70" spans="1:10" ht="12.75">
      <c r="A70" s="81" t="s">
        <v>471</v>
      </c>
      <c r="B70" s="82">
        <f>11728286+810000</f>
        <v>12538286</v>
      </c>
      <c r="C70" s="82"/>
      <c r="D70" s="83">
        <f t="shared" si="0"/>
        <v>0</v>
      </c>
      <c r="E70" s="76">
        <f t="shared" si="1"/>
        <v>0</v>
      </c>
      <c r="F70" s="81" t="s">
        <v>471</v>
      </c>
      <c r="G70" s="84">
        <f>ROUND(B70/1000,0)</f>
        <v>12538</v>
      </c>
      <c r="H70" s="84">
        <v>3535</v>
      </c>
      <c r="I70" s="85">
        <f t="shared" si="2"/>
        <v>28.194289360344555</v>
      </c>
      <c r="J70" s="84">
        <f>H70-'[2]Janvaris'!H70</f>
        <v>358</v>
      </c>
    </row>
    <row r="71" spans="1:10" ht="15" customHeight="1">
      <c r="A71" s="80" t="s">
        <v>472</v>
      </c>
      <c r="B71" s="76">
        <f>SUM(B70)</f>
        <v>12538286</v>
      </c>
      <c r="C71" s="76">
        <f>SUM(C70)</f>
        <v>0</v>
      </c>
      <c r="D71" s="77">
        <f t="shared" si="0"/>
        <v>0</v>
      </c>
      <c r="E71" s="76">
        <f t="shared" si="1"/>
        <v>0</v>
      </c>
      <c r="F71" s="80" t="s">
        <v>472</v>
      </c>
      <c r="G71" s="78">
        <f>SUM(G70)</f>
        <v>12538</v>
      </c>
      <c r="H71" s="78">
        <f>SUM(H70)</f>
        <v>3535</v>
      </c>
      <c r="I71" s="79">
        <f t="shared" si="2"/>
        <v>28.194289360344555</v>
      </c>
      <c r="J71" s="78">
        <f>H71-'[2]Janvaris'!H71</f>
        <v>358</v>
      </c>
    </row>
    <row r="72" spans="1:10" ht="12.75">
      <c r="A72" s="81" t="s">
        <v>473</v>
      </c>
      <c r="B72" s="82">
        <v>20699421</v>
      </c>
      <c r="C72" s="82"/>
      <c r="D72" s="83">
        <f t="shared" si="0"/>
        <v>0</v>
      </c>
      <c r="E72" s="76">
        <f t="shared" si="1"/>
        <v>0</v>
      </c>
      <c r="F72" s="81" t="s">
        <v>473</v>
      </c>
      <c r="G72" s="84">
        <f>ROUND(B72/1000,0)</f>
        <v>20699</v>
      </c>
      <c r="H72" s="84">
        <v>622</v>
      </c>
      <c r="I72" s="85">
        <f t="shared" si="2"/>
        <v>3.0049760858012466</v>
      </c>
      <c r="J72" s="84">
        <f>H72-'[2]Janvaris'!H72</f>
        <v>237</v>
      </c>
    </row>
    <row r="73" spans="1:10" ht="14.25" customHeight="1">
      <c r="A73" s="80" t="s">
        <v>474</v>
      </c>
      <c r="B73" s="76">
        <f>SUM(B72)</f>
        <v>20699421</v>
      </c>
      <c r="C73" s="76">
        <f>SUM(C72)</f>
        <v>0</v>
      </c>
      <c r="D73" s="77">
        <f t="shared" si="0"/>
        <v>0</v>
      </c>
      <c r="E73" s="76">
        <f t="shared" si="1"/>
        <v>0</v>
      </c>
      <c r="F73" s="80" t="s">
        <v>474</v>
      </c>
      <c r="G73" s="78">
        <f>SUM(G72)</f>
        <v>20699</v>
      </c>
      <c r="H73" s="78">
        <f>SUM(H72)</f>
        <v>622</v>
      </c>
      <c r="I73" s="79">
        <f t="shared" si="2"/>
        <v>3.0049760858012466</v>
      </c>
      <c r="J73" s="78">
        <f>H73-'[2]Janvaris'!H73</f>
        <v>237</v>
      </c>
    </row>
    <row r="74" spans="1:10" ht="27" customHeight="1">
      <c r="A74" s="95" t="s">
        <v>475</v>
      </c>
      <c r="B74" s="76">
        <f>SUM(B25-B64)</f>
        <v>-39627899</v>
      </c>
      <c r="C74" s="76">
        <f>SUM(C25-C64)</f>
        <v>0</v>
      </c>
      <c r="D74" s="77">
        <f t="shared" si="0"/>
        <v>0</v>
      </c>
      <c r="E74" s="76">
        <f t="shared" si="1"/>
        <v>0</v>
      </c>
      <c r="F74" s="95" t="s">
        <v>475</v>
      </c>
      <c r="G74" s="78">
        <f>SUM(G25-G64)</f>
        <v>-39628</v>
      </c>
      <c r="H74" s="78">
        <f>SUM(H25-H64)</f>
        <v>-9455</v>
      </c>
      <c r="I74" s="79">
        <f t="shared" si="2"/>
        <v>23.859392348844253</v>
      </c>
      <c r="J74" s="78">
        <f>H74-'[2]Janvaris'!H74</f>
        <v>-4639</v>
      </c>
    </row>
    <row r="75" spans="1:10" ht="13.5" customHeight="1">
      <c r="A75" s="80" t="s">
        <v>476</v>
      </c>
      <c r="B75" s="76">
        <f>SUM(B76)</f>
        <v>6699203</v>
      </c>
      <c r="C75" s="76"/>
      <c r="D75" s="77">
        <f>IF(ISERROR(C75/B75)," ",(C75/B75))</f>
        <v>0</v>
      </c>
      <c r="E75" s="76">
        <f t="shared" si="1"/>
        <v>0</v>
      </c>
      <c r="F75" s="80" t="s">
        <v>476</v>
      </c>
      <c r="G75" s="78">
        <f>SUM(G76)</f>
        <v>6699</v>
      </c>
      <c r="H75" s="78">
        <f>SUM(H76)</f>
        <v>1125</v>
      </c>
      <c r="I75" s="79">
        <f t="shared" si="2"/>
        <v>16.7935512763099</v>
      </c>
      <c r="J75" s="78">
        <f>H75-'[2]Janvaris'!H75</f>
        <v>657</v>
      </c>
    </row>
    <row r="76" spans="1:10" ht="12.75">
      <c r="A76" s="81" t="s">
        <v>477</v>
      </c>
      <c r="B76" s="82">
        <v>6699203</v>
      </c>
      <c r="C76" s="82"/>
      <c r="D76" s="83">
        <f>IF(ISERROR(C76/B76)," ",(C76/B76))</f>
        <v>0</v>
      </c>
      <c r="E76" s="76">
        <f>C76</f>
        <v>0</v>
      </c>
      <c r="F76" s="81" t="s">
        <v>477</v>
      </c>
      <c r="G76" s="82">
        <f>ROUND(B76/1000,0)</f>
        <v>6699</v>
      </c>
      <c r="H76" s="82">
        <v>1125</v>
      </c>
      <c r="I76" s="100">
        <f t="shared" si="2"/>
        <v>16.7935512763099</v>
      </c>
      <c r="J76" s="82">
        <f>H76-'[2]Janvaris'!H76</f>
        <v>657</v>
      </c>
    </row>
    <row r="77" spans="1:10" ht="12.75">
      <c r="A77" s="81" t="s">
        <v>478</v>
      </c>
      <c r="B77" s="82">
        <f>SUM(B76)</f>
        <v>6699203</v>
      </c>
      <c r="C77" s="82">
        <f>SUM(C76)</f>
        <v>0</v>
      </c>
      <c r="D77" s="83">
        <f>IF(ISERROR(C77/B77)," ",(C77/B77))</f>
        <v>0</v>
      </c>
      <c r="E77" s="76">
        <f>C77</f>
        <v>0</v>
      </c>
      <c r="F77" s="81" t="s">
        <v>478</v>
      </c>
      <c r="G77" s="82">
        <f>SUM(G76)</f>
        <v>6699</v>
      </c>
      <c r="H77" s="82">
        <f>SUM(H76)</f>
        <v>1125</v>
      </c>
      <c r="I77" s="100">
        <f t="shared" si="2"/>
        <v>16.7935512763099</v>
      </c>
      <c r="J77" s="82">
        <f>H77-'[2]Janvaris'!H77</f>
        <v>657</v>
      </c>
    </row>
    <row r="78" spans="1:10" ht="27" customHeight="1">
      <c r="A78" s="95" t="s">
        <v>479</v>
      </c>
      <c r="B78" s="76">
        <f>SUM(B74-B75)</f>
        <v>-46327102</v>
      </c>
      <c r="C78" s="76">
        <f>SUM(C74-C75)</f>
        <v>0</v>
      </c>
      <c r="D78" s="77">
        <f>IF(ISERROR(C78/B78)," ",(C78/B78))</f>
        <v>0</v>
      </c>
      <c r="E78" s="76">
        <f>C78</f>
        <v>0</v>
      </c>
      <c r="F78" s="95" t="s">
        <v>479</v>
      </c>
      <c r="G78" s="78">
        <f>SUM(G74-G75)</f>
        <v>-46327</v>
      </c>
      <c r="H78" s="78">
        <f>SUM(H74-H75)</f>
        <v>-10580</v>
      </c>
      <c r="I78" s="79">
        <f t="shared" si="2"/>
        <v>22.837654067822218</v>
      </c>
      <c r="J78" s="78">
        <f>H78-'[2]Janvaris'!H78</f>
        <v>-5296</v>
      </c>
    </row>
    <row r="79" spans="1:10" ht="12.75">
      <c r="A79" s="101"/>
      <c r="B79" s="102"/>
      <c r="C79" s="27"/>
      <c r="D79" s="27"/>
      <c r="E79" s="27"/>
      <c r="F79" s="58" t="s">
        <v>396</v>
      </c>
      <c r="G79" s="102"/>
      <c r="H79" s="27"/>
      <c r="I79" s="27"/>
      <c r="J79" s="27"/>
    </row>
    <row r="80" spans="1:10" ht="12.75">
      <c r="A80" s="101"/>
      <c r="B80" s="102"/>
      <c r="C80" s="27"/>
      <c r="D80" s="27"/>
      <c r="E80" s="27"/>
      <c r="F80" s="103"/>
      <c r="G80" s="102"/>
      <c r="H80" s="27"/>
      <c r="I80" s="27"/>
      <c r="J80" s="27"/>
    </row>
    <row r="81" spans="1:10" ht="12.75">
      <c r="A81" s="105"/>
      <c r="F81" s="105"/>
      <c r="G81" s="2"/>
      <c r="H81" s="1"/>
      <c r="I81" s="1"/>
      <c r="J81" s="1"/>
    </row>
    <row r="82" spans="1:10" ht="12.75">
      <c r="A82" s="105"/>
      <c r="F82" s="105"/>
      <c r="G82" s="2"/>
      <c r="H82" s="1"/>
      <c r="I82" s="1"/>
      <c r="J82" s="1"/>
    </row>
    <row r="83" spans="1:10" ht="12.75">
      <c r="A83" s="27"/>
      <c r="F83" s="106" t="s">
        <v>480</v>
      </c>
      <c r="G83" s="73"/>
      <c r="H83" s="107"/>
      <c r="I83" s="1"/>
      <c r="J83" s="1"/>
    </row>
    <row r="84" spans="1:10" ht="12.75">
      <c r="A84" s="106" t="s">
        <v>481</v>
      </c>
      <c r="B84" s="73"/>
      <c r="C84" s="107"/>
      <c r="D84" s="107"/>
      <c r="E84" s="107"/>
      <c r="F84" s="106"/>
      <c r="G84" s="73"/>
      <c r="H84" s="107"/>
      <c r="I84" s="107"/>
      <c r="J84" s="107"/>
    </row>
    <row r="85" spans="1:10" ht="12.75">
      <c r="A85" s="28"/>
      <c r="F85" s="28"/>
      <c r="G85" s="2"/>
      <c r="H85" s="1"/>
      <c r="I85" s="1"/>
      <c r="J85" s="1"/>
    </row>
    <row r="86" spans="1:10" ht="12.75">
      <c r="A86" s="28"/>
      <c r="C86" s="24"/>
      <c r="D86" s="24"/>
      <c r="E86" s="24"/>
      <c r="F86" s="28"/>
      <c r="G86" s="2"/>
      <c r="H86" s="24"/>
      <c r="I86" s="24"/>
      <c r="J86" s="24"/>
    </row>
    <row r="87" spans="7:10" ht="12.75">
      <c r="G87" s="2"/>
      <c r="H87" s="1"/>
      <c r="I87" s="1"/>
      <c r="J87" s="1"/>
    </row>
    <row r="88" spans="7:10" ht="12.75">
      <c r="G88" s="2"/>
      <c r="H88" s="1"/>
      <c r="I88" s="1"/>
      <c r="J88" s="1"/>
    </row>
    <row r="89" spans="9:10" ht="12.75">
      <c r="I89" s="1"/>
      <c r="J89" s="1"/>
    </row>
    <row r="90" spans="1:10" ht="12.75">
      <c r="A90" s="28" t="s">
        <v>349</v>
      </c>
      <c r="G90" s="73"/>
      <c r="H90" s="107"/>
      <c r="I90" s="1"/>
      <c r="J90" s="1"/>
    </row>
    <row r="91" spans="1:10" ht="12.75">
      <c r="A91" s="28" t="s">
        <v>482</v>
      </c>
      <c r="G91" s="2"/>
      <c r="H91" s="1"/>
      <c r="I91" s="1"/>
      <c r="J91" s="1"/>
    </row>
    <row r="92" spans="7:10" ht="12.75">
      <c r="G92" s="2"/>
      <c r="H92" s="1"/>
      <c r="I92" s="1"/>
      <c r="J92" s="1"/>
    </row>
    <row r="93" spans="1:8" ht="15" customHeight="1">
      <c r="A93"/>
      <c r="B93"/>
      <c r="C93"/>
      <c r="D93"/>
      <c r="E93"/>
      <c r="F93" s="106"/>
      <c r="G93" s="73"/>
      <c r="H93" s="107"/>
    </row>
    <row r="94" spans="1:5" ht="16.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6" ht="12.75">
      <c r="A96"/>
      <c r="B96"/>
      <c r="C96"/>
      <c r="D96"/>
      <c r="E96"/>
      <c r="F96" s="28" t="s">
        <v>349</v>
      </c>
    </row>
    <row r="97" spans="1:6" ht="12.75">
      <c r="A97"/>
      <c r="B97"/>
      <c r="C97"/>
      <c r="D97"/>
      <c r="E97"/>
      <c r="F97" s="28" t="s">
        <v>399</v>
      </c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</sheetData>
  <mergeCells count="2">
    <mergeCell ref="F4:J4"/>
    <mergeCell ref="F5:J5"/>
  </mergeCells>
  <printOptions/>
  <pageMargins left="0.75" right="0.19" top="0.33" bottom="0.63" header="0.17" footer="0.2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N68"/>
  <sheetViews>
    <sheetView workbookViewId="0" topLeftCell="H1">
      <selection activeCell="F12" sqref="F12"/>
    </sheetView>
  </sheetViews>
  <sheetFormatPr defaultColWidth="9.140625" defaultRowHeight="17.25" customHeight="1"/>
  <cols>
    <col min="1" max="1" width="15.140625" style="509" customWidth="1"/>
    <col min="2" max="2" width="7.8515625" style="488" customWidth="1"/>
    <col min="3" max="3" width="7.421875" style="488" customWidth="1"/>
    <col min="4" max="4" width="6.7109375" style="488" customWidth="1"/>
    <col min="5" max="5" width="8.28125" style="488" customWidth="1"/>
    <col min="6" max="6" width="7.00390625" style="488" customWidth="1"/>
    <col min="7" max="7" width="6.421875" style="488" customWidth="1"/>
    <col min="8" max="9" width="7.7109375" style="488" customWidth="1"/>
    <col min="10" max="10" width="8.28125" style="488" customWidth="1"/>
    <col min="11" max="11" width="6.7109375" style="488" customWidth="1"/>
    <col min="12" max="12" width="6.7109375" style="488" hidden="1" customWidth="1"/>
    <col min="13" max="13" width="8.28125" style="488" customWidth="1"/>
    <col min="14" max="14" width="7.00390625" style="488" customWidth="1"/>
    <col min="15" max="15" width="9.28125" style="488" customWidth="1"/>
    <col min="16" max="16" width="9.00390625" style="488" customWidth="1"/>
    <col min="17" max="17" width="6.57421875" style="488" customWidth="1"/>
    <col min="18" max="18" width="8.7109375" style="488" customWidth="1"/>
    <col min="19" max="19" width="7.7109375" style="488" customWidth="1"/>
    <col min="20" max="20" width="0.13671875" style="0" customWidth="1"/>
    <col min="249" max="16384" width="9.140625" style="488" customWidth="1"/>
  </cols>
  <sheetData>
    <row r="1" spans="2:18" ht="17.25" customHeight="1"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1"/>
      <c r="P1" s="1"/>
      <c r="Q1" s="72"/>
      <c r="R1" s="64" t="s">
        <v>190</v>
      </c>
    </row>
    <row r="2" spans="7:18" ht="17.25" customHeight="1">
      <c r="G2" s="1" t="s">
        <v>191</v>
      </c>
      <c r="H2" s="1"/>
      <c r="Q2" s="108"/>
      <c r="R2" s="560"/>
    </row>
    <row r="3" spans="1:248" s="1" customFormat="1" ht="17.25" customHeight="1">
      <c r="A3" s="509"/>
      <c r="Q3" s="72"/>
      <c r="R3" s="72"/>
      <c r="S3" s="7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s="517" customFormat="1" ht="17.25" customHeight="1">
      <c r="A4" s="680" t="s">
        <v>192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s="573" customFormat="1" ht="17.25" customHeight="1">
      <c r="A5" s="681" t="s">
        <v>527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s="573" customFormat="1" ht="17.25" customHeight="1">
      <c r="A6" s="574"/>
      <c r="B6" s="109"/>
      <c r="C6" s="109"/>
      <c r="D6" s="109"/>
      <c r="E6" s="109"/>
      <c r="F6" s="575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s="24" customFormat="1" ht="17.25" customHeight="1">
      <c r="A7" s="57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Q7" s="107"/>
      <c r="S7" s="6" t="s">
        <v>489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s="1" customFormat="1" ht="17.25" customHeight="1">
      <c r="A8" s="678" t="s">
        <v>193</v>
      </c>
      <c r="B8" s="577" t="s">
        <v>607</v>
      </c>
      <c r="C8" s="577"/>
      <c r="D8" s="577"/>
      <c r="E8" s="577"/>
      <c r="F8" s="577" t="s">
        <v>194</v>
      </c>
      <c r="G8" s="577"/>
      <c r="H8" s="577"/>
      <c r="I8" s="577"/>
      <c r="J8" s="678" t="s">
        <v>195</v>
      </c>
      <c r="K8" s="678" t="s">
        <v>196</v>
      </c>
      <c r="L8" s="578"/>
      <c r="M8" s="581" t="s">
        <v>197</v>
      </c>
      <c r="N8" s="577"/>
      <c r="O8" s="577"/>
      <c r="P8" s="582"/>
      <c r="Q8" s="577"/>
      <c r="R8" s="583"/>
      <c r="S8" s="678" t="s">
        <v>198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19" ht="17.25" customHeight="1">
      <c r="A9" s="682"/>
      <c r="B9" s="678" t="s">
        <v>199</v>
      </c>
      <c r="C9" s="678" t="s">
        <v>200</v>
      </c>
      <c r="D9" s="676" t="s">
        <v>201</v>
      </c>
      <c r="E9" s="678" t="s">
        <v>202</v>
      </c>
      <c r="F9" s="678" t="s">
        <v>203</v>
      </c>
      <c r="G9" s="678" t="s">
        <v>204</v>
      </c>
      <c r="H9" s="676" t="s">
        <v>205</v>
      </c>
      <c r="I9" s="678" t="s">
        <v>206</v>
      </c>
      <c r="J9" s="684"/>
      <c r="K9" s="684"/>
      <c r="L9" s="584"/>
      <c r="M9" s="585"/>
      <c r="N9" s="585"/>
      <c r="O9" s="577" t="s">
        <v>207</v>
      </c>
      <c r="P9" s="577"/>
      <c r="Q9" s="585"/>
      <c r="R9" s="585"/>
      <c r="S9" s="684"/>
    </row>
    <row r="10" spans="1:248" s="589" customFormat="1" ht="39">
      <c r="A10" s="683"/>
      <c r="B10" s="683"/>
      <c r="C10" s="679"/>
      <c r="D10" s="677"/>
      <c r="E10" s="679"/>
      <c r="F10" s="679"/>
      <c r="G10" s="679"/>
      <c r="H10" s="677"/>
      <c r="I10" s="679"/>
      <c r="J10" s="685"/>
      <c r="K10" s="685"/>
      <c r="L10" s="586" t="s">
        <v>208</v>
      </c>
      <c r="M10" s="587" t="s">
        <v>378</v>
      </c>
      <c r="N10" s="587" t="s">
        <v>209</v>
      </c>
      <c r="O10" s="587" t="s">
        <v>210</v>
      </c>
      <c r="P10" s="587" t="s">
        <v>211</v>
      </c>
      <c r="Q10" s="587" t="s">
        <v>212</v>
      </c>
      <c r="R10" s="588" t="s">
        <v>389</v>
      </c>
      <c r="S10" s="68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s="24" customFormat="1" ht="17.25" customHeight="1">
      <c r="A11" s="590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/>
      <c r="M11" s="111">
        <v>12</v>
      </c>
      <c r="N11" s="111">
        <v>13</v>
      </c>
      <c r="O11" s="111">
        <v>14</v>
      </c>
      <c r="P11" s="111">
        <v>15</v>
      </c>
      <c r="Q11" s="111">
        <v>16</v>
      </c>
      <c r="R11" s="111">
        <v>17</v>
      </c>
      <c r="S11" s="111">
        <v>18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19" ht="12" customHeight="1">
      <c r="A12" s="591" t="s">
        <v>213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592" t="s">
        <v>214</v>
      </c>
      <c r="B13" s="593">
        <v>18601</v>
      </c>
      <c r="C13" s="593">
        <v>4228</v>
      </c>
      <c r="D13" s="593"/>
      <c r="E13" s="23">
        <f aca="true" t="shared" si="0" ref="E13:E19">SUM(B13:C13)</f>
        <v>22829</v>
      </c>
      <c r="F13" s="593">
        <v>19627</v>
      </c>
      <c r="G13" s="593">
        <v>3209</v>
      </c>
      <c r="H13" s="593">
        <v>3209</v>
      </c>
      <c r="I13" s="23">
        <f>SUM(F13:G13)</f>
        <v>22836</v>
      </c>
      <c r="J13" s="23">
        <f aca="true" t="shared" si="1" ref="J13:J19">E13-I13</f>
        <v>-7</v>
      </c>
      <c r="K13" s="23">
        <f>-J13</f>
        <v>7</v>
      </c>
      <c r="L13" s="23">
        <f>SUM(Q13:S13,N13,M12)</f>
        <v>7</v>
      </c>
      <c r="M13" s="593"/>
      <c r="N13" s="23">
        <f aca="true" t="shared" si="2" ref="N13:N19">O13-P13</f>
        <v>-711</v>
      </c>
      <c r="O13" s="593">
        <v>4373</v>
      </c>
      <c r="P13" s="593">
        <v>5084</v>
      </c>
      <c r="Q13" s="593"/>
      <c r="R13" s="593">
        <v>718</v>
      </c>
      <c r="S13" s="593"/>
    </row>
    <row r="14" spans="1:19" ht="12" customHeight="1">
      <c r="A14" s="592" t="s">
        <v>215</v>
      </c>
      <c r="B14" s="593">
        <v>1489</v>
      </c>
      <c r="C14" s="593">
        <v>937</v>
      </c>
      <c r="D14" s="593">
        <v>233</v>
      </c>
      <c r="E14" s="23">
        <f t="shared" si="0"/>
        <v>2426</v>
      </c>
      <c r="F14" s="593">
        <v>2416</v>
      </c>
      <c r="G14" s="593">
        <v>2</v>
      </c>
      <c r="H14" s="593"/>
      <c r="I14" s="23">
        <f aca="true" t="shared" si="3" ref="I14:I19">SUM(F14:G14)</f>
        <v>2418</v>
      </c>
      <c r="J14" s="23">
        <f t="shared" si="1"/>
        <v>8</v>
      </c>
      <c r="K14" s="23">
        <f aca="true" t="shared" si="4" ref="K14:K47">-J14</f>
        <v>-8</v>
      </c>
      <c r="L14" s="23">
        <f>SUM(Q14:S14,N14,M13)</f>
        <v>-8</v>
      </c>
      <c r="M14" s="593"/>
      <c r="N14" s="23">
        <f t="shared" si="2"/>
        <v>-89</v>
      </c>
      <c r="O14" s="593">
        <v>51</v>
      </c>
      <c r="P14" s="593">
        <v>140</v>
      </c>
      <c r="Q14" s="593">
        <v>-8</v>
      </c>
      <c r="R14" s="593">
        <v>89</v>
      </c>
      <c r="S14" s="593"/>
    </row>
    <row r="15" spans="1:19" ht="12" customHeight="1">
      <c r="A15" s="592" t="s">
        <v>216</v>
      </c>
      <c r="B15" s="593">
        <v>1097</v>
      </c>
      <c r="C15" s="593">
        <v>442</v>
      </c>
      <c r="D15" s="593"/>
      <c r="E15" s="23">
        <f t="shared" si="0"/>
        <v>1539</v>
      </c>
      <c r="F15" s="593">
        <v>1091</v>
      </c>
      <c r="G15" s="593">
        <v>14</v>
      </c>
      <c r="H15" s="593">
        <v>14</v>
      </c>
      <c r="I15" s="23">
        <f t="shared" si="3"/>
        <v>1105</v>
      </c>
      <c r="J15" s="23">
        <f t="shared" si="1"/>
        <v>434</v>
      </c>
      <c r="K15" s="23">
        <f t="shared" si="4"/>
        <v>-434</v>
      </c>
      <c r="L15" s="23">
        <f>SUM(Q15:S15,N15,M14)</f>
        <v>-434</v>
      </c>
      <c r="M15" s="593"/>
      <c r="N15" s="23">
        <f t="shared" si="2"/>
        <v>-444</v>
      </c>
      <c r="O15" s="593">
        <v>51</v>
      </c>
      <c r="P15" s="593">
        <v>495</v>
      </c>
      <c r="Q15" s="593"/>
      <c r="R15" s="593">
        <v>10</v>
      </c>
      <c r="S15" s="593"/>
    </row>
    <row r="16" spans="1:19" ht="12" customHeight="1">
      <c r="A16" s="592" t="s">
        <v>217</v>
      </c>
      <c r="B16" s="593">
        <v>1136</v>
      </c>
      <c r="C16" s="593">
        <v>294</v>
      </c>
      <c r="D16" s="593"/>
      <c r="E16" s="23">
        <f t="shared" si="0"/>
        <v>1430</v>
      </c>
      <c r="F16" s="593">
        <v>1223</v>
      </c>
      <c r="G16" s="593">
        <v>139</v>
      </c>
      <c r="H16" s="593">
        <v>137</v>
      </c>
      <c r="I16" s="23">
        <f t="shared" si="3"/>
        <v>1362</v>
      </c>
      <c r="J16" s="23">
        <f t="shared" si="1"/>
        <v>68</v>
      </c>
      <c r="K16" s="23">
        <f t="shared" si="4"/>
        <v>-68</v>
      </c>
      <c r="L16" s="23">
        <f>SUM(Q16:S16,N16,M15)</f>
        <v>-68</v>
      </c>
      <c r="M16" s="593"/>
      <c r="N16" s="23">
        <f t="shared" si="2"/>
        <v>-68</v>
      </c>
      <c r="O16" s="593">
        <v>201</v>
      </c>
      <c r="P16" s="593">
        <v>269</v>
      </c>
      <c r="Q16" s="593"/>
      <c r="R16" s="593"/>
      <c r="S16" s="593"/>
    </row>
    <row r="17" spans="1:19" ht="12" customHeight="1">
      <c r="A17" s="592" t="s">
        <v>218</v>
      </c>
      <c r="B17" s="593">
        <v>1553</v>
      </c>
      <c r="C17" s="593">
        <v>559</v>
      </c>
      <c r="D17" s="593"/>
      <c r="E17" s="23">
        <f t="shared" si="0"/>
        <v>2112</v>
      </c>
      <c r="F17" s="593">
        <v>1945</v>
      </c>
      <c r="G17" s="593">
        <v>10</v>
      </c>
      <c r="H17" s="593"/>
      <c r="I17" s="23">
        <f t="shared" si="3"/>
        <v>1955</v>
      </c>
      <c r="J17" s="23">
        <f t="shared" si="1"/>
        <v>157</v>
      </c>
      <c r="K17" s="23">
        <f t="shared" si="4"/>
        <v>-157</v>
      </c>
      <c r="L17" s="23">
        <f>SUM(Q17:S17,N17,M16)</f>
        <v>-157</v>
      </c>
      <c r="M17" s="593"/>
      <c r="N17" s="23">
        <f t="shared" si="2"/>
        <v>-157</v>
      </c>
      <c r="O17" s="593">
        <v>380</v>
      </c>
      <c r="P17" s="593">
        <v>537</v>
      </c>
      <c r="Q17" s="593"/>
      <c r="R17" s="593"/>
      <c r="S17" s="593"/>
    </row>
    <row r="18" spans="1:19" ht="12" customHeight="1">
      <c r="A18" s="592" t="s">
        <v>219</v>
      </c>
      <c r="B18" s="593">
        <v>612</v>
      </c>
      <c r="C18" s="593">
        <v>307</v>
      </c>
      <c r="D18" s="593">
        <v>3</v>
      </c>
      <c r="E18" s="23">
        <f t="shared" si="0"/>
        <v>919</v>
      </c>
      <c r="F18" s="593">
        <v>892</v>
      </c>
      <c r="G18" s="593"/>
      <c r="H18" s="593"/>
      <c r="I18" s="23">
        <f t="shared" si="3"/>
        <v>892</v>
      </c>
      <c r="J18" s="23">
        <f t="shared" si="1"/>
        <v>27</v>
      </c>
      <c r="K18" s="23">
        <f t="shared" si="4"/>
        <v>-27</v>
      </c>
      <c r="L18" s="23">
        <f>SUM(Q18:S18,N18,M18)</f>
        <v>-27</v>
      </c>
      <c r="M18" s="593">
        <v>-30</v>
      </c>
      <c r="N18" s="23">
        <f t="shared" si="2"/>
        <v>3</v>
      </c>
      <c r="O18" s="593">
        <v>68</v>
      </c>
      <c r="P18" s="593">
        <v>65</v>
      </c>
      <c r="Q18" s="593"/>
      <c r="R18" s="593"/>
      <c r="S18" s="593"/>
    </row>
    <row r="19" spans="1:19" ht="12" customHeight="1">
      <c r="A19" s="592" t="s">
        <v>220</v>
      </c>
      <c r="B19" s="593">
        <v>1600</v>
      </c>
      <c r="C19" s="593">
        <v>215</v>
      </c>
      <c r="D19" s="593"/>
      <c r="E19" s="23">
        <f t="shared" si="0"/>
        <v>1815</v>
      </c>
      <c r="F19" s="593">
        <v>1192</v>
      </c>
      <c r="G19" s="593">
        <v>421</v>
      </c>
      <c r="H19" s="593">
        <v>421</v>
      </c>
      <c r="I19" s="23">
        <f t="shared" si="3"/>
        <v>1613</v>
      </c>
      <c r="J19" s="23">
        <f t="shared" si="1"/>
        <v>202</v>
      </c>
      <c r="K19" s="23">
        <f t="shared" si="4"/>
        <v>-202</v>
      </c>
      <c r="L19" s="23">
        <f>SUM(Q19:S19,N19,M19)</f>
        <v>-202</v>
      </c>
      <c r="M19" s="593"/>
      <c r="N19" s="23">
        <f t="shared" si="2"/>
        <v>-202</v>
      </c>
      <c r="O19" s="593">
        <v>1118</v>
      </c>
      <c r="P19" s="593">
        <v>1320</v>
      </c>
      <c r="Q19" s="593"/>
      <c r="R19" s="593"/>
      <c r="S19" s="593"/>
    </row>
    <row r="20" spans="1:19" ht="12" customHeight="1">
      <c r="A20" s="591" t="s">
        <v>221</v>
      </c>
      <c r="B20" s="23">
        <f aca="true" t="shared" si="5" ref="B20:J20">SUM(B13:B19)</f>
        <v>26088</v>
      </c>
      <c r="C20" s="23">
        <f t="shared" si="5"/>
        <v>6982</v>
      </c>
      <c r="D20" s="23">
        <f t="shared" si="5"/>
        <v>236</v>
      </c>
      <c r="E20" s="23">
        <f t="shared" si="5"/>
        <v>33070</v>
      </c>
      <c r="F20" s="23">
        <f>SUM(F13:F19)</f>
        <v>28386</v>
      </c>
      <c r="G20" s="23">
        <f t="shared" si="5"/>
        <v>3795</v>
      </c>
      <c r="H20" s="23">
        <f t="shared" si="5"/>
        <v>3781</v>
      </c>
      <c r="I20" s="23">
        <f t="shared" si="5"/>
        <v>32181</v>
      </c>
      <c r="J20" s="23">
        <f t="shared" si="5"/>
        <v>889</v>
      </c>
      <c r="K20" s="23">
        <f t="shared" si="4"/>
        <v>-889</v>
      </c>
      <c r="L20" s="23">
        <f>SUM(Q20:S20,N20,M20)</f>
        <v>-889</v>
      </c>
      <c r="M20" s="23">
        <f>SUM(M18:M19)</f>
        <v>-30</v>
      </c>
      <c r="N20" s="23">
        <f aca="true" t="shared" si="6" ref="N20:S20">SUM(N13:N19)</f>
        <v>-1668</v>
      </c>
      <c r="O20" s="23">
        <f t="shared" si="6"/>
        <v>6242</v>
      </c>
      <c r="P20" s="23">
        <f t="shared" si="6"/>
        <v>7910</v>
      </c>
      <c r="Q20" s="23">
        <f t="shared" si="6"/>
        <v>-8</v>
      </c>
      <c r="R20" s="23">
        <f t="shared" si="6"/>
        <v>817</v>
      </c>
      <c r="S20" s="23">
        <f t="shared" si="6"/>
        <v>0</v>
      </c>
    </row>
    <row r="21" spans="1:248" s="18" customFormat="1" ht="12" customHeight="1">
      <c r="A21" s="591" t="s">
        <v>222</v>
      </c>
      <c r="B21" s="594"/>
      <c r="C21" s="594"/>
      <c r="D21" s="594"/>
      <c r="E21" s="155"/>
      <c r="F21" s="594"/>
      <c r="G21" s="594"/>
      <c r="H21" s="594"/>
      <c r="I21" s="155"/>
      <c r="J21" s="155"/>
      <c r="K21" s="155"/>
      <c r="L21" s="23"/>
      <c r="M21" s="155"/>
      <c r="N21" s="155"/>
      <c r="O21" s="155"/>
      <c r="P21" s="155"/>
      <c r="Q21" s="155"/>
      <c r="R21" s="155"/>
      <c r="S21" s="15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19" ht="12" customHeight="1">
      <c r="A22" s="592" t="s">
        <v>223</v>
      </c>
      <c r="B22" s="593">
        <v>643</v>
      </c>
      <c r="C22" s="593">
        <v>573</v>
      </c>
      <c r="D22" s="593">
        <v>151</v>
      </c>
      <c r="E22" s="23">
        <f>SUM(B22:C22)</f>
        <v>1216</v>
      </c>
      <c r="F22" s="593">
        <v>1049</v>
      </c>
      <c r="G22" s="593">
        <v>60</v>
      </c>
      <c r="H22" s="593">
        <v>44</v>
      </c>
      <c r="I22" s="23">
        <f>SUM(F22:G22)</f>
        <v>1109</v>
      </c>
      <c r="J22" s="23">
        <f aca="true" t="shared" si="7" ref="J22:J47">E22-I22</f>
        <v>107</v>
      </c>
      <c r="K22" s="23">
        <f t="shared" si="4"/>
        <v>-107</v>
      </c>
      <c r="L22" s="23">
        <f>SUM(Q22:S22,N22,M22)</f>
        <v>-107</v>
      </c>
      <c r="M22" s="593">
        <v>-2</v>
      </c>
      <c r="N22" s="23">
        <f aca="true" t="shared" si="8" ref="N22:N47">O22-P22</f>
        <v>-96</v>
      </c>
      <c r="O22" s="593">
        <v>362</v>
      </c>
      <c r="P22" s="593">
        <v>458</v>
      </c>
      <c r="Q22" s="593">
        <v>-6</v>
      </c>
      <c r="R22" s="593">
        <v>-3</v>
      </c>
      <c r="S22" s="593"/>
    </row>
    <row r="23" spans="1:19" ht="12" customHeight="1">
      <c r="A23" s="592" t="s">
        <v>224</v>
      </c>
      <c r="B23" s="593">
        <v>328</v>
      </c>
      <c r="C23" s="593">
        <v>446</v>
      </c>
      <c r="D23" s="593">
        <v>149</v>
      </c>
      <c r="E23" s="23">
        <f aca="true" t="shared" si="9" ref="E23:E47">SUM(B23:C23)</f>
        <v>774</v>
      </c>
      <c r="F23" s="593">
        <v>680</v>
      </c>
      <c r="G23" s="593">
        <v>14</v>
      </c>
      <c r="H23" s="593"/>
      <c r="I23" s="23">
        <f aca="true" t="shared" si="10" ref="I23:I47">SUM(F23:G23)</f>
        <v>694</v>
      </c>
      <c r="J23" s="23">
        <f t="shared" si="7"/>
        <v>80</v>
      </c>
      <c r="K23" s="23">
        <f t="shared" si="4"/>
        <v>-80</v>
      </c>
      <c r="L23" s="23">
        <f aca="true" t="shared" si="11" ref="L23:L49">SUM(Q23:S23,N23,M23)</f>
        <v>-80</v>
      </c>
      <c r="M23" s="593">
        <v>-3</v>
      </c>
      <c r="N23" s="23">
        <f t="shared" si="8"/>
        <v>-76</v>
      </c>
      <c r="O23" s="593">
        <v>85</v>
      </c>
      <c r="P23" s="593">
        <v>161</v>
      </c>
      <c r="Q23" s="593">
        <v>-1</v>
      </c>
      <c r="R23" s="593"/>
      <c r="S23" s="593"/>
    </row>
    <row r="24" spans="1:19" ht="12" customHeight="1">
      <c r="A24" s="592" t="s">
        <v>225</v>
      </c>
      <c r="B24" s="593">
        <v>308</v>
      </c>
      <c r="C24" s="593">
        <v>602</v>
      </c>
      <c r="D24" s="593">
        <v>234</v>
      </c>
      <c r="E24" s="23">
        <f t="shared" si="9"/>
        <v>910</v>
      </c>
      <c r="F24" s="593">
        <v>847</v>
      </c>
      <c r="G24" s="593">
        <v>20</v>
      </c>
      <c r="H24" s="593"/>
      <c r="I24" s="23">
        <f t="shared" si="10"/>
        <v>867</v>
      </c>
      <c r="J24" s="23">
        <f t="shared" si="7"/>
        <v>43</v>
      </c>
      <c r="K24" s="23">
        <f t="shared" si="4"/>
        <v>-43</v>
      </c>
      <c r="L24" s="23">
        <f t="shared" si="11"/>
        <v>-43</v>
      </c>
      <c r="M24" s="593">
        <v>2</v>
      </c>
      <c r="N24" s="23">
        <f t="shared" si="8"/>
        <v>-124</v>
      </c>
      <c r="O24" s="593">
        <v>62</v>
      </c>
      <c r="P24" s="593">
        <v>186</v>
      </c>
      <c r="Q24" s="593"/>
      <c r="R24" s="593">
        <v>-1</v>
      </c>
      <c r="S24" s="593">
        <v>80</v>
      </c>
    </row>
    <row r="25" spans="1:19" ht="12" customHeight="1">
      <c r="A25" s="592" t="s">
        <v>226</v>
      </c>
      <c r="B25" s="593">
        <v>649</v>
      </c>
      <c r="C25" s="593">
        <v>752</v>
      </c>
      <c r="D25" s="593">
        <v>225</v>
      </c>
      <c r="E25" s="23">
        <f t="shared" si="9"/>
        <v>1401</v>
      </c>
      <c r="F25" s="593">
        <v>1228</v>
      </c>
      <c r="G25" s="593">
        <v>55</v>
      </c>
      <c r="H25" s="593"/>
      <c r="I25" s="23">
        <f t="shared" si="10"/>
        <v>1283</v>
      </c>
      <c r="J25" s="23">
        <f t="shared" si="7"/>
        <v>118</v>
      </c>
      <c r="K25" s="23">
        <f t="shared" si="4"/>
        <v>-118</v>
      </c>
      <c r="L25" s="23">
        <f t="shared" si="11"/>
        <v>-118</v>
      </c>
      <c r="M25" s="593">
        <v>-4</v>
      </c>
      <c r="N25" s="23">
        <f t="shared" si="8"/>
        <v>-113</v>
      </c>
      <c r="O25" s="593">
        <v>159</v>
      </c>
      <c r="P25" s="593">
        <v>272</v>
      </c>
      <c r="Q25" s="593">
        <v>-1</v>
      </c>
      <c r="R25" s="593"/>
      <c r="S25" s="593"/>
    </row>
    <row r="26" spans="1:19" ht="12" customHeight="1">
      <c r="A26" s="592" t="s">
        <v>227</v>
      </c>
      <c r="B26" s="593">
        <v>1071</v>
      </c>
      <c r="C26" s="593">
        <v>945</v>
      </c>
      <c r="D26" s="593">
        <v>279</v>
      </c>
      <c r="E26" s="23">
        <f t="shared" si="9"/>
        <v>2016</v>
      </c>
      <c r="F26" s="593">
        <v>1702</v>
      </c>
      <c r="G26" s="593">
        <v>59</v>
      </c>
      <c r="H26" s="593">
        <v>22</v>
      </c>
      <c r="I26" s="23">
        <f t="shared" si="10"/>
        <v>1761</v>
      </c>
      <c r="J26" s="23">
        <f t="shared" si="7"/>
        <v>255</v>
      </c>
      <c r="K26" s="23">
        <f t="shared" si="4"/>
        <v>-255</v>
      </c>
      <c r="L26" s="23">
        <f t="shared" si="11"/>
        <v>-255</v>
      </c>
      <c r="M26" s="593">
        <v>-53</v>
      </c>
      <c r="N26" s="23">
        <f t="shared" si="8"/>
        <v>-199</v>
      </c>
      <c r="O26" s="593">
        <v>159</v>
      </c>
      <c r="P26" s="593">
        <v>358</v>
      </c>
      <c r="Q26" s="593">
        <v>-2</v>
      </c>
      <c r="R26" s="593"/>
      <c r="S26" s="593">
        <v>-1</v>
      </c>
    </row>
    <row r="27" spans="1:19" ht="12" customHeight="1">
      <c r="A27" s="592" t="s">
        <v>228</v>
      </c>
      <c r="B27" s="593">
        <v>524</v>
      </c>
      <c r="C27" s="593">
        <v>684</v>
      </c>
      <c r="D27" s="593">
        <v>302</v>
      </c>
      <c r="E27" s="23">
        <f t="shared" si="9"/>
        <v>1208</v>
      </c>
      <c r="F27" s="593">
        <v>1057</v>
      </c>
      <c r="G27" s="593">
        <v>41</v>
      </c>
      <c r="H27" s="593">
        <v>10</v>
      </c>
      <c r="I27" s="23">
        <f t="shared" si="10"/>
        <v>1098</v>
      </c>
      <c r="J27" s="23">
        <f t="shared" si="7"/>
        <v>110</v>
      </c>
      <c r="K27" s="23">
        <f t="shared" si="4"/>
        <v>-110</v>
      </c>
      <c r="L27" s="23">
        <f t="shared" si="11"/>
        <v>-110</v>
      </c>
      <c r="M27" s="593">
        <v>81</v>
      </c>
      <c r="N27" s="23">
        <f t="shared" si="8"/>
        <v>-103</v>
      </c>
      <c r="O27" s="593">
        <v>114</v>
      </c>
      <c r="P27" s="593">
        <v>217</v>
      </c>
      <c r="Q27" s="593"/>
      <c r="R27" s="593">
        <v>-120</v>
      </c>
      <c r="S27" s="593">
        <v>32</v>
      </c>
    </row>
    <row r="28" spans="1:19" ht="12" customHeight="1">
      <c r="A28" s="592" t="s">
        <v>229</v>
      </c>
      <c r="B28" s="593">
        <v>555</v>
      </c>
      <c r="C28" s="593">
        <v>542</v>
      </c>
      <c r="D28" s="593">
        <v>199</v>
      </c>
      <c r="E28" s="23">
        <f t="shared" si="9"/>
        <v>1097</v>
      </c>
      <c r="F28" s="593">
        <v>1011</v>
      </c>
      <c r="G28" s="593">
        <v>34</v>
      </c>
      <c r="H28" s="593">
        <v>20</v>
      </c>
      <c r="I28" s="23">
        <f>SUM(F28:G28)</f>
        <v>1045</v>
      </c>
      <c r="J28" s="23">
        <f t="shared" si="7"/>
        <v>52</v>
      </c>
      <c r="K28" s="23">
        <f t="shared" si="4"/>
        <v>-52</v>
      </c>
      <c r="L28" s="23">
        <f t="shared" si="11"/>
        <v>-52</v>
      </c>
      <c r="M28" s="593">
        <v>-1</v>
      </c>
      <c r="N28" s="23">
        <f t="shared" si="8"/>
        <v>-51</v>
      </c>
      <c r="O28" s="593">
        <v>197</v>
      </c>
      <c r="P28" s="593">
        <v>248</v>
      </c>
      <c r="Q28" s="593"/>
      <c r="R28" s="593"/>
      <c r="S28" s="593"/>
    </row>
    <row r="29" spans="1:19" ht="12" customHeight="1">
      <c r="A29" s="592" t="s">
        <v>230</v>
      </c>
      <c r="B29" s="593">
        <v>390</v>
      </c>
      <c r="C29" s="593">
        <v>438</v>
      </c>
      <c r="D29" s="593">
        <v>120</v>
      </c>
      <c r="E29" s="23">
        <f t="shared" si="9"/>
        <v>828</v>
      </c>
      <c r="F29" s="593">
        <v>672</v>
      </c>
      <c r="G29" s="593">
        <v>22</v>
      </c>
      <c r="H29" s="593"/>
      <c r="I29" s="23">
        <f t="shared" si="10"/>
        <v>694</v>
      </c>
      <c r="J29" s="23">
        <f t="shared" si="7"/>
        <v>134</v>
      </c>
      <c r="K29" s="23">
        <f t="shared" si="4"/>
        <v>-134</v>
      </c>
      <c r="L29" s="23">
        <f t="shared" si="11"/>
        <v>-134</v>
      </c>
      <c r="M29" s="593">
        <v>-2</v>
      </c>
      <c r="N29" s="23">
        <f t="shared" si="8"/>
        <v>-142</v>
      </c>
      <c r="O29" s="593">
        <v>269</v>
      </c>
      <c r="P29" s="593">
        <v>411</v>
      </c>
      <c r="Q29" s="593"/>
      <c r="R29" s="593"/>
      <c r="S29" s="593">
        <v>10</v>
      </c>
    </row>
    <row r="30" spans="1:19" ht="12" customHeight="1">
      <c r="A30" s="592" t="s">
        <v>231</v>
      </c>
      <c r="B30" s="593">
        <v>418</v>
      </c>
      <c r="C30" s="593">
        <v>553</v>
      </c>
      <c r="D30" s="593">
        <v>201</v>
      </c>
      <c r="E30" s="23">
        <f t="shared" si="9"/>
        <v>971</v>
      </c>
      <c r="F30" s="593">
        <v>849</v>
      </c>
      <c r="G30" s="593">
        <v>22</v>
      </c>
      <c r="H30" s="593">
        <v>1</v>
      </c>
      <c r="I30" s="23">
        <f t="shared" si="10"/>
        <v>871</v>
      </c>
      <c r="J30" s="23">
        <f t="shared" si="7"/>
        <v>100</v>
      </c>
      <c r="K30" s="23">
        <f t="shared" si="4"/>
        <v>-100</v>
      </c>
      <c r="L30" s="23">
        <f t="shared" si="11"/>
        <v>-100</v>
      </c>
      <c r="M30" s="593">
        <v>-12</v>
      </c>
      <c r="N30" s="23">
        <f t="shared" si="8"/>
        <v>-88</v>
      </c>
      <c r="O30" s="593">
        <v>126</v>
      </c>
      <c r="P30" s="593">
        <v>214</v>
      </c>
      <c r="Q30" s="593"/>
      <c r="R30" s="593"/>
      <c r="S30" s="593"/>
    </row>
    <row r="31" spans="1:19" ht="12" customHeight="1">
      <c r="A31" s="592" t="s">
        <v>232</v>
      </c>
      <c r="B31" s="593">
        <v>665</v>
      </c>
      <c r="C31" s="593">
        <v>802</v>
      </c>
      <c r="D31" s="593">
        <v>306</v>
      </c>
      <c r="E31" s="23">
        <f t="shared" si="9"/>
        <v>1467</v>
      </c>
      <c r="F31" s="593">
        <v>1332</v>
      </c>
      <c r="G31" s="593">
        <v>19</v>
      </c>
      <c r="H31" s="593"/>
      <c r="I31" s="23">
        <f>SUM(F31:G31)</f>
        <v>1351</v>
      </c>
      <c r="J31" s="23">
        <f t="shared" si="7"/>
        <v>116</v>
      </c>
      <c r="K31" s="23">
        <f t="shared" si="4"/>
        <v>-116</v>
      </c>
      <c r="L31" s="23">
        <f t="shared" si="11"/>
        <v>-116</v>
      </c>
      <c r="M31" s="593">
        <v>-31</v>
      </c>
      <c r="N31" s="23">
        <f t="shared" si="8"/>
        <v>-119</v>
      </c>
      <c r="O31" s="593">
        <v>271</v>
      </c>
      <c r="P31" s="593">
        <v>390</v>
      </c>
      <c r="Q31" s="593"/>
      <c r="R31" s="593">
        <v>-2</v>
      </c>
      <c r="S31" s="593">
        <v>36</v>
      </c>
    </row>
    <row r="32" spans="1:19" ht="12" customHeight="1">
      <c r="A32" s="592" t="s">
        <v>233</v>
      </c>
      <c r="B32" s="593">
        <v>310</v>
      </c>
      <c r="C32" s="593">
        <v>546</v>
      </c>
      <c r="D32" s="593">
        <v>244</v>
      </c>
      <c r="E32" s="23">
        <f t="shared" si="9"/>
        <v>856</v>
      </c>
      <c r="F32" s="593">
        <v>765</v>
      </c>
      <c r="G32" s="593">
        <v>17</v>
      </c>
      <c r="H32" s="593"/>
      <c r="I32" s="23">
        <f t="shared" si="10"/>
        <v>782</v>
      </c>
      <c r="J32" s="23">
        <f t="shared" si="7"/>
        <v>74</v>
      </c>
      <c r="K32" s="23">
        <f t="shared" si="4"/>
        <v>-74</v>
      </c>
      <c r="L32" s="23">
        <f t="shared" si="11"/>
        <v>-74</v>
      </c>
      <c r="M32" s="593">
        <v>11</v>
      </c>
      <c r="N32" s="23">
        <f t="shared" si="8"/>
        <v>-93</v>
      </c>
      <c r="O32" s="593">
        <v>68</v>
      </c>
      <c r="P32" s="593">
        <v>161</v>
      </c>
      <c r="Q32" s="593"/>
      <c r="R32" s="593"/>
      <c r="S32" s="593">
        <v>8</v>
      </c>
    </row>
    <row r="33" spans="1:19" ht="12" customHeight="1">
      <c r="A33" s="592" t="s">
        <v>234</v>
      </c>
      <c r="B33" s="593">
        <v>577</v>
      </c>
      <c r="C33" s="593">
        <v>612</v>
      </c>
      <c r="D33" s="593">
        <v>165</v>
      </c>
      <c r="E33" s="23">
        <f t="shared" si="9"/>
        <v>1189</v>
      </c>
      <c r="F33" s="593">
        <v>1114</v>
      </c>
      <c r="G33" s="593">
        <v>32</v>
      </c>
      <c r="H33" s="593"/>
      <c r="I33" s="23">
        <f t="shared" si="10"/>
        <v>1146</v>
      </c>
      <c r="J33" s="23">
        <f t="shared" si="7"/>
        <v>43</v>
      </c>
      <c r="K33" s="23">
        <f t="shared" si="4"/>
        <v>-43</v>
      </c>
      <c r="L33" s="23">
        <f t="shared" si="11"/>
        <v>-43</v>
      </c>
      <c r="M33" s="593">
        <v>14</v>
      </c>
      <c r="N33" s="23">
        <f t="shared" si="8"/>
        <v>-57</v>
      </c>
      <c r="O33" s="593">
        <v>462</v>
      </c>
      <c r="P33" s="593">
        <v>519</v>
      </c>
      <c r="Q33" s="593"/>
      <c r="R33" s="593"/>
      <c r="S33" s="593"/>
    </row>
    <row r="34" spans="1:19" ht="12" customHeight="1">
      <c r="A34" s="592" t="s">
        <v>235</v>
      </c>
      <c r="B34" s="593">
        <v>578</v>
      </c>
      <c r="C34" s="593">
        <v>637</v>
      </c>
      <c r="D34" s="593">
        <v>201</v>
      </c>
      <c r="E34" s="23">
        <f t="shared" si="9"/>
        <v>1215</v>
      </c>
      <c r="F34" s="593">
        <v>1145</v>
      </c>
      <c r="G34" s="593">
        <v>25</v>
      </c>
      <c r="H34" s="593">
        <v>3</v>
      </c>
      <c r="I34" s="23">
        <f t="shared" si="10"/>
        <v>1170</v>
      </c>
      <c r="J34" s="23">
        <f t="shared" si="7"/>
        <v>45</v>
      </c>
      <c r="K34" s="23">
        <f t="shared" si="4"/>
        <v>-45</v>
      </c>
      <c r="L34" s="23">
        <f t="shared" si="11"/>
        <v>-45</v>
      </c>
      <c r="M34" s="593">
        <v>-22</v>
      </c>
      <c r="N34" s="23">
        <f t="shared" si="8"/>
        <v>-21</v>
      </c>
      <c r="O34" s="593">
        <v>137</v>
      </c>
      <c r="P34" s="593">
        <v>158</v>
      </c>
      <c r="Q34" s="593"/>
      <c r="R34" s="593">
        <v>1</v>
      </c>
      <c r="S34" s="593">
        <v>-3</v>
      </c>
    </row>
    <row r="35" spans="1:19" ht="12" customHeight="1">
      <c r="A35" s="592" t="s">
        <v>236</v>
      </c>
      <c r="B35" s="593">
        <v>598</v>
      </c>
      <c r="C35" s="593">
        <v>530</v>
      </c>
      <c r="D35" s="593">
        <v>191</v>
      </c>
      <c r="E35" s="23">
        <f t="shared" si="9"/>
        <v>1128</v>
      </c>
      <c r="F35" s="593">
        <v>979</v>
      </c>
      <c r="G35" s="593">
        <v>80</v>
      </c>
      <c r="H35" s="593">
        <v>29</v>
      </c>
      <c r="I35" s="23">
        <f t="shared" si="10"/>
        <v>1059</v>
      </c>
      <c r="J35" s="23">
        <f t="shared" si="7"/>
        <v>69</v>
      </c>
      <c r="K35" s="23">
        <f t="shared" si="4"/>
        <v>-69</v>
      </c>
      <c r="L35" s="23">
        <f t="shared" si="11"/>
        <v>-69</v>
      </c>
      <c r="M35" s="593">
        <v>-21</v>
      </c>
      <c r="N35" s="23">
        <f t="shared" si="8"/>
        <v>-45</v>
      </c>
      <c r="O35" s="593">
        <v>209</v>
      </c>
      <c r="P35" s="593">
        <v>254</v>
      </c>
      <c r="Q35" s="593">
        <v>-3</v>
      </c>
      <c r="R35" s="593"/>
      <c r="S35" s="593"/>
    </row>
    <row r="36" spans="1:19" ht="12" customHeight="1">
      <c r="A36" s="592" t="s">
        <v>237</v>
      </c>
      <c r="B36" s="593">
        <v>328</v>
      </c>
      <c r="C36" s="593">
        <v>551</v>
      </c>
      <c r="D36" s="593">
        <v>214</v>
      </c>
      <c r="E36" s="23">
        <f t="shared" si="9"/>
        <v>879</v>
      </c>
      <c r="F36" s="593">
        <v>751</v>
      </c>
      <c r="G36" s="593">
        <v>17</v>
      </c>
      <c r="H36" s="593"/>
      <c r="I36" s="23">
        <f t="shared" si="10"/>
        <v>768</v>
      </c>
      <c r="J36" s="23">
        <f t="shared" si="7"/>
        <v>111</v>
      </c>
      <c r="K36" s="23">
        <f t="shared" si="4"/>
        <v>-111</v>
      </c>
      <c r="L36" s="23">
        <f t="shared" si="11"/>
        <v>-111</v>
      </c>
      <c r="M36" s="593">
        <v>-6</v>
      </c>
      <c r="N36" s="23">
        <f t="shared" si="8"/>
        <v>-122</v>
      </c>
      <c r="O36" s="593">
        <v>59</v>
      </c>
      <c r="P36" s="593">
        <v>181</v>
      </c>
      <c r="Q36" s="593">
        <v>-2</v>
      </c>
      <c r="R36" s="593"/>
      <c r="S36" s="593">
        <v>19</v>
      </c>
    </row>
    <row r="37" spans="1:19" ht="12" customHeight="1">
      <c r="A37" s="592" t="s">
        <v>238</v>
      </c>
      <c r="B37" s="593">
        <v>609</v>
      </c>
      <c r="C37" s="593">
        <v>753</v>
      </c>
      <c r="D37" s="593">
        <v>247</v>
      </c>
      <c r="E37" s="23">
        <f t="shared" si="9"/>
        <v>1362</v>
      </c>
      <c r="F37" s="593">
        <v>1204</v>
      </c>
      <c r="G37" s="593">
        <v>50</v>
      </c>
      <c r="H37" s="593">
        <v>9</v>
      </c>
      <c r="I37" s="23">
        <f>SUM(F37:G37)</f>
        <v>1254</v>
      </c>
      <c r="J37" s="23">
        <f t="shared" si="7"/>
        <v>108</v>
      </c>
      <c r="K37" s="23">
        <f t="shared" si="4"/>
        <v>-108</v>
      </c>
      <c r="L37" s="23">
        <f t="shared" si="11"/>
        <v>-108</v>
      </c>
      <c r="M37" s="593">
        <v>13</v>
      </c>
      <c r="N37" s="23">
        <f t="shared" si="8"/>
        <v>-116</v>
      </c>
      <c r="O37" s="593">
        <v>190</v>
      </c>
      <c r="P37" s="593">
        <v>306</v>
      </c>
      <c r="Q37" s="593"/>
      <c r="R37" s="593">
        <v>-4</v>
      </c>
      <c r="S37" s="593">
        <v>-1</v>
      </c>
    </row>
    <row r="38" spans="1:19" ht="12" customHeight="1">
      <c r="A38" s="592" t="s">
        <v>239</v>
      </c>
      <c r="B38" s="593">
        <v>1102</v>
      </c>
      <c r="C38" s="593">
        <v>656</v>
      </c>
      <c r="D38" s="593">
        <v>172</v>
      </c>
      <c r="E38" s="23">
        <f t="shared" si="9"/>
        <v>1758</v>
      </c>
      <c r="F38" s="593">
        <v>1499</v>
      </c>
      <c r="G38" s="593">
        <v>97</v>
      </c>
      <c r="H38" s="593">
        <v>81</v>
      </c>
      <c r="I38" s="23">
        <f t="shared" si="10"/>
        <v>1596</v>
      </c>
      <c r="J38" s="23">
        <f t="shared" si="7"/>
        <v>162</v>
      </c>
      <c r="K38" s="23">
        <f t="shared" si="4"/>
        <v>-162</v>
      </c>
      <c r="L38" s="23">
        <f t="shared" si="11"/>
        <v>-162</v>
      </c>
      <c r="M38" s="593">
        <v>-31</v>
      </c>
      <c r="N38" s="23">
        <f t="shared" si="8"/>
        <v>-140</v>
      </c>
      <c r="O38" s="593">
        <v>312</v>
      </c>
      <c r="P38" s="593">
        <v>452</v>
      </c>
      <c r="Q38" s="593">
        <v>-2</v>
      </c>
      <c r="R38" s="593"/>
      <c r="S38" s="593">
        <v>11</v>
      </c>
    </row>
    <row r="39" spans="1:19" ht="12" customHeight="1">
      <c r="A39" s="592" t="s">
        <v>240</v>
      </c>
      <c r="B39" s="593">
        <v>471</v>
      </c>
      <c r="C39" s="593">
        <v>752</v>
      </c>
      <c r="D39" s="593">
        <v>275</v>
      </c>
      <c r="E39" s="23">
        <f t="shared" si="9"/>
        <v>1223</v>
      </c>
      <c r="F39" s="593">
        <v>1102</v>
      </c>
      <c r="G39" s="593">
        <v>7</v>
      </c>
      <c r="H39" s="593"/>
      <c r="I39" s="23">
        <f t="shared" si="10"/>
        <v>1109</v>
      </c>
      <c r="J39" s="23">
        <f t="shared" si="7"/>
        <v>114</v>
      </c>
      <c r="K39" s="23">
        <f t="shared" si="4"/>
        <v>-114</v>
      </c>
      <c r="L39" s="23">
        <f t="shared" si="11"/>
        <v>-114</v>
      </c>
      <c r="M39" s="593">
        <v>-61</v>
      </c>
      <c r="N39" s="23">
        <f t="shared" si="8"/>
        <v>-133</v>
      </c>
      <c r="O39" s="593">
        <v>148</v>
      </c>
      <c r="P39" s="593">
        <v>281</v>
      </c>
      <c r="Q39" s="593">
        <v>-9</v>
      </c>
      <c r="R39" s="593">
        <v>4</v>
      </c>
      <c r="S39" s="593">
        <v>85</v>
      </c>
    </row>
    <row r="40" spans="1:19" ht="12" customHeight="1">
      <c r="A40" s="592" t="s">
        <v>241</v>
      </c>
      <c r="B40" s="593">
        <v>341</v>
      </c>
      <c r="C40" s="593">
        <v>806</v>
      </c>
      <c r="D40" s="593">
        <v>351</v>
      </c>
      <c r="E40" s="23">
        <f t="shared" si="9"/>
        <v>1147</v>
      </c>
      <c r="F40" s="593">
        <v>1033</v>
      </c>
      <c r="G40" s="593">
        <v>34</v>
      </c>
      <c r="H40" s="593"/>
      <c r="I40" s="23">
        <f t="shared" si="10"/>
        <v>1067</v>
      </c>
      <c r="J40" s="23">
        <f t="shared" si="7"/>
        <v>80</v>
      </c>
      <c r="K40" s="23">
        <f t="shared" si="4"/>
        <v>-80</v>
      </c>
      <c r="L40" s="23">
        <f t="shared" si="11"/>
        <v>-80</v>
      </c>
      <c r="M40" s="593">
        <v>-1</v>
      </c>
      <c r="N40" s="23">
        <f t="shared" si="8"/>
        <v>-79</v>
      </c>
      <c r="O40" s="593">
        <v>105</v>
      </c>
      <c r="P40" s="593">
        <v>184</v>
      </c>
      <c r="Q40" s="593"/>
      <c r="R40" s="593"/>
      <c r="S40" s="593"/>
    </row>
    <row r="41" spans="1:19" ht="12" customHeight="1">
      <c r="A41" s="592" t="s">
        <v>242</v>
      </c>
      <c r="B41" s="593">
        <v>3295</v>
      </c>
      <c r="C41" s="593">
        <v>1232</v>
      </c>
      <c r="D41" s="593">
        <v>245</v>
      </c>
      <c r="E41" s="23">
        <f t="shared" si="9"/>
        <v>4527</v>
      </c>
      <c r="F41" s="593">
        <v>3951</v>
      </c>
      <c r="G41" s="593">
        <v>465</v>
      </c>
      <c r="H41" s="593">
        <v>379</v>
      </c>
      <c r="I41" s="23">
        <f t="shared" si="10"/>
        <v>4416</v>
      </c>
      <c r="J41" s="23">
        <f t="shared" si="7"/>
        <v>111</v>
      </c>
      <c r="K41" s="23">
        <f t="shared" si="4"/>
        <v>-111</v>
      </c>
      <c r="L41" s="23">
        <f t="shared" si="11"/>
        <v>-111</v>
      </c>
      <c r="M41" s="593">
        <v>120</v>
      </c>
      <c r="N41" s="23">
        <f t="shared" si="8"/>
        <v>-279</v>
      </c>
      <c r="O41" s="593">
        <v>1098</v>
      </c>
      <c r="P41" s="593">
        <v>1377</v>
      </c>
      <c r="Q41" s="593">
        <v>35</v>
      </c>
      <c r="R41" s="593"/>
      <c r="S41" s="593">
        <v>13</v>
      </c>
    </row>
    <row r="42" spans="1:19" ht="12" customHeight="1">
      <c r="A42" s="592" t="s">
        <v>243</v>
      </c>
      <c r="B42" s="593">
        <v>530</v>
      </c>
      <c r="C42" s="593">
        <v>634</v>
      </c>
      <c r="D42" s="593">
        <v>179</v>
      </c>
      <c r="E42" s="23">
        <f t="shared" si="9"/>
        <v>1164</v>
      </c>
      <c r="F42" s="593">
        <v>1076</v>
      </c>
      <c r="G42" s="593">
        <v>19</v>
      </c>
      <c r="H42" s="593">
        <v>4</v>
      </c>
      <c r="I42" s="23">
        <f t="shared" si="10"/>
        <v>1095</v>
      </c>
      <c r="J42" s="23">
        <f t="shared" si="7"/>
        <v>69</v>
      </c>
      <c r="K42" s="23">
        <f t="shared" si="4"/>
        <v>-69</v>
      </c>
      <c r="L42" s="23">
        <f t="shared" si="11"/>
        <v>-69</v>
      </c>
      <c r="M42" s="593">
        <v>8</v>
      </c>
      <c r="N42" s="23">
        <f t="shared" si="8"/>
        <v>-77</v>
      </c>
      <c r="O42" s="593">
        <v>246</v>
      </c>
      <c r="P42" s="593">
        <v>323</v>
      </c>
      <c r="Q42" s="593"/>
      <c r="R42" s="593"/>
      <c r="S42" s="593"/>
    </row>
    <row r="43" spans="1:19" ht="12" customHeight="1">
      <c r="A43" s="592" t="s">
        <v>244</v>
      </c>
      <c r="B43" s="593">
        <v>691</v>
      </c>
      <c r="C43" s="593">
        <v>651</v>
      </c>
      <c r="D43" s="593">
        <v>215</v>
      </c>
      <c r="E43" s="23">
        <f t="shared" si="9"/>
        <v>1342</v>
      </c>
      <c r="F43" s="593">
        <v>1282</v>
      </c>
      <c r="G43" s="593">
        <v>13</v>
      </c>
      <c r="H43" s="593">
        <v>4</v>
      </c>
      <c r="I43" s="23">
        <f t="shared" si="10"/>
        <v>1295</v>
      </c>
      <c r="J43" s="23">
        <f t="shared" si="7"/>
        <v>47</v>
      </c>
      <c r="K43" s="23">
        <f t="shared" si="4"/>
        <v>-47</v>
      </c>
      <c r="L43" s="23">
        <f t="shared" si="11"/>
        <v>-47</v>
      </c>
      <c r="M43" s="593">
        <v>8</v>
      </c>
      <c r="N43" s="23">
        <f t="shared" si="8"/>
        <v>-47</v>
      </c>
      <c r="O43" s="593">
        <v>207</v>
      </c>
      <c r="P43" s="593">
        <v>254</v>
      </c>
      <c r="Q43" s="593"/>
      <c r="R43" s="593">
        <v>-8</v>
      </c>
      <c r="S43" s="593"/>
    </row>
    <row r="44" spans="1:19" ht="12" customHeight="1">
      <c r="A44" s="592" t="s">
        <v>245</v>
      </c>
      <c r="B44" s="593">
        <v>852</v>
      </c>
      <c r="C44" s="593">
        <v>976</v>
      </c>
      <c r="D44" s="593">
        <v>253</v>
      </c>
      <c r="E44" s="23">
        <f t="shared" si="9"/>
        <v>1828</v>
      </c>
      <c r="F44" s="593">
        <v>1644</v>
      </c>
      <c r="G44" s="593">
        <v>169</v>
      </c>
      <c r="H44" s="593">
        <v>4</v>
      </c>
      <c r="I44" s="23">
        <f t="shared" si="10"/>
        <v>1813</v>
      </c>
      <c r="J44" s="23">
        <f t="shared" si="7"/>
        <v>15</v>
      </c>
      <c r="K44" s="23">
        <f t="shared" si="4"/>
        <v>-15</v>
      </c>
      <c r="L44" s="23">
        <f t="shared" si="11"/>
        <v>-15</v>
      </c>
      <c r="M44" s="593">
        <v>42</v>
      </c>
      <c r="N44" s="23">
        <f t="shared" si="8"/>
        <v>-52</v>
      </c>
      <c r="O44" s="593">
        <v>365</v>
      </c>
      <c r="P44" s="593">
        <v>417</v>
      </c>
      <c r="Q44" s="593"/>
      <c r="R44" s="593">
        <v>-5</v>
      </c>
      <c r="S44" s="593"/>
    </row>
    <row r="45" spans="1:19" ht="12" customHeight="1">
      <c r="A45" s="592" t="s">
        <v>246</v>
      </c>
      <c r="B45" s="593">
        <v>567</v>
      </c>
      <c r="C45" s="593">
        <v>404</v>
      </c>
      <c r="D45" s="593">
        <v>129</v>
      </c>
      <c r="E45" s="23">
        <f t="shared" si="9"/>
        <v>971</v>
      </c>
      <c r="F45" s="593">
        <v>698</v>
      </c>
      <c r="G45" s="593">
        <v>36</v>
      </c>
      <c r="H45" s="593">
        <v>11</v>
      </c>
      <c r="I45" s="23">
        <f t="shared" si="10"/>
        <v>734</v>
      </c>
      <c r="J45" s="23">
        <f t="shared" si="7"/>
        <v>237</v>
      </c>
      <c r="K45" s="23">
        <f t="shared" si="4"/>
        <v>-237</v>
      </c>
      <c r="L45" s="23">
        <f t="shared" si="11"/>
        <v>-237</v>
      </c>
      <c r="M45" s="593">
        <v>-6</v>
      </c>
      <c r="N45" s="23">
        <f t="shared" si="8"/>
        <v>-231</v>
      </c>
      <c r="O45" s="593">
        <v>75</v>
      </c>
      <c r="P45" s="593">
        <v>306</v>
      </c>
      <c r="Q45" s="593"/>
      <c r="R45" s="593"/>
      <c r="S45" s="593"/>
    </row>
    <row r="46" spans="1:19" ht="12" customHeight="1">
      <c r="A46" s="592" t="s">
        <v>247</v>
      </c>
      <c r="B46" s="593">
        <v>1516</v>
      </c>
      <c r="C46" s="593">
        <v>888</v>
      </c>
      <c r="D46" s="593">
        <v>213</v>
      </c>
      <c r="E46" s="23">
        <f t="shared" si="9"/>
        <v>2404</v>
      </c>
      <c r="F46" s="593">
        <v>2112</v>
      </c>
      <c r="G46" s="593">
        <v>96</v>
      </c>
      <c r="H46" s="593">
        <v>55</v>
      </c>
      <c r="I46" s="23">
        <f t="shared" si="10"/>
        <v>2208</v>
      </c>
      <c r="J46" s="23">
        <f t="shared" si="7"/>
        <v>196</v>
      </c>
      <c r="K46" s="23">
        <f t="shared" si="4"/>
        <v>-196</v>
      </c>
      <c r="L46" s="23">
        <f t="shared" si="11"/>
        <v>-196</v>
      </c>
      <c r="M46" s="593">
        <v>-99</v>
      </c>
      <c r="N46" s="23">
        <f t="shared" si="8"/>
        <v>-226</v>
      </c>
      <c r="O46" s="593">
        <v>292</v>
      </c>
      <c r="P46" s="593">
        <v>518</v>
      </c>
      <c r="Q46" s="593">
        <v>-15</v>
      </c>
      <c r="R46" s="593">
        <v>-2</v>
      </c>
      <c r="S46" s="593">
        <v>146</v>
      </c>
    </row>
    <row r="47" spans="1:19" ht="12" customHeight="1">
      <c r="A47" s="592" t="s">
        <v>248</v>
      </c>
      <c r="B47" s="593">
        <v>225</v>
      </c>
      <c r="C47" s="593">
        <v>175</v>
      </c>
      <c r="D47" s="593">
        <v>31</v>
      </c>
      <c r="E47" s="595">
        <f t="shared" si="9"/>
        <v>400</v>
      </c>
      <c r="F47" s="593">
        <v>379</v>
      </c>
      <c r="G47" s="593">
        <v>19</v>
      </c>
      <c r="H47" s="593">
        <v>5</v>
      </c>
      <c r="I47" s="23">
        <f t="shared" si="10"/>
        <v>398</v>
      </c>
      <c r="J47" s="23">
        <f t="shared" si="7"/>
        <v>2</v>
      </c>
      <c r="K47" s="23">
        <f t="shared" si="4"/>
        <v>-2</v>
      </c>
      <c r="L47" s="23">
        <f t="shared" si="11"/>
        <v>-2</v>
      </c>
      <c r="M47" s="593">
        <v>-5</v>
      </c>
      <c r="N47" s="23">
        <f t="shared" si="8"/>
        <v>-15</v>
      </c>
      <c r="O47" s="593">
        <v>60</v>
      </c>
      <c r="P47" s="593">
        <v>75</v>
      </c>
      <c r="Q47" s="593"/>
      <c r="R47" s="593"/>
      <c r="S47" s="593">
        <v>18</v>
      </c>
    </row>
    <row r="48" spans="1:19" ht="12" customHeight="1">
      <c r="A48" s="591" t="s">
        <v>249</v>
      </c>
      <c r="B48" s="23">
        <f aca="true" t="shared" si="12" ref="B48:J48">SUM(B22:B47)</f>
        <v>18141</v>
      </c>
      <c r="C48" s="23">
        <f t="shared" si="12"/>
        <v>17140</v>
      </c>
      <c r="D48" s="23">
        <f t="shared" si="12"/>
        <v>5491</v>
      </c>
      <c r="E48" s="595">
        <f t="shared" si="12"/>
        <v>35281</v>
      </c>
      <c r="F48" s="23">
        <f t="shared" si="12"/>
        <v>31161</v>
      </c>
      <c r="G48" s="23">
        <f t="shared" si="12"/>
        <v>1522</v>
      </c>
      <c r="H48" s="23">
        <f t="shared" si="12"/>
        <v>681</v>
      </c>
      <c r="I48" s="23">
        <f t="shared" si="12"/>
        <v>32683</v>
      </c>
      <c r="J48" s="23">
        <f t="shared" si="12"/>
        <v>2598</v>
      </c>
      <c r="K48" s="23">
        <f aca="true" t="shared" si="13" ref="K48:S48">SUM(K22:K47)</f>
        <v>-2598</v>
      </c>
      <c r="L48" s="23">
        <f t="shared" si="11"/>
        <v>-2598</v>
      </c>
      <c r="M48" s="23">
        <f t="shared" si="13"/>
        <v>-61</v>
      </c>
      <c r="N48" s="23">
        <f t="shared" si="13"/>
        <v>-2844</v>
      </c>
      <c r="O48" s="23">
        <f t="shared" si="13"/>
        <v>5837</v>
      </c>
      <c r="P48" s="23">
        <f t="shared" si="13"/>
        <v>8681</v>
      </c>
      <c r="Q48" s="23">
        <f t="shared" si="13"/>
        <v>-6</v>
      </c>
      <c r="R48" s="23">
        <f t="shared" si="13"/>
        <v>-140</v>
      </c>
      <c r="S48" s="23">
        <f t="shared" si="13"/>
        <v>453</v>
      </c>
    </row>
    <row r="49" spans="1:19" ht="12" customHeight="1">
      <c r="A49" s="596" t="s">
        <v>250</v>
      </c>
      <c r="B49" s="23">
        <f aca="true" t="shared" si="14" ref="B49:S49">B48+B20</f>
        <v>44229</v>
      </c>
      <c r="C49" s="23">
        <f t="shared" si="14"/>
        <v>24122</v>
      </c>
      <c r="D49" s="23">
        <f t="shared" si="14"/>
        <v>5727</v>
      </c>
      <c r="E49" s="23">
        <f t="shared" si="14"/>
        <v>68351</v>
      </c>
      <c r="F49" s="23">
        <f t="shared" si="14"/>
        <v>59547</v>
      </c>
      <c r="G49" s="23">
        <f t="shared" si="14"/>
        <v>5317</v>
      </c>
      <c r="H49" s="23">
        <f t="shared" si="14"/>
        <v>4462</v>
      </c>
      <c r="I49" s="23">
        <f t="shared" si="14"/>
        <v>64864</v>
      </c>
      <c r="J49" s="23">
        <f t="shared" si="14"/>
        <v>3487</v>
      </c>
      <c r="K49" s="23">
        <f t="shared" si="14"/>
        <v>-3487</v>
      </c>
      <c r="L49" s="23">
        <f t="shared" si="11"/>
        <v>-3487</v>
      </c>
      <c r="M49" s="23">
        <f t="shared" si="14"/>
        <v>-91</v>
      </c>
      <c r="N49" s="23">
        <f t="shared" si="14"/>
        <v>-4512</v>
      </c>
      <c r="O49" s="23">
        <f t="shared" si="14"/>
        <v>12079</v>
      </c>
      <c r="P49" s="23">
        <f t="shared" si="14"/>
        <v>16591</v>
      </c>
      <c r="Q49" s="23">
        <f t="shared" si="14"/>
        <v>-14</v>
      </c>
      <c r="R49" s="23">
        <f t="shared" si="14"/>
        <v>677</v>
      </c>
      <c r="S49" s="23">
        <f t="shared" si="14"/>
        <v>453</v>
      </c>
    </row>
    <row r="50" ht="12" customHeight="1"/>
    <row r="51" spans="1:248" s="493" customFormat="1" ht="17.25" customHeight="1">
      <c r="A51" s="597" t="s">
        <v>251</v>
      </c>
      <c r="I51" s="493" t="s">
        <v>252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s="493" customFormat="1" ht="17.25" customHeight="1">
      <c r="A52" s="597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s="493" customFormat="1" ht="17.25" customHeight="1">
      <c r="A53" s="598"/>
      <c r="B53" s="599"/>
      <c r="C53" s="599"/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s="493" customFormat="1" ht="17.25" customHeight="1">
      <c r="A54" s="597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s="493" customFormat="1" ht="17.25" customHeight="1">
      <c r="A55" s="600"/>
      <c r="B55" s="601"/>
      <c r="C55" s="28"/>
      <c r="D55" s="28"/>
      <c r="E55" s="28"/>
      <c r="F55" s="28"/>
      <c r="G55" s="28"/>
      <c r="H55" s="28"/>
      <c r="J55" s="602"/>
      <c r="K55" s="602"/>
      <c r="L55" s="602"/>
      <c r="M55" s="602"/>
      <c r="N55" s="602"/>
      <c r="O55" s="60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s="604" customFormat="1" ht="17.25" customHeight="1">
      <c r="A56" s="603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8" spans="1:10" ht="17.25" customHeight="1">
      <c r="A58" s="141" t="s">
        <v>827</v>
      </c>
      <c r="B58" s="32"/>
      <c r="C58" s="32"/>
      <c r="D58" s="31"/>
      <c r="E58" s="605"/>
      <c r="F58" s="31"/>
      <c r="G58" s="32"/>
      <c r="H58" s="31"/>
      <c r="J58" s="1" t="s">
        <v>348</v>
      </c>
    </row>
    <row r="59" spans="1:248" s="28" customFormat="1" ht="17.25" customHeight="1">
      <c r="A59" s="64"/>
      <c r="B59" s="4"/>
      <c r="C59" s="4"/>
      <c r="D59" s="4"/>
      <c r="E59" s="572"/>
      <c r="F59" s="493"/>
      <c r="G59" s="493"/>
      <c r="H59" s="493"/>
      <c r="I59" s="493"/>
      <c r="J59" s="493"/>
      <c r="K59" s="493"/>
      <c r="L59" s="493"/>
      <c r="M59" s="493"/>
      <c r="N59" s="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ht="17.25" customHeight="1">
      <c r="A60" s="299"/>
    </row>
    <row r="62" spans="1:5" ht="17.25" customHeight="1">
      <c r="A62" s="686" t="s">
        <v>253</v>
      </c>
      <c r="B62" s="686"/>
      <c r="C62" s="686"/>
      <c r="D62" s="686"/>
      <c r="E62" s="686"/>
    </row>
    <row r="63" spans="1:3" ht="17.25" customHeight="1">
      <c r="A63" s="687" t="s">
        <v>399</v>
      </c>
      <c r="B63" s="687"/>
      <c r="C63" s="687"/>
    </row>
    <row r="68" spans="1:248" s="24" customFormat="1" ht="17.25" customHeight="1">
      <c r="A68" s="299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</row>
  </sheetData>
  <mergeCells count="16">
    <mergeCell ref="A62:E62"/>
    <mergeCell ref="A63:C63"/>
    <mergeCell ref="F9:F10"/>
    <mergeCell ref="G9:G10"/>
    <mergeCell ref="D9:D10"/>
    <mergeCell ref="E9:E10"/>
    <mergeCell ref="H9:H10"/>
    <mergeCell ref="I9:I10"/>
    <mergeCell ref="A4:S4"/>
    <mergeCell ref="A5:S5"/>
    <mergeCell ref="A8:A10"/>
    <mergeCell ref="J8:J10"/>
    <mergeCell ref="K8:K10"/>
    <mergeCell ref="S8:S10"/>
    <mergeCell ref="B9:B10"/>
    <mergeCell ref="C9:C10"/>
  </mergeCells>
  <printOptions/>
  <pageMargins left="0.25" right="0.17" top="0.69" bottom="0.53" header="0.17" footer="0.28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J67"/>
  <sheetViews>
    <sheetView workbookViewId="0" topLeftCell="A1">
      <selection activeCell="F12" sqref="F12"/>
    </sheetView>
  </sheetViews>
  <sheetFormatPr defaultColWidth="9.140625" defaultRowHeight="17.25" customHeight="1"/>
  <cols>
    <col min="1" max="1" width="17.140625" style="509" customWidth="1"/>
    <col min="2" max="2" width="7.421875" style="24" customWidth="1"/>
    <col min="3" max="3" width="6.140625" style="24" customWidth="1"/>
    <col min="4" max="4" width="6.28125" style="24" customWidth="1"/>
    <col min="5" max="5" width="5.00390625" style="24" customWidth="1"/>
    <col min="6" max="6" width="11.140625" style="24" customWidth="1"/>
    <col min="7" max="7" width="9.8515625" style="24" customWidth="1"/>
    <col min="8" max="8" width="10.7109375" style="24" customWidth="1"/>
    <col min="9" max="9" width="9.8515625" style="24" customWidth="1"/>
    <col min="10" max="10" width="8.7109375" style="24" hidden="1" customWidth="1"/>
    <col min="11" max="11" width="8.421875" style="24" customWidth="1"/>
    <col min="12" max="12" width="7.57421875" style="24" customWidth="1"/>
    <col min="13" max="13" width="9.140625" style="24" customWidth="1"/>
    <col min="14" max="14" width="7.57421875" style="24" customWidth="1"/>
    <col min="15" max="15" width="10.00390625" style="24" customWidth="1"/>
    <col min="16" max="16" width="10.421875" style="24" customWidth="1"/>
    <col min="17" max="17" width="8.57421875" style="24" customWidth="1"/>
    <col min="18" max="21" width="7.140625" style="0" customWidth="1"/>
    <col min="141" max="16384" width="9.140625" style="24" customWidth="1"/>
  </cols>
  <sheetData>
    <row r="1" spans="1:17" ht="17.25" customHeight="1">
      <c r="A1" s="24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99" t="s">
        <v>254</v>
      </c>
    </row>
    <row r="2" spans="1:17" ht="17.25" customHeight="1">
      <c r="A2" s="72" t="s">
        <v>255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299"/>
    </row>
    <row r="3" spans="1:17" ht="17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299"/>
    </row>
    <row r="4" spans="1:140" s="608" customFormat="1" ht="16.5" customHeight="1">
      <c r="A4" s="607" t="s">
        <v>256</v>
      </c>
      <c r="B4" s="574"/>
      <c r="C4" s="574"/>
      <c r="D4" s="574"/>
      <c r="E4" s="574"/>
      <c r="F4" s="574"/>
      <c r="G4" s="107"/>
      <c r="H4" s="107"/>
      <c r="I4" s="574"/>
      <c r="J4" s="574"/>
      <c r="K4" s="574"/>
      <c r="L4" s="574"/>
      <c r="M4" s="574"/>
      <c r="N4" s="574"/>
      <c r="O4" s="574"/>
      <c r="P4" s="574"/>
      <c r="Q4" s="57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608" customFormat="1" ht="15" customHeight="1">
      <c r="A5" s="515" t="s">
        <v>527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1:17" ht="12.75" customHeight="1">
      <c r="A6" s="57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Q6" s="6" t="s">
        <v>489</v>
      </c>
    </row>
    <row r="7" spans="1:17" ht="17.25" customHeight="1">
      <c r="A7" s="688" t="s">
        <v>257</v>
      </c>
      <c r="B7" s="688" t="s">
        <v>602</v>
      </c>
      <c r="C7" s="696" t="s">
        <v>203</v>
      </c>
      <c r="D7" s="697"/>
      <c r="E7" s="698"/>
      <c r="F7" s="688" t="s">
        <v>258</v>
      </c>
      <c r="G7" s="688" t="s">
        <v>259</v>
      </c>
      <c r="H7" s="688" t="s">
        <v>260</v>
      </c>
      <c r="I7" s="688" t="s">
        <v>261</v>
      </c>
      <c r="J7" s="609"/>
      <c r="K7" s="581" t="s">
        <v>262</v>
      </c>
      <c r="L7" s="577"/>
      <c r="M7" s="577"/>
      <c r="N7" s="582"/>
      <c r="O7" s="577"/>
      <c r="P7" s="577"/>
      <c r="Q7" s="688" t="s">
        <v>263</v>
      </c>
    </row>
    <row r="8" spans="1:140" s="299" customFormat="1" ht="17.25" customHeight="1">
      <c r="A8" s="694"/>
      <c r="B8" s="694"/>
      <c r="C8" s="696"/>
      <c r="D8" s="697"/>
      <c r="E8" s="698"/>
      <c r="F8" s="694"/>
      <c r="G8" s="694"/>
      <c r="H8" s="694"/>
      <c r="I8" s="694"/>
      <c r="J8" s="610"/>
      <c r="K8" s="691" t="s">
        <v>207</v>
      </c>
      <c r="L8" s="692"/>
      <c r="M8" s="692"/>
      <c r="N8" s="692"/>
      <c r="O8" s="692"/>
      <c r="P8" s="693"/>
      <c r="Q8" s="68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</row>
    <row r="9" spans="1:17" ht="45">
      <c r="A9" s="695"/>
      <c r="B9" s="695"/>
      <c r="C9" s="34" t="s">
        <v>264</v>
      </c>
      <c r="D9" s="34" t="s">
        <v>265</v>
      </c>
      <c r="E9" s="34" t="s">
        <v>21</v>
      </c>
      <c r="F9" s="695"/>
      <c r="G9" s="695"/>
      <c r="H9" s="695"/>
      <c r="I9" s="695"/>
      <c r="J9" s="455"/>
      <c r="K9" s="611" t="s">
        <v>378</v>
      </c>
      <c r="L9" s="611" t="s">
        <v>266</v>
      </c>
      <c r="M9" s="611" t="s">
        <v>210</v>
      </c>
      <c r="N9" s="611" t="s">
        <v>211</v>
      </c>
      <c r="O9" s="34" t="s">
        <v>267</v>
      </c>
      <c r="P9" s="34" t="s">
        <v>389</v>
      </c>
      <c r="Q9" s="690"/>
    </row>
    <row r="10" spans="1:17" ht="17.25" customHeight="1">
      <c r="A10" s="34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/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</row>
    <row r="11" spans="1:17" ht="12" customHeight="1">
      <c r="A11" s="612" t="s">
        <v>214</v>
      </c>
      <c r="B11" s="23">
        <v>2577</v>
      </c>
      <c r="C11" s="22">
        <v>773</v>
      </c>
      <c r="D11" s="22">
        <v>314</v>
      </c>
      <c r="E11" s="23">
        <f>SUM(C11:D11)</f>
        <v>1087</v>
      </c>
      <c r="F11" s="23">
        <f>B11-E11</f>
        <v>1490</v>
      </c>
      <c r="G11" s="23"/>
      <c r="H11" s="23">
        <f aca="true" t="shared" si="0" ref="H11:H16">F11+G11</f>
        <v>1490</v>
      </c>
      <c r="I11" s="23">
        <f aca="true" t="shared" si="1" ref="I11:I46">-H11</f>
        <v>-1490</v>
      </c>
      <c r="J11" s="23">
        <f>K11+L11+O11+P11+Q11</f>
        <v>-1490</v>
      </c>
      <c r="K11" s="23"/>
      <c r="L11" s="23">
        <f>M11-N11</f>
        <v>-1490</v>
      </c>
      <c r="M11" s="23">
        <v>10791</v>
      </c>
      <c r="N11" s="23">
        <v>12281</v>
      </c>
      <c r="O11" s="23"/>
      <c r="P11" s="23"/>
      <c r="Q11" s="23"/>
    </row>
    <row r="12" spans="1:17" ht="12" customHeight="1">
      <c r="A12" s="612" t="s">
        <v>215</v>
      </c>
      <c r="B12" s="23">
        <v>157</v>
      </c>
      <c r="C12" s="22">
        <v>42</v>
      </c>
      <c r="D12" s="22">
        <v>93</v>
      </c>
      <c r="E12" s="23">
        <f aca="true" t="shared" si="2" ref="E12:E45">SUM(C12:D12)</f>
        <v>135</v>
      </c>
      <c r="F12" s="23">
        <f aca="true" t="shared" si="3" ref="F12:F45">B12-E12</f>
        <v>22</v>
      </c>
      <c r="G12" s="23">
        <v>3</v>
      </c>
      <c r="H12" s="23">
        <f>F12-G12</f>
        <v>19</v>
      </c>
      <c r="I12" s="23">
        <f t="shared" si="1"/>
        <v>-19</v>
      </c>
      <c r="J12" s="23">
        <f aca="true" t="shared" si="4" ref="J12:J44">K12+L12+O12+P12+Q12</f>
        <v>-19</v>
      </c>
      <c r="K12" s="23"/>
      <c r="L12" s="23">
        <f aca="true" t="shared" si="5" ref="L12:L44">M12-N12</f>
        <v>-19</v>
      </c>
      <c r="M12" s="23">
        <v>98</v>
      </c>
      <c r="N12" s="23">
        <v>117</v>
      </c>
      <c r="O12" s="23"/>
      <c r="P12" s="23"/>
      <c r="Q12" s="23"/>
    </row>
    <row r="13" spans="1:17" ht="12" customHeight="1">
      <c r="A13" s="612" t="s">
        <v>216</v>
      </c>
      <c r="B13" s="23">
        <v>126</v>
      </c>
      <c r="C13" s="22">
        <v>111</v>
      </c>
      <c r="D13" s="22">
        <v>13</v>
      </c>
      <c r="E13" s="23">
        <f t="shared" si="2"/>
        <v>124</v>
      </c>
      <c r="F13" s="23">
        <f t="shared" si="3"/>
        <v>2</v>
      </c>
      <c r="G13" s="23">
        <v>1</v>
      </c>
      <c r="H13" s="23">
        <f>F131-G13</f>
        <v>-1</v>
      </c>
      <c r="I13" s="23">
        <f t="shared" si="1"/>
        <v>1</v>
      </c>
      <c r="J13" s="23">
        <f t="shared" si="4"/>
        <v>-1</v>
      </c>
      <c r="K13" s="23"/>
      <c r="L13" s="23">
        <f t="shared" si="5"/>
        <v>-1</v>
      </c>
      <c r="M13" s="23">
        <v>165</v>
      </c>
      <c r="N13" s="23">
        <v>166</v>
      </c>
      <c r="O13" s="23"/>
      <c r="P13" s="23"/>
      <c r="Q13" s="23"/>
    </row>
    <row r="14" spans="1:17" ht="12" customHeight="1">
      <c r="A14" s="612" t="s">
        <v>217</v>
      </c>
      <c r="B14" s="23">
        <v>313</v>
      </c>
      <c r="C14" s="22">
        <v>86</v>
      </c>
      <c r="D14" s="22">
        <v>135</v>
      </c>
      <c r="E14" s="23">
        <f t="shared" si="2"/>
        <v>221</v>
      </c>
      <c r="F14" s="23">
        <f t="shared" si="3"/>
        <v>92</v>
      </c>
      <c r="G14" s="23"/>
      <c r="H14" s="23">
        <f t="shared" si="0"/>
        <v>92</v>
      </c>
      <c r="I14" s="23">
        <f t="shared" si="1"/>
        <v>-92</v>
      </c>
      <c r="J14" s="23">
        <f t="shared" si="4"/>
        <v>-92</v>
      </c>
      <c r="K14" s="23"/>
      <c r="L14" s="23">
        <f t="shared" si="5"/>
        <v>-92</v>
      </c>
      <c r="M14" s="23">
        <v>74</v>
      </c>
      <c r="N14" s="23">
        <v>166</v>
      </c>
      <c r="O14" s="23"/>
      <c r="P14" s="23"/>
      <c r="Q14" s="23"/>
    </row>
    <row r="15" spans="1:17" ht="12" customHeight="1">
      <c r="A15" s="612" t="s">
        <v>218</v>
      </c>
      <c r="B15" s="23">
        <v>163</v>
      </c>
      <c r="C15" s="22">
        <v>49</v>
      </c>
      <c r="D15" s="22">
        <v>74</v>
      </c>
      <c r="E15" s="23">
        <f t="shared" si="2"/>
        <v>123</v>
      </c>
      <c r="F15" s="23">
        <f t="shared" si="3"/>
        <v>40</v>
      </c>
      <c r="G15" s="23">
        <v>13</v>
      </c>
      <c r="H15" s="23">
        <f>F15-G15</f>
        <v>27</v>
      </c>
      <c r="I15" s="23">
        <f t="shared" si="1"/>
        <v>-27</v>
      </c>
      <c r="J15" s="23">
        <f t="shared" si="4"/>
        <v>-27</v>
      </c>
      <c r="K15" s="23"/>
      <c r="L15" s="23">
        <f t="shared" si="5"/>
        <v>-27</v>
      </c>
      <c r="M15" s="23">
        <v>646</v>
      </c>
      <c r="N15" s="23">
        <v>673</v>
      </c>
      <c r="O15" s="23"/>
      <c r="P15" s="23"/>
      <c r="Q15" s="23"/>
    </row>
    <row r="16" spans="1:17" ht="12" customHeight="1">
      <c r="A16" s="612" t="s">
        <v>219</v>
      </c>
      <c r="B16" s="23">
        <v>72</v>
      </c>
      <c r="C16" s="22">
        <v>36</v>
      </c>
      <c r="D16" s="22">
        <v>1</v>
      </c>
      <c r="E16" s="23">
        <f t="shared" si="2"/>
        <v>37</v>
      </c>
      <c r="F16" s="23">
        <f t="shared" si="3"/>
        <v>35</v>
      </c>
      <c r="G16" s="23"/>
      <c r="H16" s="23">
        <f t="shared" si="0"/>
        <v>35</v>
      </c>
      <c r="I16" s="23">
        <f t="shared" si="1"/>
        <v>-35</v>
      </c>
      <c r="J16" s="23">
        <f t="shared" si="4"/>
        <v>-35</v>
      </c>
      <c r="K16" s="23"/>
      <c r="L16" s="23">
        <f t="shared" si="5"/>
        <v>-35</v>
      </c>
      <c r="M16" s="23">
        <v>73</v>
      </c>
      <c r="N16" s="23">
        <v>108</v>
      </c>
      <c r="O16" s="23"/>
      <c r="P16" s="23"/>
      <c r="Q16" s="23"/>
    </row>
    <row r="17" spans="1:17" ht="12" customHeight="1">
      <c r="A17" s="612" t="s">
        <v>220</v>
      </c>
      <c r="B17" s="23">
        <v>476</v>
      </c>
      <c r="C17" s="22">
        <v>89</v>
      </c>
      <c r="D17" s="22">
        <v>12</v>
      </c>
      <c r="E17" s="23">
        <f t="shared" si="2"/>
        <v>101</v>
      </c>
      <c r="F17" s="23">
        <f t="shared" si="3"/>
        <v>375</v>
      </c>
      <c r="G17" s="23">
        <v>-927</v>
      </c>
      <c r="H17" s="23">
        <f>F17-G17</f>
        <v>1302</v>
      </c>
      <c r="I17" s="23">
        <f t="shared" si="1"/>
        <v>-1302</v>
      </c>
      <c r="J17" s="23">
        <f t="shared" si="4"/>
        <v>-1302</v>
      </c>
      <c r="K17" s="23"/>
      <c r="L17" s="23">
        <f t="shared" si="5"/>
        <v>-1302</v>
      </c>
      <c r="M17" s="23">
        <v>1125</v>
      </c>
      <c r="N17" s="23">
        <v>2427</v>
      </c>
      <c r="O17" s="23"/>
      <c r="P17" s="23"/>
      <c r="Q17" s="23"/>
    </row>
    <row r="18" spans="1:140" s="608" customFormat="1" ht="12" customHeight="1">
      <c r="A18" s="613" t="s">
        <v>221</v>
      </c>
      <c r="B18" s="23">
        <f>SUM(B11:B17)</f>
        <v>3884</v>
      </c>
      <c r="C18" s="23">
        <f>SUM(C11:C17)</f>
        <v>1186</v>
      </c>
      <c r="D18" s="23">
        <f>SUM(D11:D17)</f>
        <v>642</v>
      </c>
      <c r="E18" s="23">
        <f>SUM(E11:E17)</f>
        <v>1828</v>
      </c>
      <c r="F18" s="23">
        <f t="shared" si="3"/>
        <v>2056</v>
      </c>
      <c r="G18" s="23">
        <f>SUM(G11:G17)</f>
        <v>-910</v>
      </c>
      <c r="H18" s="23">
        <f>SUM(H11:H17)</f>
        <v>2964</v>
      </c>
      <c r="I18" s="23">
        <f t="shared" si="1"/>
        <v>-2964</v>
      </c>
      <c r="J18" s="23">
        <f t="shared" si="4"/>
        <v>-2964</v>
      </c>
      <c r="K18" s="23"/>
      <c r="L18" s="23">
        <f>M18-N18+2</f>
        <v>-2964</v>
      </c>
      <c r="M18" s="23">
        <f>SUM(M11:M17)</f>
        <v>12972</v>
      </c>
      <c r="N18" s="23">
        <f>SUM(N11:N17)</f>
        <v>15938</v>
      </c>
      <c r="O18" s="23"/>
      <c r="P18" s="23"/>
      <c r="Q18" s="23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</row>
    <row r="19" spans="1:17" ht="12" customHeight="1">
      <c r="A19" s="612" t="s">
        <v>223</v>
      </c>
      <c r="B19" s="23">
        <v>92</v>
      </c>
      <c r="C19" s="22">
        <v>53</v>
      </c>
      <c r="D19" s="22">
        <v>2</v>
      </c>
      <c r="E19" s="23">
        <f t="shared" si="2"/>
        <v>55</v>
      </c>
      <c r="F19" s="23">
        <f t="shared" si="3"/>
        <v>37</v>
      </c>
      <c r="G19" s="22"/>
      <c r="H19" s="23">
        <f>F19+G19</f>
        <v>37</v>
      </c>
      <c r="I19" s="23">
        <f t="shared" si="1"/>
        <v>-37</v>
      </c>
      <c r="J19" s="23">
        <f t="shared" si="4"/>
        <v>-37</v>
      </c>
      <c r="K19" s="23">
        <v>-2</v>
      </c>
      <c r="L19" s="23">
        <f>M19-N19</f>
        <v>-35</v>
      </c>
      <c r="M19" s="23">
        <v>134</v>
      </c>
      <c r="N19" s="23">
        <v>169</v>
      </c>
      <c r="O19" s="23"/>
      <c r="P19" s="23"/>
      <c r="Q19" s="23"/>
    </row>
    <row r="20" spans="1:17" ht="12" customHeight="1">
      <c r="A20" s="612" t="s">
        <v>224</v>
      </c>
      <c r="B20" s="23">
        <v>66</v>
      </c>
      <c r="C20" s="22">
        <v>57</v>
      </c>
      <c r="D20" s="22">
        <v>1</v>
      </c>
      <c r="E20" s="23">
        <f t="shared" si="2"/>
        <v>58</v>
      </c>
      <c r="F20" s="23">
        <f t="shared" si="3"/>
        <v>8</v>
      </c>
      <c r="G20" s="23">
        <v>-1</v>
      </c>
      <c r="H20" s="23">
        <f>F20-G20</f>
        <v>9</v>
      </c>
      <c r="I20" s="23">
        <f t="shared" si="1"/>
        <v>-9</v>
      </c>
      <c r="J20" s="23">
        <f t="shared" si="4"/>
        <v>-9</v>
      </c>
      <c r="K20" s="23">
        <v>-2</v>
      </c>
      <c r="L20" s="23">
        <f>M20-N20</f>
        <v>-7</v>
      </c>
      <c r="M20" s="23">
        <v>121</v>
      </c>
      <c r="N20" s="23">
        <v>128</v>
      </c>
      <c r="O20" s="23"/>
      <c r="P20" s="23"/>
      <c r="Q20" s="23"/>
    </row>
    <row r="21" spans="1:17" ht="12" customHeight="1">
      <c r="A21" s="612" t="s">
        <v>225</v>
      </c>
      <c r="B21" s="23">
        <v>71</v>
      </c>
      <c r="C21" s="22">
        <v>59</v>
      </c>
      <c r="D21" s="22"/>
      <c r="E21" s="23">
        <f t="shared" si="2"/>
        <v>59</v>
      </c>
      <c r="F21" s="23">
        <f t="shared" si="3"/>
        <v>12</v>
      </c>
      <c r="G21" s="23">
        <v>7</v>
      </c>
      <c r="H21" s="23">
        <f>F21-G21</f>
        <v>5</v>
      </c>
      <c r="I21" s="23">
        <f t="shared" si="1"/>
        <v>-5</v>
      </c>
      <c r="J21" s="23">
        <f t="shared" si="4"/>
        <v>-5</v>
      </c>
      <c r="K21" s="23"/>
      <c r="L21" s="23">
        <f t="shared" si="5"/>
        <v>-5</v>
      </c>
      <c r="M21" s="23">
        <v>86</v>
      </c>
      <c r="N21" s="23">
        <v>91</v>
      </c>
      <c r="O21" s="23"/>
      <c r="P21" s="23"/>
      <c r="Q21" s="23"/>
    </row>
    <row r="22" spans="1:17" ht="12" customHeight="1">
      <c r="A22" s="612" t="s">
        <v>226</v>
      </c>
      <c r="B22" s="23">
        <v>77</v>
      </c>
      <c r="C22" s="22">
        <v>49</v>
      </c>
      <c r="D22" s="22">
        <v>5</v>
      </c>
      <c r="E22" s="23">
        <f t="shared" si="2"/>
        <v>54</v>
      </c>
      <c r="F22" s="23">
        <f t="shared" si="3"/>
        <v>23</v>
      </c>
      <c r="G22" s="23">
        <v>4</v>
      </c>
      <c r="H22" s="23">
        <f>F22-G22</f>
        <v>19</v>
      </c>
      <c r="I22" s="23">
        <f t="shared" si="1"/>
        <v>-19</v>
      </c>
      <c r="J22" s="23">
        <f t="shared" si="4"/>
        <v>-19</v>
      </c>
      <c r="K22" s="23"/>
      <c r="L22" s="23">
        <f t="shared" si="5"/>
        <v>-19</v>
      </c>
      <c r="M22" s="23">
        <v>174</v>
      </c>
      <c r="N22" s="23">
        <v>193</v>
      </c>
      <c r="O22" s="23"/>
      <c r="P22" s="23"/>
      <c r="Q22" s="23"/>
    </row>
    <row r="23" spans="1:17" ht="12" customHeight="1">
      <c r="A23" s="612" t="s">
        <v>227</v>
      </c>
      <c r="B23" s="23">
        <v>171</v>
      </c>
      <c r="C23" s="22">
        <v>135</v>
      </c>
      <c r="D23" s="22">
        <v>19</v>
      </c>
      <c r="E23" s="23">
        <f t="shared" si="2"/>
        <v>154</v>
      </c>
      <c r="F23" s="23">
        <f t="shared" si="3"/>
        <v>17</v>
      </c>
      <c r="G23" s="23">
        <v>-9</v>
      </c>
      <c r="H23" s="23">
        <f>F23-G23</f>
        <v>26</v>
      </c>
      <c r="I23" s="23">
        <f t="shared" si="1"/>
        <v>-26</v>
      </c>
      <c r="J23" s="23">
        <f t="shared" si="4"/>
        <v>-26</v>
      </c>
      <c r="K23" s="23">
        <v>-1</v>
      </c>
      <c r="L23" s="23">
        <f t="shared" si="5"/>
        <v>-25</v>
      </c>
      <c r="M23" s="23">
        <v>144</v>
      </c>
      <c r="N23" s="23">
        <v>169</v>
      </c>
      <c r="O23" s="23"/>
      <c r="P23" s="23"/>
      <c r="Q23" s="23"/>
    </row>
    <row r="24" spans="1:17" ht="12" customHeight="1">
      <c r="A24" s="612" t="s">
        <v>228</v>
      </c>
      <c r="B24" s="23">
        <v>123</v>
      </c>
      <c r="C24" s="22">
        <v>87</v>
      </c>
      <c r="D24" s="22">
        <v>20</v>
      </c>
      <c r="E24" s="23">
        <f t="shared" si="2"/>
        <v>107</v>
      </c>
      <c r="F24" s="23">
        <f t="shared" si="3"/>
        <v>16</v>
      </c>
      <c r="G24" s="23"/>
      <c r="H24" s="23">
        <f>F24+G24</f>
        <v>16</v>
      </c>
      <c r="I24" s="23">
        <f t="shared" si="1"/>
        <v>-16</v>
      </c>
      <c r="J24" s="23">
        <f t="shared" si="4"/>
        <v>-16</v>
      </c>
      <c r="K24" s="23"/>
      <c r="L24" s="23">
        <f t="shared" si="5"/>
        <v>-16</v>
      </c>
      <c r="M24" s="23">
        <v>99</v>
      </c>
      <c r="N24" s="23">
        <v>115</v>
      </c>
      <c r="O24" s="23"/>
      <c r="P24" s="23"/>
      <c r="Q24" s="23"/>
    </row>
    <row r="25" spans="1:17" ht="12" customHeight="1">
      <c r="A25" s="612" t="s">
        <v>229</v>
      </c>
      <c r="B25" s="23">
        <v>69</v>
      </c>
      <c r="C25" s="22">
        <v>39</v>
      </c>
      <c r="D25" s="22">
        <v>40</v>
      </c>
      <c r="E25" s="23">
        <f t="shared" si="2"/>
        <v>79</v>
      </c>
      <c r="F25" s="23">
        <f t="shared" si="3"/>
        <v>-10</v>
      </c>
      <c r="G25" s="23">
        <v>1</v>
      </c>
      <c r="H25" s="23">
        <f>F25-G25</f>
        <v>-11</v>
      </c>
      <c r="I25" s="23">
        <f t="shared" si="1"/>
        <v>11</v>
      </c>
      <c r="J25" s="23">
        <f t="shared" si="4"/>
        <v>11</v>
      </c>
      <c r="K25" s="23"/>
      <c r="L25" s="23">
        <f t="shared" si="5"/>
        <v>11</v>
      </c>
      <c r="M25" s="23">
        <v>227</v>
      </c>
      <c r="N25" s="23">
        <v>216</v>
      </c>
      <c r="O25" s="23"/>
      <c r="P25" s="23"/>
      <c r="Q25" s="23"/>
    </row>
    <row r="26" spans="1:17" ht="12" customHeight="1">
      <c r="A26" s="612" t="s">
        <v>230</v>
      </c>
      <c r="B26" s="23">
        <v>68</v>
      </c>
      <c r="C26" s="22">
        <v>87</v>
      </c>
      <c r="D26" s="22"/>
      <c r="E26" s="23">
        <f t="shared" si="2"/>
        <v>87</v>
      </c>
      <c r="F26" s="23">
        <f t="shared" si="3"/>
        <v>-19</v>
      </c>
      <c r="G26" s="23">
        <v>-2</v>
      </c>
      <c r="H26" s="23">
        <f>F26+G26</f>
        <v>-21</v>
      </c>
      <c r="I26" s="23">
        <f t="shared" si="1"/>
        <v>21</v>
      </c>
      <c r="J26" s="23">
        <f t="shared" si="4"/>
        <v>21</v>
      </c>
      <c r="K26" s="23">
        <v>-1</v>
      </c>
      <c r="L26" s="23">
        <f t="shared" si="5"/>
        <v>22</v>
      </c>
      <c r="M26" s="23">
        <v>134</v>
      </c>
      <c r="N26" s="23">
        <v>112</v>
      </c>
      <c r="O26" s="23"/>
      <c r="P26" s="23"/>
      <c r="Q26" s="23"/>
    </row>
    <row r="27" spans="1:17" ht="12" customHeight="1">
      <c r="A27" s="612" t="s">
        <v>231</v>
      </c>
      <c r="B27" s="23">
        <v>79</v>
      </c>
      <c r="C27" s="22">
        <v>43</v>
      </c>
      <c r="D27" s="22"/>
      <c r="E27" s="23">
        <f t="shared" si="2"/>
        <v>43</v>
      </c>
      <c r="F27" s="23">
        <f t="shared" si="3"/>
        <v>36</v>
      </c>
      <c r="G27" s="23">
        <v>-3</v>
      </c>
      <c r="H27" s="23">
        <f>F27-G27</f>
        <v>39</v>
      </c>
      <c r="I27" s="23">
        <f t="shared" si="1"/>
        <v>-39</v>
      </c>
      <c r="J27" s="23">
        <f t="shared" si="4"/>
        <v>-39</v>
      </c>
      <c r="K27" s="23"/>
      <c r="L27" s="23">
        <f t="shared" si="5"/>
        <v>-39</v>
      </c>
      <c r="M27" s="23">
        <v>114</v>
      </c>
      <c r="N27" s="23">
        <v>153</v>
      </c>
      <c r="O27" s="23"/>
      <c r="P27" s="23"/>
      <c r="Q27" s="23"/>
    </row>
    <row r="28" spans="1:17" ht="12" customHeight="1">
      <c r="A28" s="612" t="s">
        <v>232</v>
      </c>
      <c r="B28" s="23">
        <v>118</v>
      </c>
      <c r="C28" s="22">
        <v>63</v>
      </c>
      <c r="D28" s="22">
        <v>20</v>
      </c>
      <c r="E28" s="23">
        <f t="shared" si="2"/>
        <v>83</v>
      </c>
      <c r="F28" s="23">
        <f t="shared" si="3"/>
        <v>35</v>
      </c>
      <c r="G28" s="23">
        <v>-3</v>
      </c>
      <c r="H28" s="23">
        <f>F28-G28</f>
        <v>38</v>
      </c>
      <c r="I28" s="23">
        <f t="shared" si="1"/>
        <v>-38</v>
      </c>
      <c r="J28" s="23">
        <f t="shared" si="4"/>
        <v>-38</v>
      </c>
      <c r="K28" s="23"/>
      <c r="L28" s="23">
        <f t="shared" si="5"/>
        <v>-38</v>
      </c>
      <c r="M28" s="23">
        <v>112</v>
      </c>
      <c r="N28" s="23">
        <v>150</v>
      </c>
      <c r="O28" s="23"/>
      <c r="P28" s="23"/>
      <c r="Q28" s="23"/>
    </row>
    <row r="29" spans="1:17" ht="12" customHeight="1">
      <c r="A29" s="612" t="s">
        <v>233</v>
      </c>
      <c r="B29" s="23">
        <v>108</v>
      </c>
      <c r="C29" s="22">
        <v>86</v>
      </c>
      <c r="D29" s="22">
        <v>1</v>
      </c>
      <c r="E29" s="23">
        <f t="shared" si="2"/>
        <v>87</v>
      </c>
      <c r="F29" s="23">
        <f t="shared" si="3"/>
        <v>21</v>
      </c>
      <c r="G29" s="23"/>
      <c r="H29" s="23">
        <f>F29+G29</f>
        <v>21</v>
      </c>
      <c r="I29" s="23">
        <f t="shared" si="1"/>
        <v>-21</v>
      </c>
      <c r="J29" s="23">
        <f t="shared" si="4"/>
        <v>-21</v>
      </c>
      <c r="K29" s="23"/>
      <c r="L29" s="23">
        <f t="shared" si="5"/>
        <v>-21</v>
      </c>
      <c r="M29" s="23">
        <v>133</v>
      </c>
      <c r="N29" s="23">
        <v>154</v>
      </c>
      <c r="O29" s="23"/>
      <c r="P29" s="23"/>
      <c r="Q29" s="23"/>
    </row>
    <row r="30" spans="1:17" ht="12" customHeight="1">
      <c r="A30" s="612" t="s">
        <v>234</v>
      </c>
      <c r="B30" s="23">
        <v>117</v>
      </c>
      <c r="C30" s="22">
        <v>85</v>
      </c>
      <c r="D30" s="22">
        <v>15</v>
      </c>
      <c r="E30" s="23">
        <f t="shared" si="2"/>
        <v>100</v>
      </c>
      <c r="F30" s="23">
        <f t="shared" si="3"/>
        <v>17</v>
      </c>
      <c r="G30" s="23">
        <v>5</v>
      </c>
      <c r="H30" s="23">
        <f>F30-G30</f>
        <v>12</v>
      </c>
      <c r="I30" s="23">
        <f t="shared" si="1"/>
        <v>-12</v>
      </c>
      <c r="J30" s="23">
        <f t="shared" si="4"/>
        <v>-12</v>
      </c>
      <c r="K30" s="23">
        <v>-22</v>
      </c>
      <c r="L30" s="23">
        <f t="shared" si="5"/>
        <v>10</v>
      </c>
      <c r="M30" s="23">
        <v>288</v>
      </c>
      <c r="N30" s="23">
        <v>278</v>
      </c>
      <c r="O30" s="23"/>
      <c r="P30" s="23"/>
      <c r="Q30" s="23"/>
    </row>
    <row r="31" spans="1:17" ht="12" customHeight="1">
      <c r="A31" s="612" t="s">
        <v>235</v>
      </c>
      <c r="B31" s="23">
        <v>137</v>
      </c>
      <c r="C31" s="22">
        <v>104</v>
      </c>
      <c r="D31" s="22">
        <v>4</v>
      </c>
      <c r="E31" s="23">
        <f t="shared" si="2"/>
        <v>108</v>
      </c>
      <c r="F31" s="23">
        <f t="shared" si="3"/>
        <v>29</v>
      </c>
      <c r="G31" s="23">
        <v>12</v>
      </c>
      <c r="H31" s="23">
        <f>F31-G31</f>
        <v>17</v>
      </c>
      <c r="I31" s="23">
        <f t="shared" si="1"/>
        <v>-17</v>
      </c>
      <c r="J31" s="23">
        <f t="shared" si="4"/>
        <v>-17</v>
      </c>
      <c r="K31" s="23">
        <v>1</v>
      </c>
      <c r="L31" s="23">
        <f t="shared" si="5"/>
        <v>-18</v>
      </c>
      <c r="M31" s="23">
        <v>228</v>
      </c>
      <c r="N31" s="23">
        <v>246</v>
      </c>
      <c r="O31" s="23"/>
      <c r="P31" s="23"/>
      <c r="Q31" s="23"/>
    </row>
    <row r="32" spans="1:17" ht="12" customHeight="1">
      <c r="A32" s="612" t="s">
        <v>236</v>
      </c>
      <c r="B32" s="23">
        <v>128</v>
      </c>
      <c r="C32" s="22">
        <v>64</v>
      </c>
      <c r="D32" s="22">
        <v>11</v>
      </c>
      <c r="E32" s="23">
        <f t="shared" si="2"/>
        <v>75</v>
      </c>
      <c r="F32" s="23">
        <f t="shared" si="3"/>
        <v>53</v>
      </c>
      <c r="G32" s="23">
        <v>5</v>
      </c>
      <c r="H32" s="23">
        <f>F32-G32</f>
        <v>48</v>
      </c>
      <c r="I32" s="23">
        <f t="shared" si="1"/>
        <v>-48</v>
      </c>
      <c r="J32" s="23">
        <f t="shared" si="4"/>
        <v>-48</v>
      </c>
      <c r="K32" s="23"/>
      <c r="L32" s="23">
        <f t="shared" si="5"/>
        <v>-48</v>
      </c>
      <c r="M32" s="23">
        <v>148</v>
      </c>
      <c r="N32" s="23">
        <v>196</v>
      </c>
      <c r="O32" s="23"/>
      <c r="P32" s="23"/>
      <c r="Q32" s="23"/>
    </row>
    <row r="33" spans="1:17" ht="12" customHeight="1">
      <c r="A33" s="612" t="s">
        <v>237</v>
      </c>
      <c r="B33" s="23">
        <v>91</v>
      </c>
      <c r="C33" s="22">
        <v>60</v>
      </c>
      <c r="D33" s="22">
        <v>3</v>
      </c>
      <c r="E33" s="23">
        <f t="shared" si="2"/>
        <v>63</v>
      </c>
      <c r="F33" s="23">
        <f t="shared" si="3"/>
        <v>28</v>
      </c>
      <c r="G33" s="23">
        <v>3</v>
      </c>
      <c r="H33" s="23">
        <f>F33-G33</f>
        <v>25</v>
      </c>
      <c r="I33" s="23">
        <f t="shared" si="1"/>
        <v>-25</v>
      </c>
      <c r="J33" s="23">
        <f t="shared" si="4"/>
        <v>-25</v>
      </c>
      <c r="K33" s="23"/>
      <c r="L33" s="23">
        <f t="shared" si="5"/>
        <v>-25</v>
      </c>
      <c r="M33" s="23">
        <v>134</v>
      </c>
      <c r="N33" s="23">
        <v>159</v>
      </c>
      <c r="O33" s="23"/>
      <c r="P33" s="23"/>
      <c r="Q33" s="23"/>
    </row>
    <row r="34" spans="1:17" ht="12" customHeight="1">
      <c r="A34" s="612" t="s">
        <v>238</v>
      </c>
      <c r="B34" s="23">
        <v>124</v>
      </c>
      <c r="C34" s="22">
        <v>90</v>
      </c>
      <c r="D34" s="22">
        <v>2</v>
      </c>
      <c r="E34" s="23">
        <f t="shared" si="2"/>
        <v>92</v>
      </c>
      <c r="F34" s="23">
        <f t="shared" si="3"/>
        <v>32</v>
      </c>
      <c r="G34" s="23"/>
      <c r="H34" s="23">
        <f>F34+G34</f>
        <v>32</v>
      </c>
      <c r="I34" s="23">
        <f t="shared" si="1"/>
        <v>-32</v>
      </c>
      <c r="J34" s="23">
        <f t="shared" si="4"/>
        <v>-32</v>
      </c>
      <c r="K34" s="23"/>
      <c r="L34" s="23">
        <f t="shared" si="5"/>
        <v>-32</v>
      </c>
      <c r="M34" s="23">
        <v>131</v>
      </c>
      <c r="N34" s="23">
        <v>163</v>
      </c>
      <c r="O34" s="23"/>
      <c r="P34" s="23"/>
      <c r="Q34" s="23"/>
    </row>
    <row r="35" spans="1:17" ht="12" customHeight="1">
      <c r="A35" s="612" t="s">
        <v>239</v>
      </c>
      <c r="B35" s="23">
        <v>118</v>
      </c>
      <c r="C35" s="22">
        <v>92</v>
      </c>
      <c r="D35" s="22">
        <v>10</v>
      </c>
      <c r="E35" s="23">
        <f t="shared" si="2"/>
        <v>102</v>
      </c>
      <c r="F35" s="23">
        <f t="shared" si="3"/>
        <v>16</v>
      </c>
      <c r="G35" s="23"/>
      <c r="H35" s="23">
        <f>F35+G35</f>
        <v>16</v>
      </c>
      <c r="I35" s="23">
        <f t="shared" si="1"/>
        <v>-16</v>
      </c>
      <c r="J35" s="23">
        <f t="shared" si="4"/>
        <v>-16</v>
      </c>
      <c r="K35" s="23"/>
      <c r="L35" s="23">
        <f t="shared" si="5"/>
        <v>-16</v>
      </c>
      <c r="M35" s="23">
        <v>219</v>
      </c>
      <c r="N35" s="23">
        <v>235</v>
      </c>
      <c r="O35" s="23"/>
      <c r="P35" s="23"/>
      <c r="Q35" s="23"/>
    </row>
    <row r="36" spans="1:17" ht="12" customHeight="1">
      <c r="A36" s="612" t="s">
        <v>240</v>
      </c>
      <c r="B36" s="23">
        <v>189</v>
      </c>
      <c r="C36" s="22">
        <v>151</v>
      </c>
      <c r="D36" s="22">
        <v>27</v>
      </c>
      <c r="E36" s="23">
        <f t="shared" si="2"/>
        <v>178</v>
      </c>
      <c r="F36" s="23">
        <f t="shared" si="3"/>
        <v>11</v>
      </c>
      <c r="G36" s="23"/>
      <c r="H36" s="23">
        <f>F36+G36</f>
        <v>11</v>
      </c>
      <c r="I36" s="23">
        <f t="shared" si="1"/>
        <v>-11</v>
      </c>
      <c r="J36" s="23">
        <f t="shared" si="4"/>
        <v>-11</v>
      </c>
      <c r="K36" s="23">
        <v>-2</v>
      </c>
      <c r="L36" s="23">
        <f t="shared" si="5"/>
        <v>-9</v>
      </c>
      <c r="M36" s="23">
        <v>191</v>
      </c>
      <c r="N36" s="23">
        <v>200</v>
      </c>
      <c r="O36" s="23"/>
      <c r="P36" s="23"/>
      <c r="Q36" s="23"/>
    </row>
    <row r="37" spans="1:17" ht="12" customHeight="1">
      <c r="A37" s="612" t="s">
        <v>241</v>
      </c>
      <c r="B37" s="23">
        <v>87</v>
      </c>
      <c r="C37" s="22">
        <v>66</v>
      </c>
      <c r="D37" s="22">
        <v>9</v>
      </c>
      <c r="E37" s="23">
        <f t="shared" si="2"/>
        <v>75</v>
      </c>
      <c r="F37" s="23">
        <f t="shared" si="3"/>
        <v>12</v>
      </c>
      <c r="G37" s="23"/>
      <c r="H37" s="23">
        <f>F37+G37</f>
        <v>12</v>
      </c>
      <c r="I37" s="23">
        <f t="shared" si="1"/>
        <v>-12</v>
      </c>
      <c r="J37" s="23">
        <f t="shared" si="4"/>
        <v>-12</v>
      </c>
      <c r="K37" s="23"/>
      <c r="L37" s="23">
        <f t="shared" si="5"/>
        <v>-12</v>
      </c>
      <c r="M37" s="23">
        <v>128</v>
      </c>
      <c r="N37" s="23">
        <v>140</v>
      </c>
      <c r="O37" s="23"/>
      <c r="P37" s="23"/>
      <c r="Q37" s="23"/>
    </row>
    <row r="38" spans="1:17" ht="12" customHeight="1">
      <c r="A38" s="612" t="s">
        <v>242</v>
      </c>
      <c r="B38" s="23">
        <v>279</v>
      </c>
      <c r="C38" s="22">
        <v>172</v>
      </c>
      <c r="D38" s="22">
        <v>13</v>
      </c>
      <c r="E38" s="23">
        <f t="shared" si="2"/>
        <v>185</v>
      </c>
      <c r="F38" s="23">
        <f t="shared" si="3"/>
        <v>94</v>
      </c>
      <c r="G38" s="23"/>
      <c r="H38" s="23">
        <f>F38+G38</f>
        <v>94</v>
      </c>
      <c r="I38" s="23">
        <f t="shared" si="1"/>
        <v>-94</v>
      </c>
      <c r="J38" s="23">
        <f t="shared" si="4"/>
        <v>-94</v>
      </c>
      <c r="K38" s="23"/>
      <c r="L38" s="23">
        <f t="shared" si="5"/>
        <v>-94</v>
      </c>
      <c r="M38" s="23">
        <v>368</v>
      </c>
      <c r="N38" s="23">
        <v>462</v>
      </c>
      <c r="O38" s="23"/>
      <c r="P38" s="23"/>
      <c r="Q38" s="23"/>
    </row>
    <row r="39" spans="1:17" ht="12" customHeight="1">
      <c r="A39" s="612" t="s">
        <v>243</v>
      </c>
      <c r="B39" s="23">
        <v>66</v>
      </c>
      <c r="C39" s="22">
        <v>46</v>
      </c>
      <c r="D39" s="22">
        <v>7</v>
      </c>
      <c r="E39" s="23">
        <f t="shared" si="2"/>
        <v>53</v>
      </c>
      <c r="F39" s="23">
        <f t="shared" si="3"/>
        <v>13</v>
      </c>
      <c r="G39" s="23">
        <v>9</v>
      </c>
      <c r="H39" s="23">
        <f aca="true" t="shared" si="6" ref="H39:H44">F39-G39</f>
        <v>4</v>
      </c>
      <c r="I39" s="23">
        <f t="shared" si="1"/>
        <v>-4</v>
      </c>
      <c r="J39" s="23">
        <f>K39+L39+O39+P39+Q39</f>
        <v>-4</v>
      </c>
      <c r="K39" s="23"/>
      <c r="L39" s="23">
        <f t="shared" si="5"/>
        <v>-4</v>
      </c>
      <c r="M39" s="23">
        <v>155</v>
      </c>
      <c r="N39" s="23">
        <v>159</v>
      </c>
      <c r="O39" s="23"/>
      <c r="P39" s="23"/>
      <c r="Q39" s="23"/>
    </row>
    <row r="40" spans="1:17" ht="12" customHeight="1">
      <c r="A40" s="612" t="s">
        <v>244</v>
      </c>
      <c r="B40" s="23">
        <v>92</v>
      </c>
      <c r="C40" s="22">
        <v>59</v>
      </c>
      <c r="D40" s="22">
        <v>1</v>
      </c>
      <c r="E40" s="23">
        <f t="shared" si="2"/>
        <v>60</v>
      </c>
      <c r="F40" s="23">
        <f t="shared" si="3"/>
        <v>32</v>
      </c>
      <c r="G40" s="23">
        <v>13</v>
      </c>
      <c r="H40" s="23">
        <f t="shared" si="6"/>
        <v>19</v>
      </c>
      <c r="I40" s="23">
        <f t="shared" si="1"/>
        <v>-19</v>
      </c>
      <c r="J40" s="23">
        <f t="shared" si="4"/>
        <v>-19</v>
      </c>
      <c r="K40" s="23"/>
      <c r="L40" s="23">
        <f t="shared" si="5"/>
        <v>-19</v>
      </c>
      <c r="M40" s="23">
        <v>350</v>
      </c>
      <c r="N40" s="23">
        <v>369</v>
      </c>
      <c r="O40" s="23"/>
      <c r="P40" s="23"/>
      <c r="Q40" s="23"/>
    </row>
    <row r="41" spans="1:17" ht="12" customHeight="1">
      <c r="A41" s="612" t="s">
        <v>245</v>
      </c>
      <c r="B41" s="23">
        <v>120</v>
      </c>
      <c r="C41" s="22">
        <v>125</v>
      </c>
      <c r="D41" s="22">
        <v>6</v>
      </c>
      <c r="E41" s="23">
        <f t="shared" si="2"/>
        <v>131</v>
      </c>
      <c r="F41" s="23">
        <f t="shared" si="3"/>
        <v>-11</v>
      </c>
      <c r="G41" s="23"/>
      <c r="H41" s="23">
        <f t="shared" si="6"/>
        <v>-11</v>
      </c>
      <c r="I41" s="23">
        <f t="shared" si="1"/>
        <v>11</v>
      </c>
      <c r="J41" s="23">
        <f t="shared" si="4"/>
        <v>11</v>
      </c>
      <c r="K41" s="23"/>
      <c r="L41" s="23">
        <f t="shared" si="5"/>
        <v>6</v>
      </c>
      <c r="M41" s="23">
        <v>449</v>
      </c>
      <c r="N41" s="23">
        <v>443</v>
      </c>
      <c r="O41" s="23"/>
      <c r="P41" s="23">
        <v>5</v>
      </c>
      <c r="Q41" s="23"/>
    </row>
    <row r="42" spans="1:17" ht="12" customHeight="1">
      <c r="A42" s="612" t="s">
        <v>246</v>
      </c>
      <c r="B42" s="23">
        <v>69</v>
      </c>
      <c r="C42" s="22">
        <v>26</v>
      </c>
      <c r="D42" s="22">
        <v>3</v>
      </c>
      <c r="E42" s="23">
        <f t="shared" si="2"/>
        <v>29</v>
      </c>
      <c r="F42" s="23">
        <f t="shared" si="3"/>
        <v>40</v>
      </c>
      <c r="G42" s="23">
        <v>-8</v>
      </c>
      <c r="H42" s="23">
        <f t="shared" si="6"/>
        <v>48</v>
      </c>
      <c r="I42" s="23">
        <f t="shared" si="1"/>
        <v>-48</v>
      </c>
      <c r="J42" s="23">
        <f t="shared" si="4"/>
        <v>-48</v>
      </c>
      <c r="K42" s="23"/>
      <c r="L42" s="23">
        <f t="shared" si="5"/>
        <v>-48</v>
      </c>
      <c r="M42" s="23">
        <v>82</v>
      </c>
      <c r="N42" s="23">
        <v>130</v>
      </c>
      <c r="O42" s="23"/>
      <c r="P42" s="23"/>
      <c r="Q42" s="23"/>
    </row>
    <row r="43" spans="1:17" ht="12" customHeight="1">
      <c r="A43" s="612" t="s">
        <v>247</v>
      </c>
      <c r="B43" s="23">
        <v>110</v>
      </c>
      <c r="C43" s="22">
        <v>24</v>
      </c>
      <c r="D43" s="22">
        <v>2</v>
      </c>
      <c r="E43" s="23">
        <f t="shared" si="2"/>
        <v>26</v>
      </c>
      <c r="F43" s="23">
        <f t="shared" si="3"/>
        <v>84</v>
      </c>
      <c r="G43" s="23">
        <v>-3</v>
      </c>
      <c r="H43" s="23">
        <f t="shared" si="6"/>
        <v>87</v>
      </c>
      <c r="I43" s="23">
        <f t="shared" si="1"/>
        <v>-87</v>
      </c>
      <c r="J43" s="23">
        <f t="shared" si="4"/>
        <v>-87</v>
      </c>
      <c r="K43" s="23"/>
      <c r="L43" s="23">
        <f t="shared" si="5"/>
        <v>-87</v>
      </c>
      <c r="M43" s="23">
        <v>242</v>
      </c>
      <c r="N43" s="23">
        <v>329</v>
      </c>
      <c r="O43" s="23"/>
      <c r="P43" s="23"/>
      <c r="Q43" s="23"/>
    </row>
    <row r="44" spans="1:17" ht="12" customHeight="1">
      <c r="A44" s="612" t="s">
        <v>248</v>
      </c>
      <c r="B44" s="23">
        <v>59</v>
      </c>
      <c r="C44" s="22">
        <v>39</v>
      </c>
      <c r="D44" s="22">
        <v>1</v>
      </c>
      <c r="E44" s="23">
        <f t="shared" si="2"/>
        <v>40</v>
      </c>
      <c r="F44" s="23">
        <f t="shared" si="3"/>
        <v>19</v>
      </c>
      <c r="G44" s="23">
        <v>4</v>
      </c>
      <c r="H44" s="23">
        <f t="shared" si="6"/>
        <v>15</v>
      </c>
      <c r="I44" s="23">
        <f t="shared" si="1"/>
        <v>-15</v>
      </c>
      <c r="J44" s="23">
        <f t="shared" si="4"/>
        <v>-15</v>
      </c>
      <c r="K44" s="23"/>
      <c r="L44" s="23">
        <f t="shared" si="5"/>
        <v>-15</v>
      </c>
      <c r="M44" s="23">
        <v>151</v>
      </c>
      <c r="N44" s="23">
        <v>166</v>
      </c>
      <c r="O44" s="23"/>
      <c r="P44" s="23"/>
      <c r="Q44" s="23"/>
    </row>
    <row r="45" spans="1:17" ht="12" customHeight="1">
      <c r="A45" s="613" t="s">
        <v>249</v>
      </c>
      <c r="B45" s="23">
        <f>SUM(B19:B44)</f>
        <v>2828</v>
      </c>
      <c r="C45" s="23">
        <f>SUM(C19:C44)</f>
        <v>1961</v>
      </c>
      <c r="D45" s="23">
        <f>SUM(D19:D44)</f>
        <v>222</v>
      </c>
      <c r="E45" s="23">
        <f t="shared" si="2"/>
        <v>2183</v>
      </c>
      <c r="F45" s="23">
        <f t="shared" si="3"/>
        <v>645</v>
      </c>
      <c r="G45" s="23">
        <f>SUM(G19:G44)</f>
        <v>34</v>
      </c>
      <c r="H45" s="23">
        <f>SUM(H19:H44)</f>
        <v>607</v>
      </c>
      <c r="I45" s="23">
        <f t="shared" si="1"/>
        <v>-607</v>
      </c>
      <c r="J45" s="23">
        <f>SUM(J19:J44)</f>
        <v>-607</v>
      </c>
      <c r="K45" s="23">
        <f>SUM(K19:K44)</f>
        <v>-29</v>
      </c>
      <c r="L45" s="23">
        <f>SUM(L19:L44)</f>
        <v>-583</v>
      </c>
      <c r="M45" s="23">
        <f>SUM(M19:M44)</f>
        <v>4742</v>
      </c>
      <c r="N45" s="23">
        <f>SUM(N19:N44)</f>
        <v>5325</v>
      </c>
      <c r="O45" s="23"/>
      <c r="P45" s="23">
        <f>SUM(P19:P44)</f>
        <v>5</v>
      </c>
      <c r="Q45" s="23"/>
    </row>
    <row r="46" spans="1:17" ht="12" customHeight="1">
      <c r="A46" s="613" t="s">
        <v>250</v>
      </c>
      <c r="B46" s="23">
        <f aca="true" t="shared" si="7" ref="B46:G46">SUM(B18,B45)</f>
        <v>6712</v>
      </c>
      <c r="C46" s="23">
        <f t="shared" si="7"/>
        <v>3147</v>
      </c>
      <c r="D46" s="23">
        <f t="shared" si="7"/>
        <v>864</v>
      </c>
      <c r="E46" s="23">
        <f t="shared" si="7"/>
        <v>4011</v>
      </c>
      <c r="F46" s="23">
        <f t="shared" si="7"/>
        <v>2701</v>
      </c>
      <c r="G46" s="23">
        <f t="shared" si="7"/>
        <v>-876</v>
      </c>
      <c r="H46" s="23">
        <f>F46-G46</f>
        <v>3577</v>
      </c>
      <c r="I46" s="23">
        <f t="shared" si="1"/>
        <v>-3577</v>
      </c>
      <c r="J46" s="23">
        <f>SUM(J18,J45)</f>
        <v>-3571</v>
      </c>
      <c r="K46" s="23">
        <f>SUM(K18,K45)</f>
        <v>-29</v>
      </c>
      <c r="L46" s="23">
        <f>M46-N46</f>
        <v>-3550</v>
      </c>
      <c r="M46" s="23">
        <f>SUM(M18,M45)</f>
        <v>17714</v>
      </c>
      <c r="N46" s="23">
        <f>SUM(N18,N45)+1</f>
        <v>21264</v>
      </c>
      <c r="O46" s="23"/>
      <c r="P46" s="23">
        <f>SUM(P18,P45)</f>
        <v>5</v>
      </c>
      <c r="Q46" s="23"/>
    </row>
    <row r="47" spans="1:17" ht="17.25" customHeight="1">
      <c r="A47" s="614"/>
      <c r="B47" s="615"/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</row>
    <row r="48" spans="1:140" s="492" customFormat="1" ht="17.25" customHeight="1">
      <c r="A48" s="59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50" spans="1:11" ht="17.25" customHeight="1">
      <c r="A50" s="64" t="s">
        <v>625</v>
      </c>
      <c r="B50" s="29"/>
      <c r="C50" s="29"/>
      <c r="E50" s="616"/>
      <c r="G50" s="492"/>
      <c r="I50" s="492"/>
      <c r="J50" s="492"/>
      <c r="K50" s="4" t="s">
        <v>348</v>
      </c>
    </row>
    <row r="53" spans="1:140" s="492" customFormat="1" ht="17.25" customHeight="1">
      <c r="A53" s="61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s="492" customFormat="1" ht="17.25" customHeight="1">
      <c r="A54" s="509"/>
      <c r="B54" s="618"/>
      <c r="C54" s="24"/>
      <c r="D54" s="24"/>
      <c r="E54" s="24"/>
      <c r="F54" s="24"/>
      <c r="G54" s="618"/>
      <c r="H54" s="618"/>
      <c r="I54" s="618"/>
      <c r="J54" s="618"/>
      <c r="K54" s="618"/>
      <c r="L54" s="24"/>
      <c r="M54" s="619"/>
      <c r="N54" s="618"/>
      <c r="O54" s="618"/>
      <c r="P54" s="618"/>
      <c r="Q54" s="61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s="492" customFormat="1" ht="17.25" customHeight="1">
      <c r="A55" s="521"/>
      <c r="B55" s="600"/>
      <c r="C55" s="24"/>
      <c r="D55" s="24"/>
      <c r="E55" s="24"/>
      <c r="F55" s="24"/>
      <c r="G55" s="619"/>
      <c r="H55" s="619"/>
      <c r="I55" s="24"/>
      <c r="J55" s="24"/>
      <c r="K55" s="619"/>
      <c r="L55" s="619"/>
      <c r="M55" s="2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s="492" customFormat="1" ht="17.25" customHeight="1">
      <c r="A56" s="597"/>
      <c r="B56" s="600"/>
      <c r="C56" s="24"/>
      <c r="D56" s="24"/>
      <c r="E56" s="24"/>
      <c r="F56" s="24"/>
      <c r="L56" s="618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s="492" customFormat="1" ht="17.25" customHeight="1">
      <c r="A57" s="509"/>
      <c r="B57" s="618"/>
      <c r="C57" s="24"/>
      <c r="D57" s="24"/>
      <c r="E57" s="24"/>
      <c r="F57" s="24"/>
      <c r="G57" s="618"/>
      <c r="H57" s="618"/>
      <c r="I57" s="618"/>
      <c r="J57" s="618"/>
      <c r="K57" s="618"/>
      <c r="L57" s="24"/>
      <c r="M57" s="619"/>
      <c r="N57" s="618"/>
      <c r="O57" s="618"/>
      <c r="P57" s="618"/>
      <c r="Q57" s="618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8:140" s="492" customFormat="1" ht="17.25" customHeight="1"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s="492" customFormat="1" ht="17.25" customHeight="1">
      <c r="A59" s="603"/>
      <c r="B59" s="24"/>
      <c r="C59" s="24"/>
      <c r="D59" s="24"/>
      <c r="E59" s="24"/>
      <c r="F59" s="24"/>
      <c r="G59" s="24"/>
      <c r="H59" s="24"/>
      <c r="I59" s="24"/>
      <c r="J59" s="24"/>
      <c r="K59" s="24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4" ht="17.25" customHeight="1">
      <c r="A60" s="699" t="s">
        <v>643</v>
      </c>
      <c r="B60" s="699"/>
      <c r="C60" s="699"/>
      <c r="D60" s="699"/>
    </row>
    <row r="61" ht="17.25" customHeight="1">
      <c r="A61" s="299" t="s">
        <v>399</v>
      </c>
    </row>
    <row r="67" spans="1:140" s="299" customFormat="1" ht="17.25" customHeight="1">
      <c r="A67" s="509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</row>
  </sheetData>
  <mergeCells count="10">
    <mergeCell ref="A60:D60"/>
    <mergeCell ref="G7:G9"/>
    <mergeCell ref="H7:H9"/>
    <mergeCell ref="I7:I9"/>
    <mergeCell ref="Q7:Q9"/>
    <mergeCell ref="K8:P8"/>
    <mergeCell ref="A7:A9"/>
    <mergeCell ref="B7:B9"/>
    <mergeCell ref="C7:E8"/>
    <mergeCell ref="F7:F9"/>
  </mergeCells>
  <printOptions/>
  <pageMargins left="0.25" right="0.17" top="1" bottom="0.46" header="0.5" footer="0.29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F12" sqref="F12"/>
    </sheetView>
  </sheetViews>
  <sheetFormatPr defaultColWidth="9.140625" defaultRowHeight="17.25" customHeight="1"/>
  <cols>
    <col min="1" max="1" width="18.421875" style="512" customWidth="1"/>
    <col min="2" max="2" width="7.00390625" style="488" customWidth="1"/>
    <col min="3" max="3" width="9.140625" style="488" customWidth="1"/>
    <col min="4" max="4" width="6.7109375" style="488" customWidth="1"/>
    <col min="5" max="5" width="4.7109375" style="488" customWidth="1"/>
    <col min="6" max="6" width="13.57421875" style="488" customWidth="1"/>
    <col min="7" max="7" width="7.8515625" style="488" customWidth="1"/>
    <col min="8" max="8" width="10.421875" style="488" customWidth="1"/>
    <col min="9" max="9" width="6.28125" style="488" customWidth="1"/>
    <col min="10" max="10" width="10.57421875" style="488" customWidth="1"/>
    <col min="11" max="11" width="7.57421875" style="488" customWidth="1"/>
    <col min="12" max="13" width="7.28125" style="488" customWidth="1"/>
    <col min="14" max="14" width="8.00390625" style="488" customWidth="1"/>
    <col min="15" max="15" width="9.7109375" style="488" customWidth="1"/>
    <col min="16" max="16" width="8.57421875" style="488" customWidth="1"/>
    <col min="17" max="16384" width="9.140625" style="488" customWidth="1"/>
  </cols>
  <sheetData>
    <row r="1" spans="2:15" s="24" customFormat="1" ht="17.25" customHeight="1">
      <c r="B1" s="72"/>
      <c r="C1" s="72"/>
      <c r="D1" s="72"/>
      <c r="E1" s="72"/>
      <c r="F1" s="72"/>
      <c r="G1" s="72"/>
      <c r="H1" s="72"/>
      <c r="I1" s="72"/>
      <c r="J1" s="72"/>
      <c r="K1" s="107"/>
      <c r="O1" s="167" t="s">
        <v>268</v>
      </c>
    </row>
    <row r="2" spans="1:16" s="24" customFormat="1" ht="17.25" customHeight="1">
      <c r="A2" s="654" t="s">
        <v>255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</row>
    <row r="3" spans="1:12" s="1" customFormat="1" ht="17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167"/>
    </row>
    <row r="4" spans="1:16" s="573" customFormat="1" ht="17.25" customHeight="1">
      <c r="A4" s="623" t="s">
        <v>269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</row>
    <row r="5" spans="1:16" s="573" customFormat="1" ht="17.25" customHeight="1">
      <c r="A5" s="673" t="s">
        <v>527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</row>
    <row r="6" spans="1:16" ht="17.25" customHeight="1">
      <c r="A6" s="620"/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 t="s">
        <v>780</v>
      </c>
    </row>
    <row r="7" spans="1:16" s="24" customFormat="1" ht="17.25" customHeight="1">
      <c r="A7" s="688" t="s">
        <v>257</v>
      </c>
      <c r="B7" s="688" t="s">
        <v>602</v>
      </c>
      <c r="C7" s="702" t="s">
        <v>203</v>
      </c>
      <c r="D7" s="703"/>
      <c r="E7" s="703"/>
      <c r="F7" s="688" t="s">
        <v>258</v>
      </c>
      <c r="G7" s="688" t="s">
        <v>270</v>
      </c>
      <c r="H7" s="688" t="s">
        <v>260</v>
      </c>
      <c r="I7" s="688" t="s">
        <v>271</v>
      </c>
      <c r="J7" s="621" t="s">
        <v>262</v>
      </c>
      <c r="K7" s="583"/>
      <c r="L7" s="583"/>
      <c r="M7" s="622"/>
      <c r="N7" s="583"/>
      <c r="O7" s="583"/>
      <c r="P7" s="688" t="s">
        <v>263</v>
      </c>
    </row>
    <row r="8" spans="1:16" s="1" customFormat="1" ht="17.25" customHeight="1">
      <c r="A8" s="700"/>
      <c r="B8" s="700"/>
      <c r="C8" s="703"/>
      <c r="D8" s="703"/>
      <c r="E8" s="703"/>
      <c r="F8" s="700"/>
      <c r="G8" s="700"/>
      <c r="H8" s="700"/>
      <c r="I8" s="700"/>
      <c r="J8" s="691" t="s">
        <v>207</v>
      </c>
      <c r="K8" s="692"/>
      <c r="L8" s="692"/>
      <c r="M8" s="692"/>
      <c r="N8" s="692"/>
      <c r="O8" s="693"/>
      <c r="P8" s="704"/>
    </row>
    <row r="9" spans="1:16" s="541" customFormat="1" ht="45">
      <c r="A9" s="701"/>
      <c r="B9" s="701"/>
      <c r="C9" s="34" t="s">
        <v>272</v>
      </c>
      <c r="D9" s="34" t="s">
        <v>265</v>
      </c>
      <c r="E9" s="34" t="s">
        <v>21</v>
      </c>
      <c r="F9" s="701"/>
      <c r="G9" s="701"/>
      <c r="H9" s="701"/>
      <c r="I9" s="701"/>
      <c r="J9" s="611" t="s">
        <v>378</v>
      </c>
      <c r="K9" s="611" t="s">
        <v>266</v>
      </c>
      <c r="L9" s="611" t="s">
        <v>210</v>
      </c>
      <c r="M9" s="611" t="s">
        <v>211</v>
      </c>
      <c r="N9" s="34" t="s">
        <v>273</v>
      </c>
      <c r="O9" s="34" t="s">
        <v>389</v>
      </c>
      <c r="P9" s="705"/>
    </row>
    <row r="10" spans="1:16" ht="12" customHeight="1">
      <c r="A10" s="34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</row>
    <row r="11" spans="1:16" s="24" customFormat="1" ht="12" customHeight="1">
      <c r="A11" s="612" t="s">
        <v>214</v>
      </c>
      <c r="B11" s="348">
        <v>87</v>
      </c>
      <c r="C11" s="348">
        <v>87</v>
      </c>
      <c r="D11" s="348"/>
      <c r="E11" s="348">
        <f>C11+D11</f>
        <v>87</v>
      </c>
      <c r="F11" s="348">
        <f>B11-E11</f>
        <v>0</v>
      </c>
      <c r="G11" s="348"/>
      <c r="H11" s="348">
        <f>F11-G11</f>
        <v>0</v>
      </c>
      <c r="I11" s="348">
        <f>J11+K11+N11+O11</f>
        <v>0</v>
      </c>
      <c r="J11" s="348"/>
      <c r="K11" s="348">
        <f>L11-M11</f>
        <v>0</v>
      </c>
      <c r="L11" s="348"/>
      <c r="M11" s="348"/>
      <c r="N11" s="348"/>
      <c r="O11" s="348"/>
      <c r="P11" s="348"/>
    </row>
    <row r="12" spans="1:16" ht="12" customHeight="1">
      <c r="A12" s="612" t="s">
        <v>215</v>
      </c>
      <c r="B12" s="348">
        <v>12</v>
      </c>
      <c r="C12" s="348">
        <v>12</v>
      </c>
      <c r="D12" s="348">
        <v>5</v>
      </c>
      <c r="E12" s="348">
        <f>C12+D12</f>
        <v>17</v>
      </c>
      <c r="F12" s="348">
        <f>B12-E12</f>
        <v>-5</v>
      </c>
      <c r="G12" s="348"/>
      <c r="H12" s="348">
        <f>F12-G12</f>
        <v>-5</v>
      </c>
      <c r="I12" s="348">
        <f>J12+K12+N12+O12</f>
        <v>5</v>
      </c>
      <c r="J12" s="348"/>
      <c r="K12" s="348">
        <f>L12-M12</f>
        <v>5</v>
      </c>
      <c r="L12" s="348">
        <v>16</v>
      </c>
      <c r="M12" s="348">
        <v>11</v>
      </c>
      <c r="N12" s="348"/>
      <c r="O12" s="348"/>
      <c r="P12" s="348"/>
    </row>
    <row r="13" spans="1:16" ht="12" customHeight="1">
      <c r="A13" s="612" t="s">
        <v>216</v>
      </c>
      <c r="B13" s="348">
        <v>1</v>
      </c>
      <c r="C13" s="348">
        <v>1</v>
      </c>
      <c r="D13" s="348"/>
      <c r="E13" s="348">
        <f aca="true" t="shared" si="0" ref="E13:E44">C13+D13</f>
        <v>1</v>
      </c>
      <c r="F13" s="348">
        <f aca="true" t="shared" si="1" ref="F13:F44">B13-E13</f>
        <v>0</v>
      </c>
      <c r="G13" s="348"/>
      <c r="H13" s="348">
        <f aca="true" t="shared" si="2" ref="H13:H45">F13-G13</f>
        <v>0</v>
      </c>
      <c r="I13" s="348">
        <f aca="true" t="shared" si="3" ref="I13:I45">J13+K13+N13+O13</f>
        <v>0</v>
      </c>
      <c r="J13" s="348"/>
      <c r="K13" s="348">
        <f aca="true" t="shared" si="4" ref="K13:K44">L13-M13</f>
        <v>0</v>
      </c>
      <c r="L13" s="348">
        <v>54</v>
      </c>
      <c r="M13" s="348">
        <v>54</v>
      </c>
      <c r="N13" s="348"/>
      <c r="O13" s="348"/>
      <c r="P13" s="348"/>
    </row>
    <row r="14" spans="1:16" ht="12" customHeight="1">
      <c r="A14" s="612" t="s">
        <v>217</v>
      </c>
      <c r="B14" s="348">
        <v>16</v>
      </c>
      <c r="C14" s="348">
        <v>7</v>
      </c>
      <c r="D14" s="348">
        <v>1</v>
      </c>
      <c r="E14" s="348">
        <f t="shared" si="0"/>
        <v>8</v>
      </c>
      <c r="F14" s="348">
        <f t="shared" si="1"/>
        <v>8</v>
      </c>
      <c r="G14" s="348"/>
      <c r="H14" s="348">
        <f t="shared" si="2"/>
        <v>8</v>
      </c>
      <c r="I14" s="348">
        <f t="shared" si="3"/>
        <v>-8</v>
      </c>
      <c r="J14" s="348"/>
      <c r="K14" s="348">
        <f t="shared" si="4"/>
        <v>-8</v>
      </c>
      <c r="L14" s="348">
        <v>65</v>
      </c>
      <c r="M14" s="348">
        <v>73</v>
      </c>
      <c r="N14" s="348"/>
      <c r="O14" s="348"/>
      <c r="P14" s="348"/>
    </row>
    <row r="15" spans="1:16" ht="12" customHeight="1">
      <c r="A15" s="612" t="s">
        <v>218</v>
      </c>
      <c r="B15" s="348">
        <v>4</v>
      </c>
      <c r="C15" s="348">
        <v>9</v>
      </c>
      <c r="D15" s="348">
        <v>2</v>
      </c>
      <c r="E15" s="348">
        <f t="shared" si="0"/>
        <v>11</v>
      </c>
      <c r="F15" s="348">
        <f t="shared" si="1"/>
        <v>-7</v>
      </c>
      <c r="G15" s="348"/>
      <c r="H15" s="348">
        <f t="shared" si="2"/>
        <v>-7</v>
      </c>
      <c r="I15" s="348">
        <f t="shared" si="3"/>
        <v>7</v>
      </c>
      <c r="J15" s="348"/>
      <c r="K15" s="348">
        <f t="shared" si="4"/>
        <v>7</v>
      </c>
      <c r="L15" s="348">
        <v>31</v>
      </c>
      <c r="M15" s="348">
        <v>24</v>
      </c>
      <c r="N15" s="348"/>
      <c r="O15" s="348"/>
      <c r="P15" s="348"/>
    </row>
    <row r="16" spans="1:16" ht="12" customHeight="1">
      <c r="A16" s="612" t="s">
        <v>219</v>
      </c>
      <c r="B16" s="348">
        <v>2</v>
      </c>
      <c r="C16" s="348">
        <v>2</v>
      </c>
      <c r="D16" s="348"/>
      <c r="E16" s="348">
        <f t="shared" si="0"/>
        <v>2</v>
      </c>
      <c r="F16" s="348">
        <f t="shared" si="1"/>
        <v>0</v>
      </c>
      <c r="G16" s="348"/>
      <c r="H16" s="348">
        <f t="shared" si="2"/>
        <v>0</v>
      </c>
      <c r="I16" s="348">
        <f t="shared" si="3"/>
        <v>0</v>
      </c>
      <c r="J16" s="348"/>
      <c r="K16" s="348">
        <f t="shared" si="4"/>
        <v>0</v>
      </c>
      <c r="L16" s="348">
        <v>4</v>
      </c>
      <c r="M16" s="348">
        <v>4</v>
      </c>
      <c r="N16" s="348"/>
      <c r="O16" s="348"/>
      <c r="P16" s="348"/>
    </row>
    <row r="17" spans="1:16" ht="12" customHeight="1">
      <c r="A17" s="612" t="s">
        <v>220</v>
      </c>
      <c r="B17" s="348">
        <v>369</v>
      </c>
      <c r="C17" s="348">
        <v>152</v>
      </c>
      <c r="D17" s="348">
        <v>194</v>
      </c>
      <c r="E17" s="348">
        <f t="shared" si="0"/>
        <v>346</v>
      </c>
      <c r="F17" s="348">
        <f t="shared" si="1"/>
        <v>23</v>
      </c>
      <c r="G17" s="348">
        <v>-795</v>
      </c>
      <c r="H17" s="348">
        <f t="shared" si="2"/>
        <v>818</v>
      </c>
      <c r="I17" s="348">
        <f t="shared" si="3"/>
        <v>-818</v>
      </c>
      <c r="J17" s="348"/>
      <c r="K17" s="348">
        <f t="shared" si="4"/>
        <v>-818</v>
      </c>
      <c r="L17" s="348">
        <v>1172</v>
      </c>
      <c r="M17" s="348">
        <v>1990</v>
      </c>
      <c r="N17" s="348"/>
      <c r="O17" s="348"/>
      <c r="P17" s="348"/>
    </row>
    <row r="18" spans="1:16" ht="12" customHeight="1">
      <c r="A18" s="178" t="s">
        <v>221</v>
      </c>
      <c r="B18" s="348">
        <f>SUM(B11:B17)</f>
        <v>491</v>
      </c>
      <c r="C18" s="348">
        <f>SUM(C11:C17)</f>
        <v>270</v>
      </c>
      <c r="D18" s="348">
        <f>SUM(D11:D17)</f>
        <v>202</v>
      </c>
      <c r="E18" s="348">
        <f>SUM(E11:E17)</f>
        <v>472</v>
      </c>
      <c r="F18" s="348">
        <f t="shared" si="1"/>
        <v>19</v>
      </c>
      <c r="G18" s="348">
        <f>SUM(G11:G17)</f>
        <v>-795</v>
      </c>
      <c r="H18" s="348">
        <f t="shared" si="2"/>
        <v>814</v>
      </c>
      <c r="I18" s="348">
        <f t="shared" si="3"/>
        <v>-814</v>
      </c>
      <c r="J18" s="348">
        <f aca="true" t="shared" si="5" ref="J18:P18">SUM(J11:J17)</f>
        <v>0</v>
      </c>
      <c r="K18" s="348">
        <f t="shared" si="5"/>
        <v>-814</v>
      </c>
      <c r="L18" s="348">
        <f t="shared" si="5"/>
        <v>1342</v>
      </c>
      <c r="M18" s="348">
        <f t="shared" si="5"/>
        <v>2156</v>
      </c>
      <c r="N18" s="348">
        <f t="shared" si="5"/>
        <v>0</v>
      </c>
      <c r="O18" s="348">
        <f t="shared" si="5"/>
        <v>0</v>
      </c>
      <c r="P18" s="348">
        <f t="shared" si="5"/>
        <v>0</v>
      </c>
    </row>
    <row r="19" spans="1:16" s="627" customFormat="1" ht="12" customHeight="1">
      <c r="A19" s="612" t="s">
        <v>223</v>
      </c>
      <c r="B19" s="348">
        <v>8</v>
      </c>
      <c r="C19" s="348">
        <v>1</v>
      </c>
      <c r="D19" s="348">
        <v>5</v>
      </c>
      <c r="E19" s="348">
        <f t="shared" si="0"/>
        <v>6</v>
      </c>
      <c r="F19" s="348">
        <f t="shared" si="1"/>
        <v>2</v>
      </c>
      <c r="G19" s="348"/>
      <c r="H19" s="348">
        <f t="shared" si="2"/>
        <v>2</v>
      </c>
      <c r="I19" s="348">
        <f t="shared" si="3"/>
        <v>-2</v>
      </c>
      <c r="J19" s="348"/>
      <c r="K19" s="348">
        <f t="shared" si="4"/>
        <v>-2</v>
      </c>
      <c r="L19" s="348">
        <v>5</v>
      </c>
      <c r="M19" s="348">
        <v>7</v>
      </c>
      <c r="N19" s="348"/>
      <c r="O19" s="348"/>
      <c r="P19" s="348"/>
    </row>
    <row r="20" spans="1:16" ht="12" customHeight="1">
      <c r="A20" s="612" t="s">
        <v>224</v>
      </c>
      <c r="B20" s="348">
        <v>3</v>
      </c>
      <c r="C20" s="348">
        <v>3</v>
      </c>
      <c r="D20" s="348">
        <v>3</v>
      </c>
      <c r="E20" s="348">
        <f t="shared" si="0"/>
        <v>6</v>
      </c>
      <c r="F20" s="348">
        <f t="shared" si="1"/>
        <v>-3</v>
      </c>
      <c r="G20" s="348"/>
      <c r="H20" s="348">
        <f t="shared" si="2"/>
        <v>-3</v>
      </c>
      <c r="I20" s="348">
        <f t="shared" si="3"/>
        <v>3</v>
      </c>
      <c r="J20" s="348"/>
      <c r="K20" s="348">
        <f t="shared" si="4"/>
        <v>3</v>
      </c>
      <c r="L20" s="348">
        <v>24</v>
      </c>
      <c r="M20" s="348">
        <v>21</v>
      </c>
      <c r="N20" s="348"/>
      <c r="O20" s="348"/>
      <c r="P20" s="348"/>
    </row>
    <row r="21" spans="1:16" ht="12" customHeight="1">
      <c r="A21" s="612" t="s">
        <v>225</v>
      </c>
      <c r="B21" s="348">
        <v>1</v>
      </c>
      <c r="C21" s="348">
        <v>1</v>
      </c>
      <c r="D21" s="348"/>
      <c r="E21" s="348">
        <f t="shared" si="0"/>
        <v>1</v>
      </c>
      <c r="F21" s="348">
        <f t="shared" si="1"/>
        <v>0</v>
      </c>
      <c r="G21" s="348"/>
      <c r="H21" s="348">
        <f t="shared" si="2"/>
        <v>0</v>
      </c>
      <c r="I21" s="348">
        <f t="shared" si="3"/>
        <v>0</v>
      </c>
      <c r="J21" s="348"/>
      <c r="K21" s="348">
        <f t="shared" si="4"/>
        <v>0</v>
      </c>
      <c r="L21" s="348">
        <v>1</v>
      </c>
      <c r="M21" s="348">
        <v>1</v>
      </c>
      <c r="N21" s="348"/>
      <c r="O21" s="348"/>
      <c r="P21" s="348"/>
    </row>
    <row r="22" spans="1:16" ht="12" customHeight="1">
      <c r="A22" s="612" t="s">
        <v>226</v>
      </c>
      <c r="B22" s="348">
        <v>1</v>
      </c>
      <c r="C22" s="348">
        <v>4</v>
      </c>
      <c r="D22" s="348"/>
      <c r="E22" s="348">
        <f t="shared" si="0"/>
        <v>4</v>
      </c>
      <c r="F22" s="348">
        <f t="shared" si="1"/>
        <v>-3</v>
      </c>
      <c r="G22" s="348"/>
      <c r="H22" s="348">
        <f t="shared" si="2"/>
        <v>-3</v>
      </c>
      <c r="I22" s="348">
        <f t="shared" si="3"/>
        <v>3</v>
      </c>
      <c r="J22" s="348"/>
      <c r="K22" s="348">
        <f t="shared" si="4"/>
        <v>3</v>
      </c>
      <c r="L22" s="348">
        <v>21</v>
      </c>
      <c r="M22" s="348">
        <v>18</v>
      </c>
      <c r="N22" s="348"/>
      <c r="O22" s="348"/>
      <c r="P22" s="348"/>
    </row>
    <row r="23" spans="1:16" ht="12" customHeight="1">
      <c r="A23" s="612" t="s">
        <v>227</v>
      </c>
      <c r="B23" s="348">
        <v>31</v>
      </c>
      <c r="C23" s="348">
        <v>31</v>
      </c>
      <c r="D23" s="348">
        <v>1</v>
      </c>
      <c r="E23" s="348">
        <f t="shared" si="0"/>
        <v>32</v>
      </c>
      <c r="F23" s="348">
        <f t="shared" si="1"/>
        <v>-1</v>
      </c>
      <c r="G23" s="348"/>
      <c r="H23" s="348">
        <f t="shared" si="2"/>
        <v>-1</v>
      </c>
      <c r="I23" s="348">
        <f t="shared" si="3"/>
        <v>1</v>
      </c>
      <c r="J23" s="348"/>
      <c r="K23" s="348">
        <f t="shared" si="4"/>
        <v>1</v>
      </c>
      <c r="L23" s="348">
        <v>30</v>
      </c>
      <c r="M23" s="348">
        <v>29</v>
      </c>
      <c r="N23" s="348"/>
      <c r="O23" s="348"/>
      <c r="P23" s="348"/>
    </row>
    <row r="24" spans="1:16" ht="12" customHeight="1">
      <c r="A24" s="612" t="s">
        <v>228</v>
      </c>
      <c r="B24" s="348">
        <v>7</v>
      </c>
      <c r="C24" s="348">
        <v>6</v>
      </c>
      <c r="D24" s="348"/>
      <c r="E24" s="348">
        <f t="shared" si="0"/>
        <v>6</v>
      </c>
      <c r="F24" s="348">
        <f t="shared" si="1"/>
        <v>1</v>
      </c>
      <c r="G24" s="348"/>
      <c r="H24" s="348">
        <f t="shared" si="2"/>
        <v>1</v>
      </c>
      <c r="I24" s="348">
        <f t="shared" si="3"/>
        <v>-1</v>
      </c>
      <c r="J24" s="348"/>
      <c r="K24" s="348">
        <f t="shared" si="4"/>
        <v>-1</v>
      </c>
      <c r="L24" s="348">
        <v>4</v>
      </c>
      <c r="M24" s="348">
        <v>5</v>
      </c>
      <c r="N24" s="348"/>
      <c r="O24" s="348"/>
      <c r="P24" s="348"/>
    </row>
    <row r="25" spans="1:16" ht="12" customHeight="1">
      <c r="A25" s="612" t="s">
        <v>229</v>
      </c>
      <c r="B25" s="348">
        <v>9</v>
      </c>
      <c r="C25" s="348">
        <v>7</v>
      </c>
      <c r="D25" s="348"/>
      <c r="E25" s="348">
        <f t="shared" si="0"/>
        <v>7</v>
      </c>
      <c r="F25" s="348">
        <f t="shared" si="1"/>
        <v>2</v>
      </c>
      <c r="G25" s="348"/>
      <c r="H25" s="348">
        <f t="shared" si="2"/>
        <v>2</v>
      </c>
      <c r="I25" s="348">
        <f t="shared" si="3"/>
        <v>-2</v>
      </c>
      <c r="J25" s="348"/>
      <c r="K25" s="348">
        <f t="shared" si="4"/>
        <v>-2</v>
      </c>
      <c r="L25" s="348">
        <v>7</v>
      </c>
      <c r="M25" s="348">
        <v>9</v>
      </c>
      <c r="N25" s="348"/>
      <c r="O25" s="348"/>
      <c r="P25" s="348"/>
    </row>
    <row r="26" spans="1:16" ht="12" customHeight="1">
      <c r="A26" s="612" t="s">
        <v>230</v>
      </c>
      <c r="B26" s="348">
        <v>1</v>
      </c>
      <c r="C26" s="348">
        <v>1</v>
      </c>
      <c r="D26" s="348"/>
      <c r="E26" s="348">
        <f t="shared" si="0"/>
        <v>1</v>
      </c>
      <c r="F26" s="348">
        <f t="shared" si="1"/>
        <v>0</v>
      </c>
      <c r="G26" s="348"/>
      <c r="H26" s="348">
        <f t="shared" si="2"/>
        <v>0</v>
      </c>
      <c r="I26" s="348">
        <f t="shared" si="3"/>
        <v>0</v>
      </c>
      <c r="J26" s="348"/>
      <c r="K26" s="348">
        <f t="shared" si="4"/>
        <v>0</v>
      </c>
      <c r="L26" s="348"/>
      <c r="M26" s="348"/>
      <c r="N26" s="348"/>
      <c r="O26" s="348"/>
      <c r="P26" s="348"/>
    </row>
    <row r="27" spans="1:16" ht="12" customHeight="1">
      <c r="A27" s="612" t="s">
        <v>231</v>
      </c>
      <c r="B27" s="348"/>
      <c r="C27" s="348"/>
      <c r="D27" s="348"/>
      <c r="E27" s="348">
        <f t="shared" si="0"/>
        <v>0</v>
      </c>
      <c r="F27" s="348">
        <f t="shared" si="1"/>
        <v>0</v>
      </c>
      <c r="G27" s="348"/>
      <c r="H27" s="348">
        <f t="shared" si="2"/>
        <v>0</v>
      </c>
      <c r="I27" s="348">
        <f t="shared" si="3"/>
        <v>0</v>
      </c>
      <c r="J27" s="348"/>
      <c r="K27" s="348">
        <f t="shared" si="4"/>
        <v>0</v>
      </c>
      <c r="L27" s="348"/>
      <c r="M27" s="348"/>
      <c r="N27" s="348"/>
      <c r="O27" s="348"/>
      <c r="P27" s="348"/>
    </row>
    <row r="28" spans="1:16" ht="12" customHeight="1">
      <c r="A28" s="612" t="s">
        <v>232</v>
      </c>
      <c r="B28" s="348">
        <v>5</v>
      </c>
      <c r="C28" s="348">
        <v>3</v>
      </c>
      <c r="D28" s="348"/>
      <c r="E28" s="348">
        <f t="shared" si="0"/>
        <v>3</v>
      </c>
      <c r="F28" s="348">
        <f t="shared" si="1"/>
        <v>2</v>
      </c>
      <c r="G28" s="348"/>
      <c r="H28" s="348">
        <f t="shared" si="2"/>
        <v>2</v>
      </c>
      <c r="I28" s="348">
        <f t="shared" si="3"/>
        <v>-2</v>
      </c>
      <c r="J28" s="348"/>
      <c r="K28" s="348">
        <f t="shared" si="4"/>
        <v>-2</v>
      </c>
      <c r="L28" s="348">
        <v>16</v>
      </c>
      <c r="M28" s="348">
        <v>18</v>
      </c>
      <c r="N28" s="348"/>
      <c r="O28" s="348"/>
      <c r="P28" s="348"/>
    </row>
    <row r="29" spans="1:16" ht="12" customHeight="1">
      <c r="A29" s="612" t="s">
        <v>233</v>
      </c>
      <c r="B29" s="348">
        <v>1</v>
      </c>
      <c r="C29" s="348"/>
      <c r="D29" s="348">
        <v>1</v>
      </c>
      <c r="E29" s="348">
        <f t="shared" si="0"/>
        <v>1</v>
      </c>
      <c r="F29" s="348">
        <f t="shared" si="1"/>
        <v>0</v>
      </c>
      <c r="G29" s="348"/>
      <c r="H29" s="348">
        <f t="shared" si="2"/>
        <v>0</v>
      </c>
      <c r="I29" s="348">
        <f t="shared" si="3"/>
        <v>0</v>
      </c>
      <c r="J29" s="348"/>
      <c r="K29" s="348">
        <f t="shared" si="4"/>
        <v>0</v>
      </c>
      <c r="L29" s="348">
        <v>1</v>
      </c>
      <c r="M29" s="348">
        <v>1</v>
      </c>
      <c r="N29" s="348"/>
      <c r="O29" s="348"/>
      <c r="P29" s="348"/>
    </row>
    <row r="30" spans="1:16" ht="12" customHeight="1">
      <c r="A30" s="612" t="s">
        <v>234</v>
      </c>
      <c r="B30" s="348">
        <v>4</v>
      </c>
      <c r="C30" s="348">
        <v>4</v>
      </c>
      <c r="D30" s="348"/>
      <c r="E30" s="348">
        <f t="shared" si="0"/>
        <v>4</v>
      </c>
      <c r="F30" s="348">
        <f t="shared" si="1"/>
        <v>0</v>
      </c>
      <c r="G30" s="348"/>
      <c r="H30" s="348">
        <f t="shared" si="2"/>
        <v>0</v>
      </c>
      <c r="I30" s="348">
        <f t="shared" si="3"/>
        <v>0</v>
      </c>
      <c r="J30" s="348"/>
      <c r="K30" s="348">
        <f t="shared" si="4"/>
        <v>0</v>
      </c>
      <c r="L30" s="348">
        <v>8</v>
      </c>
      <c r="M30" s="348">
        <v>8</v>
      </c>
      <c r="N30" s="348"/>
      <c r="O30" s="348"/>
      <c r="P30" s="348"/>
    </row>
    <row r="31" spans="1:16" ht="12" customHeight="1">
      <c r="A31" s="612" t="s">
        <v>235</v>
      </c>
      <c r="B31" s="348">
        <v>1</v>
      </c>
      <c r="C31" s="348">
        <v>1</v>
      </c>
      <c r="D31" s="348"/>
      <c r="E31" s="348">
        <f t="shared" si="0"/>
        <v>1</v>
      </c>
      <c r="F31" s="348">
        <f t="shared" si="1"/>
        <v>0</v>
      </c>
      <c r="G31" s="348"/>
      <c r="H31" s="348">
        <f t="shared" si="2"/>
        <v>0</v>
      </c>
      <c r="I31" s="348">
        <f t="shared" si="3"/>
        <v>0</v>
      </c>
      <c r="J31" s="348"/>
      <c r="K31" s="348">
        <f t="shared" si="4"/>
        <v>0</v>
      </c>
      <c r="L31" s="348">
        <v>3</v>
      </c>
      <c r="M31" s="348">
        <v>3</v>
      </c>
      <c r="N31" s="348"/>
      <c r="O31" s="348"/>
      <c r="P31" s="348"/>
    </row>
    <row r="32" spans="1:16" ht="12" customHeight="1">
      <c r="A32" s="612" t="s">
        <v>236</v>
      </c>
      <c r="B32" s="348">
        <v>1</v>
      </c>
      <c r="C32" s="348"/>
      <c r="D32" s="348"/>
      <c r="E32" s="348">
        <f t="shared" si="0"/>
        <v>0</v>
      </c>
      <c r="F32" s="348">
        <f t="shared" si="1"/>
        <v>1</v>
      </c>
      <c r="G32" s="348"/>
      <c r="H32" s="348">
        <f t="shared" si="2"/>
        <v>1</v>
      </c>
      <c r="I32" s="348">
        <f t="shared" si="3"/>
        <v>-1</v>
      </c>
      <c r="J32" s="348"/>
      <c r="K32" s="348">
        <f t="shared" si="4"/>
        <v>-1</v>
      </c>
      <c r="L32" s="348">
        <v>4</v>
      </c>
      <c r="M32" s="348">
        <v>5</v>
      </c>
      <c r="N32" s="348"/>
      <c r="O32" s="348"/>
      <c r="P32" s="348"/>
    </row>
    <row r="33" spans="1:16" ht="12" customHeight="1">
      <c r="A33" s="612" t="s">
        <v>237</v>
      </c>
      <c r="B33" s="348"/>
      <c r="C33" s="348"/>
      <c r="D33" s="348"/>
      <c r="E33" s="348">
        <f t="shared" si="0"/>
        <v>0</v>
      </c>
      <c r="F33" s="348">
        <f t="shared" si="1"/>
        <v>0</v>
      </c>
      <c r="G33" s="348"/>
      <c r="H33" s="348">
        <f t="shared" si="2"/>
        <v>0</v>
      </c>
      <c r="I33" s="348">
        <f t="shared" si="3"/>
        <v>0</v>
      </c>
      <c r="J33" s="348"/>
      <c r="K33" s="348">
        <f t="shared" si="4"/>
        <v>0</v>
      </c>
      <c r="L33" s="348">
        <v>3</v>
      </c>
      <c r="M33" s="348">
        <v>3</v>
      </c>
      <c r="N33" s="348"/>
      <c r="O33" s="348"/>
      <c r="P33" s="348"/>
    </row>
    <row r="34" spans="1:16" ht="12" customHeight="1">
      <c r="A34" s="612" t="s">
        <v>238</v>
      </c>
      <c r="B34" s="348">
        <v>3</v>
      </c>
      <c r="C34" s="348">
        <v>2</v>
      </c>
      <c r="D34" s="348">
        <v>1</v>
      </c>
      <c r="E34" s="348">
        <f t="shared" si="0"/>
        <v>3</v>
      </c>
      <c r="F34" s="348">
        <f t="shared" si="1"/>
        <v>0</v>
      </c>
      <c r="G34" s="348"/>
      <c r="H34" s="348">
        <f t="shared" si="2"/>
        <v>0</v>
      </c>
      <c r="I34" s="348">
        <f t="shared" si="3"/>
        <v>0</v>
      </c>
      <c r="J34" s="348"/>
      <c r="K34" s="348">
        <f t="shared" si="4"/>
        <v>0</v>
      </c>
      <c r="L34" s="348">
        <v>4</v>
      </c>
      <c r="M34" s="348">
        <v>4</v>
      </c>
      <c r="N34" s="348"/>
      <c r="O34" s="348"/>
      <c r="P34" s="348"/>
    </row>
    <row r="35" spans="1:16" ht="12" customHeight="1">
      <c r="A35" s="612" t="s">
        <v>239</v>
      </c>
      <c r="B35" s="348">
        <v>1</v>
      </c>
      <c r="C35" s="348">
        <v>1</v>
      </c>
      <c r="D35" s="348"/>
      <c r="E35" s="348">
        <f t="shared" si="0"/>
        <v>1</v>
      </c>
      <c r="F35" s="348">
        <f t="shared" si="1"/>
        <v>0</v>
      </c>
      <c r="G35" s="348"/>
      <c r="H35" s="348">
        <f t="shared" si="2"/>
        <v>0</v>
      </c>
      <c r="I35" s="348">
        <f t="shared" si="3"/>
        <v>0</v>
      </c>
      <c r="J35" s="348"/>
      <c r="K35" s="348">
        <f t="shared" si="4"/>
        <v>0</v>
      </c>
      <c r="L35" s="348">
        <v>4</v>
      </c>
      <c r="M35" s="348">
        <v>4</v>
      </c>
      <c r="N35" s="348"/>
      <c r="O35" s="348"/>
      <c r="P35" s="348"/>
    </row>
    <row r="36" spans="1:16" ht="12" customHeight="1">
      <c r="A36" s="612" t="s">
        <v>240</v>
      </c>
      <c r="B36" s="348">
        <v>2</v>
      </c>
      <c r="C36" s="348"/>
      <c r="D36" s="348">
        <v>4</v>
      </c>
      <c r="E36" s="348">
        <f t="shared" si="0"/>
        <v>4</v>
      </c>
      <c r="F36" s="348">
        <f t="shared" si="1"/>
        <v>-2</v>
      </c>
      <c r="G36" s="348"/>
      <c r="H36" s="348">
        <f t="shared" si="2"/>
        <v>-2</v>
      </c>
      <c r="I36" s="348">
        <f t="shared" si="3"/>
        <v>2</v>
      </c>
      <c r="J36" s="348"/>
      <c r="K36" s="348">
        <f t="shared" si="4"/>
        <v>2</v>
      </c>
      <c r="L36" s="348">
        <v>15</v>
      </c>
      <c r="M36" s="348">
        <v>13</v>
      </c>
      <c r="N36" s="348"/>
      <c r="O36" s="348"/>
      <c r="P36" s="348"/>
    </row>
    <row r="37" spans="1:16" ht="12" customHeight="1">
      <c r="A37" s="612" t="s">
        <v>241</v>
      </c>
      <c r="B37" s="348">
        <v>2</v>
      </c>
      <c r="C37" s="348">
        <v>1</v>
      </c>
      <c r="D37" s="348">
        <v>1</v>
      </c>
      <c r="E37" s="348">
        <f t="shared" si="0"/>
        <v>2</v>
      </c>
      <c r="F37" s="348">
        <f t="shared" si="1"/>
        <v>0</v>
      </c>
      <c r="G37" s="348"/>
      <c r="H37" s="348">
        <f t="shared" si="2"/>
        <v>0</v>
      </c>
      <c r="I37" s="348">
        <f t="shared" si="3"/>
        <v>0</v>
      </c>
      <c r="J37" s="348"/>
      <c r="K37" s="348">
        <f t="shared" si="4"/>
        <v>0</v>
      </c>
      <c r="L37" s="348">
        <v>2</v>
      </c>
      <c r="M37" s="348">
        <v>2</v>
      </c>
      <c r="N37" s="348"/>
      <c r="O37" s="348"/>
      <c r="P37" s="348"/>
    </row>
    <row r="38" spans="1:16" ht="12" customHeight="1">
      <c r="A38" s="612" t="s">
        <v>242</v>
      </c>
      <c r="B38" s="348">
        <v>14</v>
      </c>
      <c r="C38" s="348">
        <v>5</v>
      </c>
      <c r="D38" s="348">
        <v>5</v>
      </c>
      <c r="E38" s="348">
        <f t="shared" si="0"/>
        <v>10</v>
      </c>
      <c r="F38" s="348">
        <f t="shared" si="1"/>
        <v>4</v>
      </c>
      <c r="G38" s="348"/>
      <c r="H38" s="348">
        <f t="shared" si="2"/>
        <v>4</v>
      </c>
      <c r="I38" s="348">
        <f t="shared" si="3"/>
        <v>-4</v>
      </c>
      <c r="J38" s="348"/>
      <c r="K38" s="348">
        <f t="shared" si="4"/>
        <v>-4</v>
      </c>
      <c r="L38" s="348">
        <v>17</v>
      </c>
      <c r="M38" s="348">
        <v>21</v>
      </c>
      <c r="N38" s="348"/>
      <c r="O38" s="348"/>
      <c r="P38" s="348"/>
    </row>
    <row r="39" spans="1:16" ht="12" customHeight="1">
      <c r="A39" s="612" t="s">
        <v>243</v>
      </c>
      <c r="B39" s="348">
        <v>9</v>
      </c>
      <c r="C39" s="348">
        <v>5</v>
      </c>
      <c r="D39" s="348"/>
      <c r="E39" s="348">
        <f t="shared" si="0"/>
        <v>5</v>
      </c>
      <c r="F39" s="348">
        <f t="shared" si="1"/>
        <v>4</v>
      </c>
      <c r="G39" s="348"/>
      <c r="H39" s="348">
        <f t="shared" si="2"/>
        <v>4</v>
      </c>
      <c r="I39" s="348">
        <f t="shared" si="3"/>
        <v>-4</v>
      </c>
      <c r="J39" s="348"/>
      <c r="K39" s="348">
        <f t="shared" si="4"/>
        <v>-4</v>
      </c>
      <c r="L39" s="348">
        <v>2</v>
      </c>
      <c r="M39" s="348">
        <v>6</v>
      </c>
      <c r="N39" s="348"/>
      <c r="O39" s="348"/>
      <c r="P39" s="348"/>
    </row>
    <row r="40" spans="1:16" ht="12" customHeight="1">
      <c r="A40" s="612" t="s">
        <v>244</v>
      </c>
      <c r="B40" s="348">
        <v>5</v>
      </c>
      <c r="C40" s="348">
        <v>3</v>
      </c>
      <c r="D40" s="348">
        <v>1</v>
      </c>
      <c r="E40" s="348">
        <f t="shared" si="0"/>
        <v>4</v>
      </c>
      <c r="F40" s="348">
        <f t="shared" si="1"/>
        <v>1</v>
      </c>
      <c r="G40" s="348"/>
      <c r="H40" s="348">
        <f t="shared" si="2"/>
        <v>1</v>
      </c>
      <c r="I40" s="348">
        <f t="shared" si="3"/>
        <v>-1</v>
      </c>
      <c r="J40" s="348"/>
      <c r="K40" s="348">
        <f t="shared" si="4"/>
        <v>-1</v>
      </c>
      <c r="L40" s="348">
        <v>20</v>
      </c>
      <c r="M40" s="348">
        <v>21</v>
      </c>
      <c r="N40" s="348"/>
      <c r="O40" s="348"/>
      <c r="P40" s="348"/>
    </row>
    <row r="41" spans="1:16" ht="12" customHeight="1">
      <c r="A41" s="612" t="s">
        <v>245</v>
      </c>
      <c r="B41" s="348">
        <v>3</v>
      </c>
      <c r="C41" s="348">
        <v>6</v>
      </c>
      <c r="D41" s="348"/>
      <c r="E41" s="348">
        <f t="shared" si="0"/>
        <v>6</v>
      </c>
      <c r="F41" s="348">
        <f t="shared" si="1"/>
        <v>-3</v>
      </c>
      <c r="G41" s="348"/>
      <c r="H41" s="348">
        <f t="shared" si="2"/>
        <v>-3</v>
      </c>
      <c r="I41" s="348">
        <f t="shared" si="3"/>
        <v>3</v>
      </c>
      <c r="J41" s="348"/>
      <c r="K41" s="348">
        <f t="shared" si="4"/>
        <v>3</v>
      </c>
      <c r="L41" s="348">
        <v>11</v>
      </c>
      <c r="M41" s="348">
        <v>8</v>
      </c>
      <c r="N41" s="348"/>
      <c r="O41" s="348"/>
      <c r="P41" s="348"/>
    </row>
    <row r="42" spans="1:16" ht="12" customHeight="1">
      <c r="A42" s="612" t="s">
        <v>246</v>
      </c>
      <c r="B42" s="348">
        <v>1</v>
      </c>
      <c r="C42" s="348">
        <v>1</v>
      </c>
      <c r="D42" s="348"/>
      <c r="E42" s="348">
        <f t="shared" si="0"/>
        <v>1</v>
      </c>
      <c r="F42" s="348">
        <f t="shared" si="1"/>
        <v>0</v>
      </c>
      <c r="G42" s="348"/>
      <c r="H42" s="348">
        <f t="shared" si="2"/>
        <v>0</v>
      </c>
      <c r="I42" s="348">
        <f t="shared" si="3"/>
        <v>0</v>
      </c>
      <c r="J42" s="348"/>
      <c r="K42" s="348">
        <f t="shared" si="4"/>
        <v>0</v>
      </c>
      <c r="L42" s="348">
        <v>7</v>
      </c>
      <c r="M42" s="348">
        <v>7</v>
      </c>
      <c r="N42" s="348"/>
      <c r="O42" s="348"/>
      <c r="P42" s="348"/>
    </row>
    <row r="43" spans="1:16" ht="12" customHeight="1">
      <c r="A43" s="612" t="s">
        <v>247</v>
      </c>
      <c r="B43" s="348">
        <v>17</v>
      </c>
      <c r="C43" s="348">
        <v>2</v>
      </c>
      <c r="D43" s="348"/>
      <c r="E43" s="348">
        <f t="shared" si="0"/>
        <v>2</v>
      </c>
      <c r="F43" s="348">
        <f t="shared" si="1"/>
        <v>15</v>
      </c>
      <c r="G43" s="348"/>
      <c r="H43" s="348">
        <f t="shared" si="2"/>
        <v>15</v>
      </c>
      <c r="I43" s="348">
        <f t="shared" si="3"/>
        <v>-15</v>
      </c>
      <c r="J43" s="348"/>
      <c r="K43" s="348">
        <f t="shared" si="4"/>
        <v>-15</v>
      </c>
      <c r="L43" s="348">
        <v>3</v>
      </c>
      <c r="M43" s="348">
        <v>18</v>
      </c>
      <c r="N43" s="348"/>
      <c r="O43" s="348"/>
      <c r="P43" s="348"/>
    </row>
    <row r="44" spans="1:16" ht="12" customHeight="1">
      <c r="A44" s="612" t="s">
        <v>248</v>
      </c>
      <c r="B44" s="348"/>
      <c r="C44" s="348"/>
      <c r="D44" s="348"/>
      <c r="E44" s="348">
        <f t="shared" si="0"/>
        <v>0</v>
      </c>
      <c r="F44" s="348">
        <f t="shared" si="1"/>
        <v>0</v>
      </c>
      <c r="G44" s="348"/>
      <c r="H44" s="348">
        <f t="shared" si="2"/>
        <v>0</v>
      </c>
      <c r="I44" s="348">
        <f t="shared" si="3"/>
        <v>0</v>
      </c>
      <c r="J44" s="348"/>
      <c r="K44" s="348">
        <f t="shared" si="4"/>
        <v>0</v>
      </c>
      <c r="L44" s="348">
        <v>1</v>
      </c>
      <c r="M44" s="348">
        <v>1</v>
      </c>
      <c r="N44" s="348"/>
      <c r="O44" s="348"/>
      <c r="P44" s="348"/>
    </row>
    <row r="45" spans="1:16" ht="12" customHeight="1">
      <c r="A45" s="178" t="s">
        <v>249</v>
      </c>
      <c r="B45" s="348">
        <f aca="true" t="shared" si="6" ref="B45:G45">SUM(B19:B44)</f>
        <v>130</v>
      </c>
      <c r="C45" s="348">
        <f t="shared" si="6"/>
        <v>88</v>
      </c>
      <c r="D45" s="348">
        <f t="shared" si="6"/>
        <v>22</v>
      </c>
      <c r="E45" s="348">
        <f t="shared" si="6"/>
        <v>110</v>
      </c>
      <c r="F45" s="348">
        <f t="shared" si="6"/>
        <v>20</v>
      </c>
      <c r="G45" s="348">
        <f t="shared" si="6"/>
        <v>0</v>
      </c>
      <c r="H45" s="348">
        <f t="shared" si="2"/>
        <v>20</v>
      </c>
      <c r="I45" s="348">
        <f t="shared" si="3"/>
        <v>-20</v>
      </c>
      <c r="J45" s="348">
        <f aca="true" t="shared" si="7" ref="J45:P45">SUM(J19:J44)</f>
        <v>0</v>
      </c>
      <c r="K45" s="348">
        <f t="shared" si="7"/>
        <v>-20</v>
      </c>
      <c r="L45" s="348">
        <f t="shared" si="7"/>
        <v>213</v>
      </c>
      <c r="M45" s="348">
        <f t="shared" si="7"/>
        <v>233</v>
      </c>
      <c r="N45" s="348">
        <f t="shared" si="7"/>
        <v>0</v>
      </c>
      <c r="O45" s="348">
        <f t="shared" si="7"/>
        <v>0</v>
      </c>
      <c r="P45" s="348">
        <f t="shared" si="7"/>
        <v>0</v>
      </c>
    </row>
    <row r="46" spans="1:16" ht="12" customHeight="1">
      <c r="A46" s="178" t="s">
        <v>250</v>
      </c>
      <c r="B46" s="348">
        <f aca="true" t="shared" si="8" ref="B46:P46">SUM(B18,B45)</f>
        <v>621</v>
      </c>
      <c r="C46" s="348">
        <f t="shared" si="8"/>
        <v>358</v>
      </c>
      <c r="D46" s="348">
        <f t="shared" si="8"/>
        <v>224</v>
      </c>
      <c r="E46" s="348">
        <f t="shared" si="8"/>
        <v>582</v>
      </c>
      <c r="F46" s="348">
        <f t="shared" si="8"/>
        <v>39</v>
      </c>
      <c r="G46" s="348">
        <f t="shared" si="8"/>
        <v>-795</v>
      </c>
      <c r="H46" s="348">
        <f t="shared" si="8"/>
        <v>834</v>
      </c>
      <c r="I46" s="348">
        <f t="shared" si="8"/>
        <v>-834</v>
      </c>
      <c r="J46" s="348">
        <f t="shared" si="8"/>
        <v>0</v>
      </c>
      <c r="K46" s="348">
        <f t="shared" si="8"/>
        <v>-834</v>
      </c>
      <c r="L46" s="348">
        <f t="shared" si="8"/>
        <v>1555</v>
      </c>
      <c r="M46" s="348">
        <f t="shared" si="8"/>
        <v>2389</v>
      </c>
      <c r="N46" s="348">
        <f t="shared" si="8"/>
        <v>0</v>
      </c>
      <c r="O46" s="348">
        <f t="shared" si="8"/>
        <v>0</v>
      </c>
      <c r="P46" s="348">
        <f t="shared" si="8"/>
        <v>0</v>
      </c>
    </row>
    <row r="47" ht="17.25" customHeight="1"/>
    <row r="48" ht="17.25" customHeight="1"/>
    <row r="49" s="493" customFormat="1" ht="17.25" customHeight="1">
      <c r="A49" s="597"/>
    </row>
    <row r="54" spans="1:9" s="604" customFormat="1" ht="17.25" customHeight="1">
      <c r="A54" s="64" t="s">
        <v>84</v>
      </c>
      <c r="B54" s="4"/>
      <c r="C54" s="4"/>
      <c r="D54" s="488"/>
      <c r="E54" s="572"/>
      <c r="F54" s="488"/>
      <c r="G54" s="4" t="s">
        <v>348</v>
      </c>
      <c r="H54" s="488"/>
      <c r="I54" s="493"/>
    </row>
    <row r="56" spans="1:8" s="492" customFormat="1" ht="17.25" customHeight="1">
      <c r="A56" s="521"/>
      <c r="B56" s="600"/>
      <c r="C56" s="488"/>
      <c r="D56" s="619"/>
      <c r="E56" s="488"/>
      <c r="F56" s="619"/>
      <c r="G56" s="619"/>
      <c r="H56" s="488"/>
    </row>
    <row r="58" spans="1:16" s="493" customFormat="1" ht="17.25" customHeight="1">
      <c r="A58" s="541" t="s">
        <v>643</v>
      </c>
      <c r="B58" s="447"/>
      <c r="C58" s="28"/>
      <c r="D58" s="447"/>
      <c r="E58" s="447"/>
      <c r="F58" s="447"/>
      <c r="G58" s="28"/>
      <c r="H58" s="602"/>
      <c r="I58" s="447"/>
      <c r="J58" s="447"/>
      <c r="K58" s="447"/>
      <c r="L58" s="447"/>
      <c r="M58" s="447"/>
      <c r="N58" s="447"/>
      <c r="O58" s="447"/>
      <c r="P58" s="447"/>
    </row>
    <row r="59" s="604" customFormat="1" ht="17.25" customHeight="1">
      <c r="A59" s="512" t="s">
        <v>399</v>
      </c>
    </row>
    <row r="60" spans="1:6" s="604" customFormat="1" ht="17.25" customHeight="1">
      <c r="A60" s="628"/>
      <c r="B60" s="488"/>
      <c r="C60" s="488"/>
      <c r="D60" s="488"/>
      <c r="E60" s="488"/>
      <c r="F60" s="488"/>
    </row>
    <row r="61" ht="24" customHeight="1"/>
    <row r="67" ht="17.25" customHeight="1">
      <c r="A67" s="299"/>
    </row>
    <row r="68" s="299" customFormat="1" ht="17.25" customHeight="1">
      <c r="A68" s="509"/>
    </row>
    <row r="69" ht="17.25" customHeight="1">
      <c r="A69" s="509"/>
    </row>
  </sheetData>
  <mergeCells count="12">
    <mergeCell ref="P7:P9"/>
    <mergeCell ref="J8:O8"/>
    <mergeCell ref="A2:P2"/>
    <mergeCell ref="A4:P4"/>
    <mergeCell ref="A5:P5"/>
    <mergeCell ref="A7:A9"/>
    <mergeCell ref="B7:B9"/>
    <mergeCell ref="C7:E8"/>
    <mergeCell ref="F7:F9"/>
    <mergeCell ref="G7:G9"/>
    <mergeCell ref="H7:H9"/>
    <mergeCell ref="I7:I9"/>
  </mergeCells>
  <printOptions/>
  <pageMargins left="0.45" right="0.17" top="0.69" bottom="0.53" header="0.17" footer="0.21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F12" sqref="F12"/>
    </sheetView>
  </sheetViews>
  <sheetFormatPr defaultColWidth="9.140625" defaultRowHeight="17.25" customHeight="1"/>
  <cols>
    <col min="1" max="1" width="36.28125" style="167" customWidth="1"/>
    <col min="2" max="2" width="14.421875" style="167" customWidth="1"/>
    <col min="3" max="3" width="11.00390625" style="65" customWidth="1"/>
    <col min="4" max="4" width="12.7109375" style="4" customWidth="1"/>
    <col min="5" max="5" width="9.8515625" style="65" customWidth="1"/>
  </cols>
  <sheetData>
    <row r="1" spans="2:5" ht="17.25" customHeight="1">
      <c r="B1" s="72"/>
      <c r="C1" s="169"/>
      <c r="E1" s="172" t="s">
        <v>274</v>
      </c>
    </row>
    <row r="2" ht="17.25" customHeight="1">
      <c r="A2" s="167" t="s">
        <v>566</v>
      </c>
    </row>
    <row r="4" spans="1:5" ht="30" customHeight="1">
      <c r="A4" s="663" t="s">
        <v>275</v>
      </c>
      <c r="B4" s="663"/>
      <c r="C4" s="663"/>
      <c r="D4" s="663"/>
      <c r="E4" s="663"/>
    </row>
    <row r="5" spans="1:5" ht="17.25" customHeight="1">
      <c r="A5" s="487" t="s">
        <v>527</v>
      </c>
      <c r="B5" s="487"/>
      <c r="C5" s="487"/>
      <c r="D5" s="487"/>
      <c r="E5" s="487"/>
    </row>
    <row r="6" ht="17.25" customHeight="1">
      <c r="E6" s="172" t="s">
        <v>317</v>
      </c>
    </row>
    <row r="7" spans="1:5" ht="38.25">
      <c r="A7" s="8" t="s">
        <v>318</v>
      </c>
      <c r="B7" s="8" t="s">
        <v>490</v>
      </c>
      <c r="C7" s="173" t="s">
        <v>529</v>
      </c>
      <c r="D7" s="8" t="s">
        <v>530</v>
      </c>
      <c r="E7" s="34" t="s">
        <v>601</v>
      </c>
    </row>
    <row r="8" spans="1:5" ht="17.25" customHeight="1">
      <c r="A8" s="174">
        <v>1</v>
      </c>
      <c r="B8" s="174">
        <v>2</v>
      </c>
      <c r="C8" s="176">
        <v>3</v>
      </c>
      <c r="D8" s="174">
        <v>4</v>
      </c>
      <c r="E8" s="176">
        <v>5</v>
      </c>
    </row>
    <row r="9" spans="1:5" ht="25.5">
      <c r="A9" s="177" t="s">
        <v>568</v>
      </c>
      <c r="B9" s="174" t="s">
        <v>360</v>
      </c>
      <c r="C9" s="175">
        <f>SUM(C10:C11)</f>
        <v>621</v>
      </c>
      <c r="D9" s="629" t="str">
        <f>IF(ISERROR(C9/B9)," ",(C9/B9))</f>
        <v> </v>
      </c>
      <c r="E9" s="175">
        <f>C9-'[15]Janvāris'!C9</f>
        <v>316</v>
      </c>
    </row>
    <row r="10" spans="1:5" ht="25.5">
      <c r="A10" s="89" t="s">
        <v>569</v>
      </c>
      <c r="B10" s="174" t="s">
        <v>360</v>
      </c>
      <c r="C10" s="175">
        <v>501</v>
      </c>
      <c r="D10" s="629" t="str">
        <f>IF(ISERROR(C10/B10)," ",(C10/B10))</f>
        <v> </v>
      </c>
      <c r="E10" s="175">
        <f>C10-'[15]Janvāris'!C10</f>
        <v>211</v>
      </c>
    </row>
    <row r="11" spans="1:5" ht="25.5">
      <c r="A11" s="89" t="s">
        <v>570</v>
      </c>
      <c r="B11" s="174" t="s">
        <v>360</v>
      </c>
      <c r="C11" s="175">
        <f>33+87</f>
        <v>120</v>
      </c>
      <c r="D11" s="629" t="str">
        <f>IF(ISERROR(C11/B11)," ",(C11/B11))</f>
        <v> </v>
      </c>
      <c r="E11" s="175">
        <f>C11-'[15]Janvāris'!C11</f>
        <v>105</v>
      </c>
    </row>
    <row r="12" spans="1:5" ht="25.5">
      <c r="A12" s="89" t="s">
        <v>571</v>
      </c>
      <c r="B12" s="174" t="s">
        <v>360</v>
      </c>
      <c r="C12" s="175"/>
      <c r="D12" s="629"/>
      <c r="E12" s="175">
        <f>C12-'[15]Janvāris'!C12</f>
        <v>0</v>
      </c>
    </row>
    <row r="13" spans="1:5" ht="17.25" customHeight="1">
      <c r="A13" s="177" t="s">
        <v>572</v>
      </c>
      <c r="B13" s="35"/>
      <c r="C13" s="306">
        <f>SUM(C14,C31,)</f>
        <v>582</v>
      </c>
      <c r="D13" s="630"/>
      <c r="E13" s="306">
        <f>C13-'[15]Janvāris'!C13</f>
        <v>378</v>
      </c>
    </row>
    <row r="14" spans="1:5" ht="17.25" customHeight="1">
      <c r="A14" s="187" t="s">
        <v>573</v>
      </c>
      <c r="B14" s="35"/>
      <c r="C14" s="306">
        <f>SUM(C15,C25)</f>
        <v>358</v>
      </c>
      <c r="D14" s="630"/>
      <c r="E14" s="306">
        <f>C14-'[15]Janvāris'!C14</f>
        <v>205</v>
      </c>
    </row>
    <row r="15" spans="1:5" ht="17.25" customHeight="1">
      <c r="A15" s="187" t="s">
        <v>574</v>
      </c>
      <c r="B15" s="178"/>
      <c r="C15" s="192">
        <f>SUM(C17,C16,C18)</f>
        <v>287</v>
      </c>
      <c r="D15" s="630"/>
      <c r="E15" s="192">
        <f>C15-'[15]Janvāris'!C15</f>
        <v>198</v>
      </c>
    </row>
    <row r="16" spans="1:5" ht="17.25" customHeight="1">
      <c r="A16" s="189" t="s">
        <v>575</v>
      </c>
      <c r="B16" s="183"/>
      <c r="C16" s="175">
        <v>35</v>
      </c>
      <c r="D16" s="630"/>
      <c r="E16" s="175">
        <f>C16-'[15]Janvāris'!C16</f>
        <v>20</v>
      </c>
    </row>
    <row r="17" spans="1:5" ht="25.5">
      <c r="A17" s="89" t="s">
        <v>576</v>
      </c>
      <c r="B17" s="190" t="s">
        <v>360</v>
      </c>
      <c r="C17" s="175">
        <v>8</v>
      </c>
      <c r="D17" s="190" t="s">
        <v>360</v>
      </c>
      <c r="E17" s="175">
        <f>C17-'[15]Janvāris'!C17</f>
        <v>4</v>
      </c>
    </row>
    <row r="18" spans="1:5" ht="17.25" customHeight="1">
      <c r="A18" s="89" t="s">
        <v>578</v>
      </c>
      <c r="B18" s="190" t="s">
        <v>360</v>
      </c>
      <c r="C18" s="192">
        <f>SUM(C19:C20)</f>
        <v>244</v>
      </c>
      <c r="D18" s="190" t="s">
        <v>360</v>
      </c>
      <c r="E18" s="192">
        <f>C18-'[15]Janvāris'!C18</f>
        <v>174</v>
      </c>
    </row>
    <row r="19" spans="1:5" ht="17.25" customHeight="1">
      <c r="A19" s="193" t="s">
        <v>579</v>
      </c>
      <c r="B19" s="194" t="s">
        <v>360</v>
      </c>
      <c r="C19" s="175">
        <f>123+26+87</f>
        <v>236</v>
      </c>
      <c r="D19" s="194" t="s">
        <v>360</v>
      </c>
      <c r="E19" s="175">
        <f>C19-'[15]Janvāris'!C19</f>
        <v>169</v>
      </c>
    </row>
    <row r="20" spans="1:5" ht="17.25" customHeight="1">
      <c r="A20" s="193" t="s">
        <v>580</v>
      </c>
      <c r="B20" s="194" t="s">
        <v>360</v>
      </c>
      <c r="C20" s="175">
        <v>8</v>
      </c>
      <c r="D20" s="194" t="s">
        <v>360</v>
      </c>
      <c r="E20" s="175">
        <f>C20-'[15]Janvāris'!C20</f>
        <v>5</v>
      </c>
    </row>
    <row r="21" spans="1:5" ht="17.25" customHeight="1">
      <c r="A21" s="89" t="s">
        <v>581</v>
      </c>
      <c r="B21" s="190" t="s">
        <v>360</v>
      </c>
      <c r="C21" s="175"/>
      <c r="D21" s="190" t="s">
        <v>360</v>
      </c>
      <c r="E21" s="175">
        <f>C21-'[15]Janvāris'!C21</f>
        <v>0</v>
      </c>
    </row>
    <row r="22" spans="1:5" ht="25.5">
      <c r="A22" s="95" t="s">
        <v>582</v>
      </c>
      <c r="B22" s="190" t="s">
        <v>360</v>
      </c>
      <c r="C22" s="192"/>
      <c r="D22" s="631" t="str">
        <f>IF(ISERROR(ROUND(C22,0)/ROUND(g,0))," ",(ROUND(C22,)/ROUND(B22,)))</f>
        <v> </v>
      </c>
      <c r="E22" s="192">
        <f>C22-'[15]Janvāris'!C22</f>
        <v>0</v>
      </c>
    </row>
    <row r="23" spans="1:5" ht="25.5">
      <c r="A23" s="89" t="s">
        <v>583</v>
      </c>
      <c r="B23" s="190" t="s">
        <v>360</v>
      </c>
      <c r="C23" s="175"/>
      <c r="D23" s="190" t="s">
        <v>360</v>
      </c>
      <c r="E23" s="175">
        <f>C23-'[15]Janvāris'!C23</f>
        <v>0</v>
      </c>
    </row>
    <row r="24" spans="1:5" ht="25.5">
      <c r="A24" s="89" t="s">
        <v>584</v>
      </c>
      <c r="B24" s="190" t="s">
        <v>360</v>
      </c>
      <c r="C24" s="175"/>
      <c r="D24" s="190" t="s">
        <v>360</v>
      </c>
      <c r="E24" s="175">
        <f>C24-'[15]Janvāris'!C24</f>
        <v>0</v>
      </c>
    </row>
    <row r="25" spans="1:5" ht="17.25" customHeight="1">
      <c r="A25" s="57" t="s">
        <v>585</v>
      </c>
      <c r="B25" s="183"/>
      <c r="C25" s="192">
        <f>SUM(C26:C30)</f>
        <v>71</v>
      </c>
      <c r="D25" s="630"/>
      <c r="E25" s="192">
        <f>C25-'[15]Janvāris'!C25</f>
        <v>7</v>
      </c>
    </row>
    <row r="26" spans="1:5" ht="17.25" customHeight="1">
      <c r="A26" s="189" t="s">
        <v>586</v>
      </c>
      <c r="B26" s="190" t="s">
        <v>360</v>
      </c>
      <c r="C26" s="175"/>
      <c r="D26" s="190" t="s">
        <v>360</v>
      </c>
      <c r="E26" s="175">
        <f>C26-'[15]Janvāris'!C26</f>
        <v>0</v>
      </c>
    </row>
    <row r="27" spans="1:5" ht="17.25" customHeight="1">
      <c r="A27" s="189" t="s">
        <v>587</v>
      </c>
      <c r="B27" s="190" t="s">
        <v>360</v>
      </c>
      <c r="C27" s="175"/>
      <c r="D27" s="190" t="s">
        <v>360</v>
      </c>
      <c r="E27" s="175">
        <f>C27-'[15]Janvāris'!C27</f>
        <v>0</v>
      </c>
    </row>
    <row r="28" spans="1:5" ht="17.25" customHeight="1">
      <c r="A28" s="89" t="s">
        <v>588</v>
      </c>
      <c r="B28" s="190" t="s">
        <v>360</v>
      </c>
      <c r="C28" s="175"/>
      <c r="D28" s="190" t="s">
        <v>360</v>
      </c>
      <c r="E28" s="175">
        <f>C28-'[15]Janvāris'!C28</f>
        <v>-2</v>
      </c>
    </row>
    <row r="29" spans="1:5" ht="17.25" customHeight="1">
      <c r="A29" s="89" t="s">
        <v>589</v>
      </c>
      <c r="B29" s="190" t="s">
        <v>360</v>
      </c>
      <c r="C29" s="175">
        <v>63</v>
      </c>
      <c r="D29" s="190" t="s">
        <v>360</v>
      </c>
      <c r="E29" s="175">
        <f>C29-'[15]Janvāris'!C29</f>
        <v>5</v>
      </c>
    </row>
    <row r="30" spans="1:5" ht="17.25" customHeight="1">
      <c r="A30" s="89" t="s">
        <v>590</v>
      </c>
      <c r="B30" s="190" t="s">
        <v>360</v>
      </c>
      <c r="C30" s="175">
        <v>8</v>
      </c>
      <c r="D30" s="190" t="s">
        <v>360</v>
      </c>
      <c r="E30" s="175">
        <f>C30-'[15]Janvāris'!C30</f>
        <v>4</v>
      </c>
    </row>
    <row r="31" spans="1:5" ht="17.25" customHeight="1">
      <c r="A31" s="197" t="s">
        <v>591</v>
      </c>
      <c r="B31" s="213"/>
      <c r="C31" s="192">
        <f>SUM(C32:C33)</f>
        <v>224</v>
      </c>
      <c r="D31" s="630"/>
      <c r="E31" s="192">
        <f>C31-'[15]Janvāris'!C31</f>
        <v>173</v>
      </c>
    </row>
    <row r="32" spans="1:5" ht="17.25" customHeight="1">
      <c r="A32" s="89" t="s">
        <v>592</v>
      </c>
      <c r="B32" s="183"/>
      <c r="C32" s="175">
        <v>221</v>
      </c>
      <c r="D32" s="630"/>
      <c r="E32" s="175">
        <f>C32-'[15]Janvāris'!C32</f>
        <v>170</v>
      </c>
    </row>
    <row r="33" spans="1:5" ht="17.25" customHeight="1">
      <c r="A33" s="89" t="s">
        <v>593</v>
      </c>
      <c r="B33" s="183"/>
      <c r="C33" s="175">
        <v>3</v>
      </c>
      <c r="D33" s="630"/>
      <c r="E33" s="175">
        <f>C33-'[15]Janvāris'!C33</f>
        <v>3</v>
      </c>
    </row>
    <row r="34" spans="1:5" ht="17.25" customHeight="1">
      <c r="A34" s="547" t="s">
        <v>168</v>
      </c>
      <c r="B34" s="183"/>
      <c r="C34" s="175">
        <f>C35-C36</f>
        <v>-795</v>
      </c>
      <c r="D34" s="630"/>
      <c r="E34" s="175">
        <f>C34-'[15]Janvāris'!C34</f>
        <v>-19</v>
      </c>
    </row>
    <row r="35" spans="1:5" ht="17.25" customHeight="1">
      <c r="A35" s="548" t="s">
        <v>169</v>
      </c>
      <c r="B35" s="183"/>
      <c r="C35" s="175"/>
      <c r="D35" s="630"/>
      <c r="E35" s="175">
        <f>C35-'[15]Janvāris'!C35</f>
        <v>0</v>
      </c>
    </row>
    <row r="36" spans="1:5" ht="25.5">
      <c r="A36" s="548" t="s">
        <v>170</v>
      </c>
      <c r="B36" s="183"/>
      <c r="C36" s="175">
        <v>795</v>
      </c>
      <c r="D36" s="630"/>
      <c r="E36" s="175">
        <f>C36-'[15]Janvāris'!C36</f>
        <v>19</v>
      </c>
    </row>
    <row r="37" spans="1:5" ht="17.25" customHeight="1">
      <c r="A37" s="197" t="s">
        <v>276</v>
      </c>
      <c r="B37" s="190"/>
      <c r="C37" s="192">
        <f>C9-C13-C34</f>
        <v>834</v>
      </c>
      <c r="D37" s="190" t="s">
        <v>360</v>
      </c>
      <c r="E37" s="176" t="s">
        <v>360</v>
      </c>
    </row>
    <row r="38" spans="1:5" ht="17.25" customHeight="1">
      <c r="A38" s="197" t="s">
        <v>595</v>
      </c>
      <c r="B38" s="199"/>
      <c r="C38" s="192">
        <f>-C37</f>
        <v>-834</v>
      </c>
      <c r="D38" s="190" t="s">
        <v>360</v>
      </c>
      <c r="E38" s="176" t="s">
        <v>360</v>
      </c>
    </row>
    <row r="39" spans="1:5" ht="25.5">
      <c r="A39" s="201" t="s">
        <v>596</v>
      </c>
      <c r="B39" s="199"/>
      <c r="C39" s="175">
        <v>-834</v>
      </c>
      <c r="D39" s="190" t="s">
        <v>360</v>
      </c>
      <c r="E39" s="176" t="s">
        <v>360</v>
      </c>
    </row>
    <row r="40" spans="1:5" ht="17.25" customHeight="1">
      <c r="A40" s="667"/>
      <c r="B40" s="667"/>
      <c r="C40" s="667"/>
      <c r="D40" s="667"/>
      <c r="E40" s="667"/>
    </row>
    <row r="42" spans="1:5" ht="17.25" customHeight="1">
      <c r="A42" s="103"/>
      <c r="B42" s="164"/>
      <c r="C42" s="165"/>
      <c r="D42" s="166"/>
      <c r="E42" s="165"/>
    </row>
    <row r="43" spans="1:5" ht="17.25" customHeight="1">
      <c r="A43" s="103"/>
      <c r="B43" s="103"/>
      <c r="C43" s="204"/>
      <c r="D43" s="138"/>
      <c r="E43" s="165"/>
    </row>
    <row r="44" spans="1:4" ht="17.25" customHeight="1">
      <c r="A44" s="64" t="s">
        <v>277</v>
      </c>
      <c r="B44" s="4"/>
      <c r="C44" s="4"/>
      <c r="D44" s="4" t="s">
        <v>348</v>
      </c>
    </row>
    <row r="45" spans="1:4" ht="17.25" customHeight="1">
      <c r="A45" s="103"/>
      <c r="B45" s="164"/>
      <c r="C45" s="165"/>
      <c r="D45" s="166"/>
    </row>
    <row r="46" spans="2:5" ht="17.25" customHeight="1">
      <c r="B46" s="168"/>
      <c r="C46" s="169"/>
      <c r="D46" s="170"/>
      <c r="E46" s="169"/>
    </row>
    <row r="47" spans="2:4" ht="17.25" customHeight="1">
      <c r="B47" s="65"/>
      <c r="D47" s="170"/>
    </row>
    <row r="48" spans="2:4" ht="17.25" customHeight="1">
      <c r="B48" s="65"/>
      <c r="D48" s="170"/>
    </row>
    <row r="49" spans="2:4" ht="17.25" customHeight="1">
      <c r="B49" s="65"/>
      <c r="D49" s="170"/>
    </row>
    <row r="50" spans="1:4" ht="17.25" customHeight="1">
      <c r="A50" s="28"/>
      <c r="B50" s="65"/>
      <c r="D50" s="170"/>
    </row>
    <row r="51" ht="17.25" customHeight="1">
      <c r="A51" s="28"/>
    </row>
    <row r="52" ht="17.25" customHeight="1">
      <c r="A52" s="171"/>
    </row>
    <row r="53" spans="2:4" ht="17.25" customHeight="1">
      <c r="B53" s="65"/>
      <c r="D53" s="170"/>
    </row>
    <row r="68" ht="17.25" customHeight="1">
      <c r="A68" s="167" t="s">
        <v>643</v>
      </c>
    </row>
    <row r="69" ht="17.25" customHeight="1">
      <c r="A69" s="167" t="s">
        <v>399</v>
      </c>
    </row>
  </sheetData>
  <mergeCells count="3">
    <mergeCell ref="A4:E4"/>
    <mergeCell ref="A5:E5"/>
    <mergeCell ref="A40:E40"/>
  </mergeCells>
  <printOptions/>
  <pageMargins left="0.75" right="0.75" top="0.76" bottom="0.37" header="0.17" footer="0.16"/>
  <pageSetup horizontalDpi="300" verticalDpi="300" orientation="portrait" paperSize="9" r:id="rId1"/>
  <rowBreaks count="1" manualBreakCount="1">
    <brk id="3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CO39"/>
  <sheetViews>
    <sheetView workbookViewId="0" topLeftCell="A1">
      <selection activeCell="F12" sqref="F12"/>
    </sheetView>
  </sheetViews>
  <sheetFormatPr defaultColWidth="9.140625" defaultRowHeight="17.25" customHeight="1"/>
  <cols>
    <col min="1" max="1" width="36.7109375" style="513" customWidth="1"/>
    <col min="2" max="2" width="11.140625" style="557" customWidth="1"/>
    <col min="3" max="3" width="11.421875" style="488" customWidth="1"/>
    <col min="4" max="4" width="14.28125" style="488" customWidth="1"/>
    <col min="5" max="5" width="13.8515625" style="488" customWidth="1"/>
    <col min="6" max="6" width="8.28125" style="0" customWidth="1"/>
    <col min="9" max="9" width="8.421875" style="0" customWidth="1"/>
    <col min="94" max="16384" width="9.140625" style="488" customWidth="1"/>
  </cols>
  <sheetData>
    <row r="1" spans="2:5" ht="17.25" customHeight="1">
      <c r="B1" s="514"/>
      <c r="C1" s="72"/>
      <c r="D1" s="72"/>
      <c r="E1" s="72" t="s">
        <v>278</v>
      </c>
    </row>
    <row r="2" spans="1:5" ht="12.75">
      <c r="A2" s="675" t="s">
        <v>312</v>
      </c>
      <c r="B2" s="675"/>
      <c r="C2" s="675"/>
      <c r="D2" s="675"/>
      <c r="E2" s="675"/>
    </row>
    <row r="3" spans="1:93" s="24" customFormat="1" ht="17.25" customHeight="1">
      <c r="A3" s="514"/>
      <c r="B3" s="543"/>
      <c r="C3" s="107"/>
      <c r="D3" s="107"/>
      <c r="E3" s="10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</row>
    <row r="4" spans="1:5" ht="17.25" customHeight="1">
      <c r="A4" s="674" t="s">
        <v>279</v>
      </c>
      <c r="B4" s="674"/>
      <c r="C4" s="674"/>
      <c r="D4" s="674"/>
      <c r="E4" s="674"/>
    </row>
    <row r="5" spans="1:93" s="517" customFormat="1" ht="17.25" customHeight="1">
      <c r="A5" s="675" t="s">
        <v>527</v>
      </c>
      <c r="B5" s="675"/>
      <c r="C5" s="675"/>
      <c r="D5" s="675"/>
      <c r="E5" s="67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2:5" ht="17.25" customHeight="1">
      <c r="B6" s="545"/>
      <c r="C6" s="24"/>
      <c r="E6" s="6" t="s">
        <v>317</v>
      </c>
    </row>
    <row r="7" spans="1:93" s="24" customFormat="1" ht="22.5">
      <c r="A7" s="546" t="s">
        <v>318</v>
      </c>
      <c r="B7" s="525" t="s">
        <v>36</v>
      </c>
      <c r="C7" s="525" t="s">
        <v>404</v>
      </c>
      <c r="D7" s="525" t="s">
        <v>18</v>
      </c>
      <c r="E7" s="34" t="s">
        <v>601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5" ht="12.75">
      <c r="A8" s="526" t="s">
        <v>88</v>
      </c>
      <c r="B8" s="527" t="s">
        <v>132</v>
      </c>
      <c r="C8" s="527" t="s">
        <v>133</v>
      </c>
      <c r="D8" s="527" t="s">
        <v>134</v>
      </c>
      <c r="E8" s="527" t="s">
        <v>89</v>
      </c>
    </row>
    <row r="9" spans="1:5" ht="12.75">
      <c r="A9" s="529" t="s">
        <v>280</v>
      </c>
      <c r="B9" s="348"/>
      <c r="C9" s="348">
        <f>C10-C28</f>
        <v>-213</v>
      </c>
      <c r="D9" s="351"/>
      <c r="E9" s="348">
        <f>C9-'[14]Janvāris'!C9</f>
        <v>359</v>
      </c>
    </row>
    <row r="10" spans="1:93" s="1" customFormat="1" ht="17.25" customHeight="1">
      <c r="A10" s="547" t="s">
        <v>281</v>
      </c>
      <c r="B10" s="348"/>
      <c r="C10" s="348">
        <f>SUM(C11:C27)</f>
        <v>-213</v>
      </c>
      <c r="D10" s="351"/>
      <c r="E10" s="348">
        <f>C10-'[14]Janvāris'!C10</f>
        <v>359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</row>
    <row r="11" spans="1:93" s="28" customFormat="1" ht="25.5">
      <c r="A11" s="533" t="s">
        <v>137</v>
      </c>
      <c r="B11" s="348"/>
      <c r="C11" s="348">
        <v>17</v>
      </c>
      <c r="D11" s="351"/>
      <c r="E11" s="348">
        <f>C11-'[14]Janvāris'!C11</f>
        <v>8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</row>
    <row r="12" spans="1:93" s="28" customFormat="1" ht="17.25" customHeight="1">
      <c r="A12" s="533" t="s">
        <v>536</v>
      </c>
      <c r="B12" s="348"/>
      <c r="C12" s="348"/>
      <c r="D12" s="351"/>
      <c r="E12" s="348">
        <f>C12-'[14]Janvāris'!C12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</row>
    <row r="13" spans="1:93" s="28" customFormat="1" ht="25.5">
      <c r="A13" s="533" t="s">
        <v>538</v>
      </c>
      <c r="B13" s="348"/>
      <c r="C13" s="348">
        <v>1</v>
      </c>
      <c r="D13" s="351"/>
      <c r="E13" s="348">
        <f>C13-'[14]Janvāris'!C13</f>
        <v>1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</row>
    <row r="14" spans="1:93" s="28" customFormat="1" ht="12.75">
      <c r="A14" s="533" t="s">
        <v>540</v>
      </c>
      <c r="B14" s="348"/>
      <c r="C14" s="348">
        <v>89</v>
      </c>
      <c r="D14" s="351"/>
      <c r="E14" s="348">
        <f>C14-'[14]Janvāris'!C14</f>
        <v>44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</row>
    <row r="15" spans="1:93" s="28" customFormat="1" ht="12.75">
      <c r="A15" s="533" t="s">
        <v>542</v>
      </c>
      <c r="B15" s="348"/>
      <c r="C15" s="348">
        <v>3</v>
      </c>
      <c r="D15" s="351"/>
      <c r="E15" s="348">
        <f>C15-'[14]Janvāris'!C15</f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</row>
    <row r="16" spans="1:93" s="28" customFormat="1" ht="25.5">
      <c r="A16" s="533" t="s">
        <v>544</v>
      </c>
      <c r="B16" s="348"/>
      <c r="C16" s="348">
        <v>14</v>
      </c>
      <c r="D16" s="351"/>
      <c r="E16" s="348">
        <f>C16-'[14]Janvāris'!C16</f>
        <v>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</row>
    <row r="17" spans="1:93" s="28" customFormat="1" ht="25.5">
      <c r="A17" s="533" t="s">
        <v>546</v>
      </c>
      <c r="B17" s="348"/>
      <c r="C17" s="348">
        <f>151+87</f>
        <v>238</v>
      </c>
      <c r="D17" s="351"/>
      <c r="E17" s="348">
        <f>C17-'[14]Janvāris'!C17</f>
        <v>187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</row>
    <row r="18" spans="1:93" s="28" customFormat="1" ht="12.75">
      <c r="A18" s="533" t="s">
        <v>548</v>
      </c>
      <c r="B18" s="348"/>
      <c r="C18" s="348">
        <v>166</v>
      </c>
      <c r="D18" s="351"/>
      <c r="E18" s="348">
        <f>C18-'[14]Janvāris'!C18</f>
        <v>103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</row>
    <row r="19" spans="1:93" s="28" customFormat="1" ht="25.5">
      <c r="A19" s="533" t="s">
        <v>550</v>
      </c>
      <c r="B19" s="348"/>
      <c r="C19" s="348">
        <v>-3</v>
      </c>
      <c r="D19" s="351"/>
      <c r="E19" s="348">
        <f>C19-'[14]Janvāris'!C19</f>
        <v>-1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</row>
    <row r="20" spans="1:93" s="28" customFormat="1" ht="25.5">
      <c r="A20" s="533" t="s">
        <v>552</v>
      </c>
      <c r="B20" s="348"/>
      <c r="C20" s="348"/>
      <c r="D20" s="351"/>
      <c r="E20" s="348">
        <f>C20-'[14]Janvāris'!C20</f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</row>
    <row r="21" spans="1:93" s="28" customFormat="1" ht="25.5">
      <c r="A21" s="533" t="s">
        <v>554</v>
      </c>
      <c r="B21" s="348"/>
      <c r="C21" s="348"/>
      <c r="D21" s="351"/>
      <c r="E21" s="348">
        <f>C21-'[14]Janvāris'!C21</f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</row>
    <row r="22" spans="1:93" s="28" customFormat="1" ht="12.75">
      <c r="A22" s="533" t="s">
        <v>138</v>
      </c>
      <c r="B22" s="86"/>
      <c r="C22" s="348">
        <v>-756</v>
      </c>
      <c r="D22" s="351"/>
      <c r="E22" s="348">
        <f>C22-'[14]Janvāris'!C22</f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</row>
    <row r="23" spans="1:93" s="28" customFormat="1" ht="12.75">
      <c r="A23" s="533" t="s">
        <v>558</v>
      </c>
      <c r="B23" s="348"/>
      <c r="C23" s="348">
        <v>15</v>
      </c>
      <c r="D23" s="351"/>
      <c r="E23" s="348">
        <f>C23-'[14]Janvāris'!C23</f>
        <v>8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</row>
    <row r="24" spans="1:93" s="28" customFormat="1" ht="25.5">
      <c r="A24" s="533" t="s">
        <v>139</v>
      </c>
      <c r="B24" s="348"/>
      <c r="C24" s="348"/>
      <c r="D24" s="351"/>
      <c r="E24" s="348">
        <f>C24-'[14]Janvāris'!C24</f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</row>
    <row r="25" spans="1:93" s="28" customFormat="1" ht="25.5">
      <c r="A25" s="533" t="s">
        <v>140</v>
      </c>
      <c r="B25" s="348"/>
      <c r="C25" s="348"/>
      <c r="D25" s="351"/>
      <c r="E25" s="348">
        <f>C25-'[14]Janvāris'!C25</f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</row>
    <row r="26" spans="1:93" s="28" customFormat="1" ht="12.75">
      <c r="A26" s="533" t="s">
        <v>141</v>
      </c>
      <c r="B26" s="348"/>
      <c r="C26" s="348"/>
      <c r="D26" s="351"/>
      <c r="E26" s="348">
        <f>C26-'[14]Janvāris'!C26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1:93" s="28" customFormat="1" ht="25.5">
      <c r="A27" s="533" t="s">
        <v>282</v>
      </c>
      <c r="B27" s="348"/>
      <c r="C27" s="348">
        <v>3</v>
      </c>
      <c r="D27" s="351"/>
      <c r="E27" s="348">
        <f>C27-'[14]Janvāris'!C27</f>
        <v>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s="28" customFormat="1" ht="12.75">
      <c r="A28" s="529" t="s">
        <v>111</v>
      </c>
      <c r="B28" s="348"/>
      <c r="C28" s="348"/>
      <c r="D28" s="351"/>
      <c r="E28" s="34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1:93" s="106" customFormat="1" ht="17.25" customHeight="1">
      <c r="A29" s="551"/>
      <c r="B29" s="447"/>
      <c r="C29" s="447"/>
      <c r="D29" s="447"/>
      <c r="E29" s="447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</row>
    <row r="30" spans="1:93" s="28" customFormat="1" ht="17.25" customHeight="1">
      <c r="A30" s="553"/>
      <c r="B30" s="554"/>
      <c r="C30" s="552"/>
      <c r="D30" s="447"/>
      <c r="E30" s="488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</row>
    <row r="31" spans="1:93" s="28" customFormat="1" ht="17.25" customHeight="1">
      <c r="A31" s="553"/>
      <c r="B31" s="554"/>
      <c r="C31" s="552"/>
      <c r="D31" s="447"/>
      <c r="E31" s="48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</row>
    <row r="32" spans="1:93" s="28" customFormat="1" ht="17.25" customHeight="1">
      <c r="A32" s="64" t="s">
        <v>283</v>
      </c>
      <c r="B32" s="4"/>
      <c r="C32" s="4"/>
      <c r="D32" s="4" t="s">
        <v>348</v>
      </c>
      <c r="E32" s="57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</row>
    <row r="33" spans="1:93" s="493" customFormat="1" ht="17.25" customHeight="1">
      <c r="A33" s="520"/>
      <c r="B33" s="632"/>
      <c r="C33" s="511"/>
      <c r="D33" s="511"/>
      <c r="E33" s="511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</row>
    <row r="34" spans="1:93" s="493" customFormat="1" ht="17.25" customHeight="1">
      <c r="A34" s="520"/>
      <c r="B34" s="632"/>
      <c r="C34" s="633"/>
      <c r="D34" s="633"/>
      <c r="E34" s="60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</row>
    <row r="35" spans="1:93" s="493" customFormat="1" ht="17.25" customHeight="1">
      <c r="A35" s="520"/>
      <c r="B35" s="601"/>
      <c r="E35" s="604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</row>
    <row r="36" spans="1:93" s="493" customFormat="1" ht="17.25" customHeight="1">
      <c r="A36" s="520"/>
      <c r="B36" s="632"/>
      <c r="C36" s="633"/>
      <c r="D36" s="633"/>
      <c r="E36" s="604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</row>
    <row r="37" spans="1:93" s="493" customFormat="1" ht="17.25" customHeight="1">
      <c r="A37" s="520"/>
      <c r="B37" s="632"/>
      <c r="C37" s="633"/>
      <c r="E37" s="60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</row>
    <row r="38" spans="1:4" ht="17.25" customHeight="1">
      <c r="A38" s="513" t="s">
        <v>643</v>
      </c>
      <c r="B38" s="556"/>
      <c r="C38" s="541"/>
      <c r="D38" s="171"/>
    </row>
    <row r="39" ht="17.25" customHeight="1">
      <c r="A39" s="513" t="s">
        <v>399</v>
      </c>
    </row>
  </sheetData>
  <mergeCells count="3">
    <mergeCell ref="A2:E2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U53"/>
  <sheetViews>
    <sheetView workbookViewId="0" topLeftCell="A1">
      <selection activeCell="F12" sqref="F12"/>
    </sheetView>
  </sheetViews>
  <sheetFormatPr defaultColWidth="9.140625" defaultRowHeight="17.25" customHeight="1"/>
  <cols>
    <col min="1" max="1" width="51.7109375" style="488" customWidth="1"/>
    <col min="2" max="2" width="19.140625" style="488" customWidth="1"/>
    <col min="178" max="16384" width="9.140625" style="488" customWidth="1"/>
  </cols>
  <sheetData>
    <row r="1" spans="2:177" s="24" customFormat="1" ht="17.25" customHeight="1">
      <c r="B1" s="1" t="s">
        <v>284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24" customFormat="1" ht="17.25" customHeight="1">
      <c r="A2" s="654" t="s">
        <v>312</v>
      </c>
      <c r="B2" s="65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3:177" s="28" customFormat="1" ht="17.25" customHeight="1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s="28" customFormat="1" ht="17.25" customHeight="1">
      <c r="A4" s="623" t="s">
        <v>285</v>
      </c>
      <c r="B4" s="623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s="28" customFormat="1" ht="17.25" customHeight="1">
      <c r="A5" s="673" t="s">
        <v>286</v>
      </c>
      <c r="B5" s="673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s="28" customFormat="1" ht="17.25" customHeight="1">
      <c r="A6" s="492"/>
      <c r="B6" s="492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28" customFormat="1" ht="17.25" customHeight="1">
      <c r="A7" s="493"/>
      <c r="B7" s="26" t="s">
        <v>316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</row>
    <row r="8" spans="1:177" s="28" customFormat="1" ht="17.25" customHeight="1">
      <c r="A8" s="174" t="s">
        <v>318</v>
      </c>
      <c r="B8" s="356" t="s">
        <v>287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s="86" customFormat="1" ht="12.75">
      <c r="A9" s="174">
        <v>1</v>
      </c>
      <c r="B9" s="356">
        <v>2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s="86" customFormat="1" ht="18.75" customHeight="1">
      <c r="A10" s="95" t="s">
        <v>288</v>
      </c>
      <c r="B10" s="347">
        <f>SUM(B12:B14)</f>
        <v>5749981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s="86" customFormat="1" ht="25.5">
      <c r="A11" s="634" t="s">
        <v>289</v>
      </c>
      <c r="B11" s="635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s="86" customFormat="1" ht="19.5" customHeight="1">
      <c r="A12" s="636" t="s">
        <v>290</v>
      </c>
      <c r="B12" s="635">
        <v>1287530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s="86" customFormat="1" ht="19.5" customHeight="1">
      <c r="A13" s="89" t="s">
        <v>291</v>
      </c>
      <c r="B13" s="404">
        <v>4462451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s="86" customFormat="1" ht="19.5" customHeight="1">
      <c r="A14" s="89" t="s">
        <v>292</v>
      </c>
      <c r="B14" s="40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s="86" customFormat="1" ht="19.5" customHeight="1">
      <c r="A15" s="187" t="s">
        <v>293</v>
      </c>
      <c r="B15" s="347">
        <f>B16</f>
        <v>5727019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s="86" customFormat="1" ht="19.5" customHeight="1">
      <c r="A16" s="89" t="s">
        <v>294</v>
      </c>
      <c r="B16" s="404">
        <v>5727019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s="86" customFormat="1" ht="19.5" customHeight="1">
      <c r="A17" s="187" t="s">
        <v>295</v>
      </c>
      <c r="B17" s="347">
        <f>B18+B10-B15</f>
        <v>32144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s="86" customFormat="1" ht="19.5" customHeight="1">
      <c r="A18" s="89" t="s">
        <v>296</v>
      </c>
      <c r="B18" s="404">
        <v>9182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s="493" customFormat="1" ht="17.25" customHeight="1">
      <c r="A19" s="27"/>
      <c r="B19" s="27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  <row r="20" spans="1:177" s="493" customFormat="1" ht="17.25" customHeight="1">
      <c r="A20" s="27"/>
      <c r="B20" s="27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</row>
    <row r="21" spans="1:177" s="493" customFormat="1" ht="17.25" customHeight="1">
      <c r="A21" s="27"/>
      <c r="B21" s="27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</row>
    <row r="22" spans="1:177" s="27" customFormat="1" ht="17.25" customHeight="1">
      <c r="A22" s="64" t="s">
        <v>625</v>
      </c>
      <c r="B22" s="4" t="s">
        <v>348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</row>
    <row r="23" spans="1:177" s="27" customFormat="1" ht="17.25" customHeight="1">
      <c r="A23" s="28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</row>
    <row r="24" spans="3:177" s="28" customFormat="1" ht="17.25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</row>
    <row r="25" spans="1:177" s="28" customFormat="1" ht="17.25" customHeight="1">
      <c r="A25" s="31"/>
      <c r="B25" s="468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</row>
    <row r="26" spans="1:177" s="28" customFormat="1" ht="17.25" customHeight="1">
      <c r="A26" s="31"/>
      <c r="B26" s="468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</row>
    <row r="27" spans="1:177" s="28" customFormat="1" ht="17.25" customHeight="1">
      <c r="A27" s="31"/>
      <c r="B27" s="6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</row>
    <row r="28" spans="1:177" s="28" customFormat="1" ht="17.25" customHeight="1">
      <c r="A28" s="31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</row>
    <row r="29" spans="1:177" s="28" customFormat="1" ht="17.25" customHeight="1">
      <c r="A29" s="3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</row>
    <row r="30" spans="1:177" s="28" customFormat="1" ht="17.25" customHeight="1">
      <c r="A30" s="31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</row>
    <row r="31" spans="1:177" s="28" customFormat="1" ht="17.25" customHeight="1">
      <c r="A31" s="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</row>
    <row r="32" spans="3:177" s="28" customFormat="1" ht="17.25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</row>
    <row r="33" spans="3:177" s="28" customFormat="1" ht="17.25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</row>
    <row r="34" spans="1:177" s="28" customFormat="1" ht="17.25" customHeight="1">
      <c r="A34" s="3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</row>
    <row r="35" spans="1:177" s="28" customFormat="1" ht="17.25" customHeight="1">
      <c r="A35" s="3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</row>
    <row r="36" spans="1:177" s="28" customFormat="1" ht="17.25" customHeight="1">
      <c r="A36" s="3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</row>
    <row r="38" ht="17.25" customHeight="1">
      <c r="A38" s="1" t="s">
        <v>398</v>
      </c>
    </row>
    <row r="39" ht="17.25" customHeight="1">
      <c r="A39" s="1" t="s">
        <v>399</v>
      </c>
    </row>
    <row r="42" ht="17.25" customHeight="1">
      <c r="A42" s="31"/>
    </row>
    <row r="43" ht="17.25" customHeight="1">
      <c r="A43" s="31"/>
    </row>
    <row r="46" ht="17.25" customHeight="1">
      <c r="A46" s="31"/>
    </row>
    <row r="47" ht="17.25" customHeight="1">
      <c r="A47" s="31"/>
    </row>
    <row r="48" ht="17.25" customHeight="1">
      <c r="A48" s="31"/>
    </row>
    <row r="49" ht="17.25" customHeight="1">
      <c r="A49" s="31"/>
    </row>
    <row r="50" ht="17.25" customHeight="1">
      <c r="A50" s="31"/>
    </row>
    <row r="51" ht="17.25" customHeight="1">
      <c r="A51" s="31"/>
    </row>
    <row r="52" ht="17.25" customHeight="1">
      <c r="A52" s="31"/>
    </row>
    <row r="53" ht="17.25" customHeight="1">
      <c r="A53" s="31"/>
    </row>
  </sheetData>
  <mergeCells count="3">
    <mergeCell ref="A2:B2"/>
    <mergeCell ref="A4:B4"/>
    <mergeCell ref="A5:B5"/>
  </mergeCells>
  <printOptions/>
  <pageMargins left="1.33" right="0.7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F12" sqref="F12"/>
    </sheetView>
  </sheetViews>
  <sheetFormatPr defaultColWidth="9.140625" defaultRowHeight="17.25" customHeight="1"/>
  <cols>
    <col min="1" max="1" width="19.8515625" style="488" customWidth="1"/>
    <col min="2" max="2" width="11.00390625" style="488" customWidth="1"/>
    <col min="3" max="4" width="12.7109375" style="488" customWidth="1"/>
    <col min="5" max="5" width="12.140625" style="488" customWidth="1"/>
    <col min="6" max="6" width="10.7109375" style="488" customWidth="1"/>
    <col min="7" max="7" width="12.7109375" style="488" customWidth="1"/>
    <col min="8" max="8" width="11.140625" style="488" customWidth="1"/>
    <col min="9" max="9" width="14.00390625" style="488" customWidth="1"/>
    <col min="10" max="16384" width="12.7109375" style="488" customWidth="1"/>
  </cols>
  <sheetData>
    <row r="1" spans="2:10" ht="17.25" customHeight="1">
      <c r="B1" s="1"/>
      <c r="C1" s="1"/>
      <c r="D1" s="1"/>
      <c r="E1" s="1"/>
      <c r="F1" s="1"/>
      <c r="G1" s="1"/>
      <c r="H1" s="1"/>
      <c r="I1" s="4" t="s">
        <v>297</v>
      </c>
      <c r="J1" s="638"/>
    </row>
    <row r="2" spans="1:9" ht="17.25" customHeight="1">
      <c r="A2" s="654" t="s">
        <v>312</v>
      </c>
      <c r="B2" s="654"/>
      <c r="C2" s="654"/>
      <c r="D2" s="654"/>
      <c r="E2" s="654"/>
      <c r="F2" s="654"/>
      <c r="G2" s="654"/>
      <c r="H2" s="654"/>
      <c r="I2" s="654"/>
    </row>
    <row r="3" spans="1:9" ht="17.2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7.25" customHeight="1">
      <c r="A4" s="623" t="s">
        <v>298</v>
      </c>
      <c r="B4" s="623"/>
      <c r="C4" s="623"/>
      <c r="D4" s="623"/>
      <c r="E4" s="623"/>
      <c r="F4" s="623"/>
      <c r="G4" s="623"/>
      <c r="H4" s="623"/>
      <c r="I4" s="623"/>
    </row>
    <row r="5" spans="1:9" ht="17.25" customHeight="1">
      <c r="A5" s="673" t="s">
        <v>527</v>
      </c>
      <c r="B5" s="673"/>
      <c r="C5" s="673"/>
      <c r="D5" s="673"/>
      <c r="E5" s="673"/>
      <c r="F5" s="673"/>
      <c r="G5" s="673"/>
      <c r="H5" s="673"/>
      <c r="I5" s="673"/>
    </row>
    <row r="6" spans="1:9" ht="17.25" customHeight="1">
      <c r="A6" s="573"/>
      <c r="B6" s="28"/>
      <c r="C6" s="28"/>
      <c r="D6" s="28"/>
      <c r="E6" s="28"/>
      <c r="F6" s="28"/>
      <c r="G6" s="28"/>
      <c r="H6" s="28"/>
      <c r="I6" s="28"/>
    </row>
    <row r="7" spans="1:9" ht="17.25" customHeight="1">
      <c r="A7" s="492"/>
      <c r="B7" s="492"/>
      <c r="C7" s="492"/>
      <c r="D7" s="492"/>
      <c r="E7" s="492"/>
      <c r="F7" s="492"/>
      <c r="G7" s="492"/>
      <c r="H7" s="492"/>
      <c r="I7" s="492" t="s">
        <v>299</v>
      </c>
    </row>
    <row r="8" spans="1:9" ht="17.25" customHeight="1">
      <c r="A8" s="688" t="s">
        <v>300</v>
      </c>
      <c r="B8" s="688" t="s">
        <v>301</v>
      </c>
      <c r="C8" s="688" t="s">
        <v>302</v>
      </c>
      <c r="D8" s="688" t="s">
        <v>303</v>
      </c>
      <c r="E8" s="688" t="s">
        <v>304</v>
      </c>
      <c r="F8" s="688" t="s">
        <v>305</v>
      </c>
      <c r="G8" s="582" t="s">
        <v>306</v>
      </c>
      <c r="H8" s="639"/>
      <c r="I8" s="688" t="s">
        <v>307</v>
      </c>
    </row>
    <row r="9" spans="1:9" ht="39.75" customHeight="1">
      <c r="A9" s="695"/>
      <c r="B9" s="695"/>
      <c r="C9" s="695"/>
      <c r="D9" s="695"/>
      <c r="E9" s="695"/>
      <c r="F9" s="695"/>
      <c r="G9" s="34" t="s">
        <v>308</v>
      </c>
      <c r="H9" s="34" t="s">
        <v>309</v>
      </c>
      <c r="I9" s="695"/>
    </row>
    <row r="10" spans="1:9" ht="11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12">
      <c r="A11" s="612" t="s">
        <v>214</v>
      </c>
      <c r="B11" s="404">
        <v>8050</v>
      </c>
      <c r="C11" s="404">
        <v>720436</v>
      </c>
      <c r="D11" s="214">
        <v>10992</v>
      </c>
      <c r="E11" s="404">
        <v>3488810</v>
      </c>
      <c r="F11" s="214"/>
      <c r="G11" s="214"/>
      <c r="H11" s="214"/>
      <c r="I11" s="404">
        <f>SUM(B11:H11)</f>
        <v>4228288</v>
      </c>
    </row>
    <row r="12" spans="1:9" ht="12">
      <c r="A12" s="612" t="s">
        <v>215</v>
      </c>
      <c r="B12" s="214">
        <v>40500</v>
      </c>
      <c r="C12" s="214">
        <v>92043</v>
      </c>
      <c r="D12" s="214">
        <v>1081</v>
      </c>
      <c r="E12" s="404">
        <v>564230</v>
      </c>
      <c r="F12" s="214"/>
      <c r="G12" s="214"/>
      <c r="H12" s="214"/>
      <c r="I12" s="404">
        <f aca="true" t="shared" si="0" ref="I12:I43">SUM(B12:H12)</f>
        <v>697854</v>
      </c>
    </row>
    <row r="13" spans="1:9" ht="12" customHeight="1">
      <c r="A13" s="612" t="s">
        <v>216</v>
      </c>
      <c r="B13" s="214">
        <v>3000</v>
      </c>
      <c r="C13" s="214">
        <v>82800</v>
      </c>
      <c r="D13" s="214">
        <v>3063</v>
      </c>
      <c r="E13" s="404">
        <v>343642</v>
      </c>
      <c r="F13" s="214"/>
      <c r="G13" s="214"/>
      <c r="H13" s="214"/>
      <c r="I13" s="404">
        <f t="shared" si="0"/>
        <v>432505</v>
      </c>
    </row>
    <row r="14" spans="1:9" ht="12" customHeight="1">
      <c r="A14" s="612" t="s">
        <v>217</v>
      </c>
      <c r="B14" s="214"/>
      <c r="C14" s="214">
        <v>19966</v>
      </c>
      <c r="D14" s="214">
        <v>192</v>
      </c>
      <c r="E14" s="404">
        <v>265450</v>
      </c>
      <c r="F14" s="214"/>
      <c r="G14" s="214"/>
      <c r="H14" s="214"/>
      <c r="I14" s="404">
        <f t="shared" si="0"/>
        <v>285608</v>
      </c>
    </row>
    <row r="15" spans="1:9" ht="12" customHeight="1">
      <c r="A15" s="612" t="s">
        <v>218</v>
      </c>
      <c r="B15" s="214">
        <v>15000</v>
      </c>
      <c r="C15" s="214">
        <v>107073</v>
      </c>
      <c r="D15" s="214">
        <v>1081</v>
      </c>
      <c r="E15" s="404">
        <v>401746</v>
      </c>
      <c r="F15" s="214">
        <v>8334</v>
      </c>
      <c r="G15" s="214"/>
      <c r="H15" s="214"/>
      <c r="I15" s="404">
        <f t="shared" si="0"/>
        <v>533234</v>
      </c>
    </row>
    <row r="16" spans="1:9" ht="12" customHeight="1">
      <c r="A16" s="612" t="s">
        <v>219</v>
      </c>
      <c r="B16" s="214">
        <v>27500</v>
      </c>
      <c r="C16" s="214">
        <v>77374</v>
      </c>
      <c r="D16" s="214">
        <v>901</v>
      </c>
      <c r="E16" s="214">
        <v>191892</v>
      </c>
      <c r="F16" s="214"/>
      <c r="G16" s="214"/>
      <c r="H16" s="214"/>
      <c r="I16" s="404">
        <f t="shared" si="0"/>
        <v>297667</v>
      </c>
    </row>
    <row r="17" spans="1:9" ht="12" customHeight="1">
      <c r="A17" s="612" t="s">
        <v>220</v>
      </c>
      <c r="C17" s="214">
        <v>7360</v>
      </c>
      <c r="D17" s="214">
        <v>721</v>
      </c>
      <c r="E17" s="404">
        <v>206682</v>
      </c>
      <c r="F17" s="214"/>
      <c r="G17" s="214"/>
      <c r="H17" s="214"/>
      <c r="I17" s="404">
        <f t="shared" si="0"/>
        <v>214763</v>
      </c>
    </row>
    <row r="18" spans="1:9" ht="12" customHeight="1">
      <c r="A18" s="612" t="s">
        <v>223</v>
      </c>
      <c r="B18" s="214">
        <f>4800+1000+5000</f>
        <v>10800</v>
      </c>
      <c r="C18" s="214">
        <v>72506</v>
      </c>
      <c r="D18" s="214">
        <v>721</v>
      </c>
      <c r="E18" s="404">
        <v>287426</v>
      </c>
      <c r="F18" s="214"/>
      <c r="G18" s="214"/>
      <c r="H18" s="214"/>
      <c r="I18" s="404">
        <f t="shared" si="0"/>
        <v>371453</v>
      </c>
    </row>
    <row r="19" spans="1:9" ht="12" customHeight="1">
      <c r="A19" s="612" t="s">
        <v>224</v>
      </c>
      <c r="B19" s="214">
        <f>5000+8000</f>
        <v>13000</v>
      </c>
      <c r="C19" s="214">
        <v>86624</v>
      </c>
      <c r="D19" s="214">
        <v>901</v>
      </c>
      <c r="E19" s="214">
        <v>182962</v>
      </c>
      <c r="F19" s="214"/>
      <c r="G19" s="214"/>
      <c r="H19" s="214"/>
      <c r="I19" s="404">
        <f t="shared" si="0"/>
        <v>283487</v>
      </c>
    </row>
    <row r="20" spans="1:9" ht="12" customHeight="1">
      <c r="A20" s="612" t="s">
        <v>225</v>
      </c>
      <c r="B20" s="214">
        <f>62500</f>
        <v>62500</v>
      </c>
      <c r="C20" s="214">
        <v>70712</v>
      </c>
      <c r="D20" s="214">
        <v>1442</v>
      </c>
      <c r="E20" s="214">
        <v>206602</v>
      </c>
      <c r="F20" s="214"/>
      <c r="G20" s="214"/>
      <c r="H20" s="214"/>
      <c r="I20" s="404">
        <f t="shared" si="0"/>
        <v>341256</v>
      </c>
    </row>
    <row r="21" spans="1:9" ht="12" customHeight="1">
      <c r="A21" s="612" t="s">
        <v>226</v>
      </c>
      <c r="B21" s="214">
        <f>7000+8000+5000</f>
        <v>20000</v>
      </c>
      <c r="C21" s="214">
        <v>118010</v>
      </c>
      <c r="D21" s="214">
        <v>1261</v>
      </c>
      <c r="E21" s="404">
        <v>336461</v>
      </c>
      <c r="F21" s="214"/>
      <c r="G21" s="214"/>
      <c r="H21" s="214"/>
      <c r="I21" s="404">
        <f t="shared" si="0"/>
        <v>475732</v>
      </c>
    </row>
    <row r="22" spans="1:9" ht="12" customHeight="1">
      <c r="A22" s="612" t="s">
        <v>227</v>
      </c>
      <c r="B22" s="214">
        <f>6000+7500+3000</f>
        <v>16500</v>
      </c>
      <c r="C22" s="404">
        <v>213334</v>
      </c>
      <c r="D22" s="214">
        <v>1442</v>
      </c>
      <c r="E22" s="404">
        <v>394872</v>
      </c>
      <c r="F22" s="214">
        <v>8334</v>
      </c>
      <c r="G22" s="214"/>
      <c r="H22" s="214"/>
      <c r="I22" s="404">
        <f t="shared" si="0"/>
        <v>634482</v>
      </c>
    </row>
    <row r="23" spans="1:9" ht="12" customHeight="1">
      <c r="A23" s="612" t="s">
        <v>228</v>
      </c>
      <c r="B23" s="214">
        <f>7300+4000+7000+30000</f>
        <v>48300</v>
      </c>
      <c r="C23" s="214">
        <v>68418</v>
      </c>
      <c r="D23" s="214">
        <v>541</v>
      </c>
      <c r="E23" s="404">
        <v>229926</v>
      </c>
      <c r="F23" s="214">
        <v>8333</v>
      </c>
      <c r="G23" s="214"/>
      <c r="H23" s="214"/>
      <c r="I23" s="404">
        <f t="shared" si="0"/>
        <v>355518</v>
      </c>
    </row>
    <row r="24" spans="1:9" ht="12" customHeight="1">
      <c r="A24" s="612" t="s">
        <v>229</v>
      </c>
      <c r="B24" s="214">
        <f>10550</f>
        <v>10550</v>
      </c>
      <c r="C24" s="214">
        <v>30700</v>
      </c>
      <c r="D24" s="214">
        <v>901</v>
      </c>
      <c r="E24" s="404">
        <v>287070</v>
      </c>
      <c r="F24" s="214"/>
      <c r="G24" s="214"/>
      <c r="H24" s="214"/>
      <c r="I24" s="404">
        <f t="shared" si="0"/>
        <v>329221</v>
      </c>
    </row>
    <row r="25" spans="1:9" ht="12" customHeight="1">
      <c r="A25" s="612" t="s">
        <v>230</v>
      </c>
      <c r="B25" s="214">
        <v>25000</v>
      </c>
      <c r="C25" s="214">
        <v>28400</v>
      </c>
      <c r="D25" s="214">
        <v>541</v>
      </c>
      <c r="E25" s="214">
        <v>199152</v>
      </c>
      <c r="F25" s="214"/>
      <c r="G25" s="214"/>
      <c r="H25" s="214"/>
      <c r="I25" s="404">
        <f t="shared" si="0"/>
        <v>253093</v>
      </c>
    </row>
    <row r="26" spans="1:9" ht="12" customHeight="1">
      <c r="A26" s="612" t="s">
        <v>231</v>
      </c>
      <c r="B26" s="214">
        <f>10000+10000</f>
        <v>20000</v>
      </c>
      <c r="C26" s="214">
        <v>56400</v>
      </c>
      <c r="D26" s="214">
        <v>721</v>
      </c>
      <c r="E26" s="404">
        <v>249520</v>
      </c>
      <c r="F26" s="214">
        <v>8333</v>
      </c>
      <c r="G26" s="214"/>
      <c r="H26" s="214"/>
      <c r="I26" s="404">
        <f t="shared" si="0"/>
        <v>334974</v>
      </c>
    </row>
    <row r="27" spans="1:9" ht="12" customHeight="1">
      <c r="A27" s="612" t="s">
        <v>232</v>
      </c>
      <c r="B27" s="214">
        <f>7000+32150+3000</f>
        <v>42150</v>
      </c>
      <c r="C27" s="214">
        <v>88900</v>
      </c>
      <c r="D27" s="214">
        <v>901</v>
      </c>
      <c r="E27" s="404">
        <v>333192</v>
      </c>
      <c r="F27" s="214"/>
      <c r="G27" s="214"/>
      <c r="H27" s="214"/>
      <c r="I27" s="404">
        <f t="shared" si="0"/>
        <v>465143</v>
      </c>
    </row>
    <row r="28" spans="1:9" ht="12" customHeight="1">
      <c r="A28" s="612" t="s">
        <v>233</v>
      </c>
      <c r="B28" s="214">
        <v>4000</v>
      </c>
      <c r="C28" s="214">
        <v>39000</v>
      </c>
      <c r="D28" s="214">
        <v>573</v>
      </c>
      <c r="E28" s="404">
        <v>238550</v>
      </c>
      <c r="F28" s="214"/>
      <c r="G28" s="214"/>
      <c r="H28" s="214"/>
      <c r="I28" s="404">
        <f t="shared" si="0"/>
        <v>282123</v>
      </c>
    </row>
    <row r="29" spans="1:9" ht="12" customHeight="1">
      <c r="A29" s="612" t="s">
        <v>234</v>
      </c>
      <c r="B29" s="214">
        <f>27000+2000+10000+4500</f>
        <v>43500</v>
      </c>
      <c r="C29" s="214">
        <v>92500</v>
      </c>
      <c r="D29" s="214">
        <v>901</v>
      </c>
      <c r="E29" s="404">
        <v>266288</v>
      </c>
      <c r="F29" s="214"/>
      <c r="G29" s="214"/>
      <c r="H29" s="214"/>
      <c r="I29" s="404">
        <f t="shared" si="0"/>
        <v>403189</v>
      </c>
    </row>
    <row r="30" spans="1:9" ht="12" customHeight="1">
      <c r="A30" s="612" t="s">
        <v>235</v>
      </c>
      <c r="B30" s="214">
        <f>2800</f>
        <v>2800</v>
      </c>
      <c r="C30" s="214">
        <v>102824</v>
      </c>
      <c r="D30" s="214">
        <v>901</v>
      </c>
      <c r="E30" s="404">
        <v>308956</v>
      </c>
      <c r="F30" s="214"/>
      <c r="G30" s="214"/>
      <c r="H30" s="214"/>
      <c r="I30" s="404">
        <f t="shared" si="0"/>
        <v>415481</v>
      </c>
    </row>
    <row r="31" spans="1:9" ht="12" customHeight="1">
      <c r="A31" s="612" t="s">
        <v>236</v>
      </c>
      <c r="B31" s="214">
        <v>4000</v>
      </c>
      <c r="C31" s="214">
        <v>30910</v>
      </c>
      <c r="D31" s="214">
        <v>901</v>
      </c>
      <c r="E31" s="404">
        <v>256274</v>
      </c>
      <c r="F31" s="214"/>
      <c r="G31" s="214"/>
      <c r="H31" s="214"/>
      <c r="I31" s="404">
        <f t="shared" si="0"/>
        <v>292085</v>
      </c>
    </row>
    <row r="32" spans="1:9" ht="12" customHeight="1">
      <c r="A32" s="612" t="s">
        <v>237</v>
      </c>
      <c r="B32" s="214">
        <f>60300+6130+4000</f>
        <v>70430</v>
      </c>
      <c r="C32" s="214">
        <v>30428</v>
      </c>
      <c r="D32" s="214">
        <v>901</v>
      </c>
      <c r="E32" s="404">
        <v>213098</v>
      </c>
      <c r="F32" s="214"/>
      <c r="G32" s="214"/>
      <c r="H32" s="214"/>
      <c r="I32" s="404">
        <f t="shared" si="0"/>
        <v>314857</v>
      </c>
    </row>
    <row r="33" spans="1:9" ht="12" customHeight="1">
      <c r="A33" s="612" t="s">
        <v>238</v>
      </c>
      <c r="B33" s="214">
        <f>91600+1000+1000+1000</f>
        <v>94600</v>
      </c>
      <c r="C33" s="214">
        <v>57328</v>
      </c>
      <c r="D33" s="214">
        <v>1622</v>
      </c>
      <c r="E33" s="404">
        <v>309930</v>
      </c>
      <c r="F33" s="214"/>
      <c r="G33" s="214"/>
      <c r="H33" s="214"/>
      <c r="I33" s="404">
        <f t="shared" si="0"/>
        <v>463480</v>
      </c>
    </row>
    <row r="34" spans="1:9" ht="12" customHeight="1">
      <c r="A34" s="612" t="s">
        <v>239</v>
      </c>
      <c r="B34" s="214">
        <f>8000+40000+1180</f>
        <v>49180</v>
      </c>
      <c r="C34" s="214">
        <v>49186</v>
      </c>
      <c r="D34" s="214">
        <v>1442</v>
      </c>
      <c r="E34" s="404">
        <v>355687</v>
      </c>
      <c r="F34" s="214">
        <v>8334</v>
      </c>
      <c r="G34" s="214"/>
      <c r="H34" s="214"/>
      <c r="I34" s="404">
        <f t="shared" si="0"/>
        <v>463829</v>
      </c>
    </row>
    <row r="35" spans="1:9" ht="12" customHeight="1">
      <c r="A35" s="612" t="s">
        <v>240</v>
      </c>
      <c r="B35" s="214">
        <f>70000+11000</f>
        <v>81000</v>
      </c>
      <c r="C35" s="214">
        <v>104944</v>
      </c>
      <c r="D35" s="214">
        <v>1442</v>
      </c>
      <c r="E35" s="404">
        <v>282484</v>
      </c>
      <c r="F35" s="214"/>
      <c r="G35" s="214"/>
      <c r="H35" s="214"/>
      <c r="I35" s="404">
        <f t="shared" si="0"/>
        <v>469870</v>
      </c>
    </row>
    <row r="36" spans="1:9" ht="12" customHeight="1">
      <c r="A36" s="612" t="s">
        <v>241</v>
      </c>
      <c r="B36" s="214">
        <v>10000</v>
      </c>
      <c r="C36" s="214">
        <v>123924</v>
      </c>
      <c r="D36" s="214">
        <v>901</v>
      </c>
      <c r="E36" s="404">
        <v>293138</v>
      </c>
      <c r="F36" s="214"/>
      <c r="G36" s="214"/>
      <c r="H36" s="214"/>
      <c r="I36" s="404">
        <f t="shared" si="0"/>
        <v>427963</v>
      </c>
    </row>
    <row r="37" spans="1:9" ht="12" customHeight="1">
      <c r="A37" s="612" t="s">
        <v>242</v>
      </c>
      <c r="B37" s="214">
        <f>13000+33000</f>
        <v>46000</v>
      </c>
      <c r="C37" s="214">
        <v>110410</v>
      </c>
      <c r="D37" s="214">
        <v>2883</v>
      </c>
      <c r="E37" s="404">
        <v>704260</v>
      </c>
      <c r="F37" s="214"/>
      <c r="G37" s="214"/>
      <c r="H37" s="214"/>
      <c r="I37" s="404">
        <f t="shared" si="0"/>
        <v>863553</v>
      </c>
    </row>
    <row r="38" spans="1:9" ht="12" customHeight="1">
      <c r="A38" s="612" t="s">
        <v>243</v>
      </c>
      <c r="B38" s="214">
        <f>1000+7000</f>
        <v>8000</v>
      </c>
      <c r="C38" s="214">
        <v>115764</v>
      </c>
      <c r="D38" s="214">
        <v>901</v>
      </c>
      <c r="E38" s="404">
        <v>301473</v>
      </c>
      <c r="F38" s="214"/>
      <c r="G38" s="214"/>
      <c r="H38" s="214"/>
      <c r="I38" s="404">
        <f t="shared" si="0"/>
        <v>426138</v>
      </c>
    </row>
    <row r="39" spans="1:9" ht="12" customHeight="1">
      <c r="A39" s="612" t="s">
        <v>244</v>
      </c>
      <c r="B39" s="214">
        <f>1250+7500+5000+8134</f>
        <v>21884</v>
      </c>
      <c r="C39" s="214">
        <v>53200</v>
      </c>
      <c r="D39" s="214">
        <v>1261</v>
      </c>
      <c r="E39" s="404">
        <v>335842</v>
      </c>
      <c r="F39" s="214"/>
      <c r="G39" s="214"/>
      <c r="H39" s="214"/>
      <c r="I39" s="404">
        <f t="shared" si="0"/>
        <v>412187</v>
      </c>
    </row>
    <row r="40" spans="1:9" ht="12" customHeight="1">
      <c r="A40" s="612" t="s">
        <v>245</v>
      </c>
      <c r="B40" s="404">
        <f>15000+17300+5000+24000</f>
        <v>61300</v>
      </c>
      <c r="C40" s="214">
        <v>145627</v>
      </c>
      <c r="D40" s="214">
        <v>901</v>
      </c>
      <c r="E40" s="404">
        <v>350420</v>
      </c>
      <c r="F40" s="404"/>
      <c r="G40" s="404"/>
      <c r="H40" s="404"/>
      <c r="I40" s="404">
        <f t="shared" si="0"/>
        <v>558248</v>
      </c>
    </row>
    <row r="41" spans="1:9" ht="12" customHeight="1">
      <c r="A41" s="612" t="s">
        <v>246</v>
      </c>
      <c r="B41" s="214">
        <v>1000</v>
      </c>
      <c r="C41" s="214">
        <v>37000</v>
      </c>
      <c r="D41" s="214">
        <v>1442</v>
      </c>
      <c r="E41" s="404">
        <v>214496</v>
      </c>
      <c r="F41" s="404"/>
      <c r="G41" s="404"/>
      <c r="H41" s="404"/>
      <c r="I41" s="404">
        <f t="shared" si="0"/>
        <v>253938</v>
      </c>
    </row>
    <row r="42" spans="1:9" ht="12" customHeight="1">
      <c r="A42" s="612" t="s">
        <v>247</v>
      </c>
      <c r="B42" s="214">
        <v>20000</v>
      </c>
      <c r="C42" s="214">
        <v>173700</v>
      </c>
      <c r="D42" s="214">
        <v>1622</v>
      </c>
      <c r="E42" s="404">
        <v>429270</v>
      </c>
      <c r="F42" s="404"/>
      <c r="G42" s="404"/>
      <c r="H42" s="404"/>
      <c r="I42" s="404">
        <f t="shared" si="0"/>
        <v>624592</v>
      </c>
    </row>
    <row r="43" spans="1:9" ht="12" customHeight="1">
      <c r="A43" s="612" t="s">
        <v>248</v>
      </c>
      <c r="B43" s="214"/>
      <c r="C43" s="214">
        <v>35968</v>
      </c>
      <c r="D43" s="214">
        <v>689</v>
      </c>
      <c r="E43" s="214">
        <v>98758</v>
      </c>
      <c r="F43" s="550"/>
      <c r="G43" s="404"/>
      <c r="H43" s="404"/>
      <c r="I43" s="404">
        <f t="shared" si="0"/>
        <v>135415</v>
      </c>
    </row>
    <row r="44" spans="1:9" ht="12" customHeight="1">
      <c r="A44" s="178" t="s">
        <v>250</v>
      </c>
      <c r="B44" s="640">
        <f>SUM(B11:B43)</f>
        <v>880544</v>
      </c>
      <c r="C44" s="640">
        <f>SUM(C11:C43)</f>
        <v>3243769</v>
      </c>
      <c r="D44" s="640">
        <f>SUM(D11:D43)</f>
        <v>46686</v>
      </c>
      <c r="E44" s="640">
        <f>SUM(E11:E43)</f>
        <v>13128559</v>
      </c>
      <c r="F44" s="640">
        <f>SUM(F11:F43)</f>
        <v>41668</v>
      </c>
      <c r="G44" s="640"/>
      <c r="H44" s="640"/>
      <c r="I44" s="640">
        <f>SUM(I11:I43)</f>
        <v>17341226</v>
      </c>
    </row>
    <row r="45" spans="1:9" ht="17.25" customHeight="1">
      <c r="A45" s="641"/>
      <c r="B45" s="642"/>
      <c r="C45" s="642"/>
      <c r="D45" s="642"/>
      <c r="E45" s="642"/>
      <c r="F45" s="642"/>
      <c r="G45" s="642"/>
      <c r="H45" s="642"/>
      <c r="I45" s="642"/>
    </row>
    <row r="46" spans="1:9" ht="17.25" customHeight="1">
      <c r="A46" s="641"/>
      <c r="B46" s="642"/>
      <c r="C46" s="642"/>
      <c r="D46" s="643"/>
      <c r="E46" s="642"/>
      <c r="F46" s="642"/>
      <c r="G46" s="642"/>
      <c r="H46" s="642"/>
      <c r="I46" s="642"/>
    </row>
    <row r="47" spans="1:9" ht="17.25" customHeight="1">
      <c r="A47" s="641"/>
      <c r="B47" s="642"/>
      <c r="C47" s="642"/>
      <c r="D47" s="642"/>
      <c r="E47" s="642"/>
      <c r="F47" s="642"/>
      <c r="G47" s="642"/>
      <c r="H47" s="642"/>
      <c r="I47" s="642"/>
    </row>
    <row r="48" spans="1:8" ht="17.25" customHeight="1">
      <c r="A48" s="644"/>
      <c r="B48" s="645"/>
      <c r="C48" s="646"/>
      <c r="D48" s="647"/>
      <c r="E48" s="647"/>
      <c r="F48" s="647"/>
      <c r="G48" s="647"/>
      <c r="H48" s="647"/>
    </row>
    <row r="49" spans="1:9" s="493" customFormat="1" ht="17.25" customHeight="1">
      <c r="A49" s="633"/>
      <c r="B49" s="633"/>
      <c r="C49" s="648"/>
      <c r="D49" s="507"/>
      <c r="E49" s="599"/>
      <c r="F49" s="633"/>
      <c r="G49" s="507"/>
      <c r="H49" s="599"/>
      <c r="I49" s="511"/>
    </row>
    <row r="50" spans="1:9" ht="17.25" customHeight="1">
      <c r="A50" s="649"/>
      <c r="B50" s="343"/>
      <c r="C50" s="343"/>
      <c r="D50" s="343"/>
      <c r="E50" s="507"/>
      <c r="F50" s="650"/>
      <c r="G50" s="650"/>
      <c r="H50" s="650"/>
      <c r="I50" s="507"/>
    </row>
    <row r="51" spans="1:7" ht="17.25" customHeight="1">
      <c r="A51" s="64" t="s">
        <v>625</v>
      </c>
      <c r="G51" s="4" t="s">
        <v>348</v>
      </c>
    </row>
    <row r="57" ht="17.25" customHeight="1">
      <c r="A57" s="488" t="s">
        <v>643</v>
      </c>
    </row>
    <row r="58" ht="17.25" customHeight="1">
      <c r="A58" s="488" t="s">
        <v>399</v>
      </c>
    </row>
    <row r="62" ht="17.25" customHeight="1">
      <c r="A62" s="24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1.21" right="0.75" top="0.6" bottom="1" header="0.17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1">
      <selection activeCell="A5" sqref="A5:J5"/>
    </sheetView>
  </sheetViews>
  <sheetFormatPr defaultColWidth="9.140625" defaultRowHeight="12.75"/>
  <cols>
    <col min="1" max="1" width="49.7109375" style="1" hidden="1" customWidth="1"/>
    <col min="2" max="2" width="10.57421875" style="1" hidden="1" customWidth="1"/>
    <col min="3" max="3" width="9.57421875" style="1" hidden="1" customWidth="1"/>
    <col min="4" max="4" width="5.8515625" style="1" hidden="1" customWidth="1"/>
    <col min="5" max="5" width="10.57421875" style="1" hidden="1" customWidth="1"/>
    <col min="6" max="6" width="9.57421875" style="1" hidden="1" customWidth="1"/>
    <col min="7" max="7" width="5.8515625" style="1" hidden="1" customWidth="1"/>
    <col min="8" max="8" width="10.57421875" style="1" hidden="1" customWidth="1"/>
    <col min="9" max="9" width="8.8515625" style="1" hidden="1" customWidth="1"/>
    <col min="10" max="10" width="6.140625" style="1" hidden="1" customWidth="1"/>
    <col min="11" max="11" width="46.28125" style="1" customWidth="1"/>
    <col min="12" max="12" width="9.8515625" style="1" customWidth="1"/>
    <col min="13" max="13" width="9.140625" style="1" customWidth="1"/>
    <col min="14" max="14" width="7.7109375" style="1" customWidth="1"/>
    <col min="15" max="15" width="10.140625" style="1" customWidth="1"/>
    <col min="16" max="16" width="8.8515625" style="1" customWidth="1"/>
    <col min="17" max="17" width="7.8515625" style="1" customWidth="1"/>
    <col min="18" max="18" width="10.140625" style="1" customWidth="1"/>
    <col min="19" max="19" width="8.8515625" style="1" customWidth="1"/>
    <col min="20" max="20" width="8.140625" style="1" customWidth="1"/>
    <col min="21" max="107" width="9.8515625" style="0" customWidth="1"/>
    <col min="108" max="16384" width="9.8515625" style="1" customWidth="1"/>
  </cols>
  <sheetData>
    <row r="1" ht="12.75">
      <c r="T1" s="3" t="s">
        <v>27</v>
      </c>
    </row>
    <row r="2" spans="1:19" ht="17.25" customHeight="1">
      <c r="A2" s="72" t="s">
        <v>483</v>
      </c>
      <c r="B2" s="72"/>
      <c r="C2" s="108"/>
      <c r="D2" s="72"/>
      <c r="E2" s="72"/>
      <c r="F2" s="108"/>
      <c r="G2" s="108"/>
      <c r="H2" s="108"/>
      <c r="I2" s="108"/>
      <c r="K2" s="72" t="s">
        <v>483</v>
      </c>
      <c r="L2" s="72"/>
      <c r="M2" s="108"/>
      <c r="N2" s="72"/>
      <c r="O2" s="72"/>
      <c r="P2" s="108"/>
      <c r="Q2" s="108"/>
      <c r="R2" s="108"/>
      <c r="S2" s="108"/>
    </row>
    <row r="3" spans="1:20" ht="12.75">
      <c r="A3" s="72"/>
      <c r="B3" s="72"/>
      <c r="C3" s="108"/>
      <c r="D3" s="72"/>
      <c r="E3" s="72"/>
      <c r="F3" s="108"/>
      <c r="G3" s="108"/>
      <c r="H3" s="108"/>
      <c r="I3" s="108"/>
      <c r="J3" s="28"/>
      <c r="K3" s="72"/>
      <c r="L3" s="72"/>
      <c r="M3" s="108"/>
      <c r="N3" s="72"/>
      <c r="O3" s="72"/>
      <c r="P3" s="108"/>
      <c r="Q3" s="108"/>
      <c r="R3" s="108"/>
      <c r="S3" s="108"/>
      <c r="T3" s="28"/>
    </row>
    <row r="4" spans="1:20" ht="18.75" customHeight="1">
      <c r="A4" s="623" t="s">
        <v>11</v>
      </c>
      <c r="B4" s="623"/>
      <c r="C4" s="623"/>
      <c r="D4" s="623"/>
      <c r="E4" s="623"/>
      <c r="F4" s="623"/>
      <c r="G4" s="623"/>
      <c r="H4" s="623"/>
      <c r="I4" s="623"/>
      <c r="J4" s="623"/>
      <c r="K4" s="623" t="s">
        <v>11</v>
      </c>
      <c r="L4" s="623"/>
      <c r="M4" s="623"/>
      <c r="N4" s="623"/>
      <c r="O4" s="623"/>
      <c r="P4" s="623"/>
      <c r="Q4" s="623"/>
      <c r="R4" s="623"/>
      <c r="S4" s="623"/>
      <c r="T4" s="623"/>
    </row>
    <row r="5" spans="1:20" ht="18.75" customHeight="1">
      <c r="A5" s="623" t="s">
        <v>28</v>
      </c>
      <c r="B5" s="623"/>
      <c r="C5" s="623"/>
      <c r="D5" s="623"/>
      <c r="E5" s="623"/>
      <c r="F5" s="623"/>
      <c r="G5" s="623"/>
      <c r="H5" s="623"/>
      <c r="I5" s="623"/>
      <c r="J5" s="623"/>
      <c r="K5" s="623" t="s">
        <v>28</v>
      </c>
      <c r="L5" s="623"/>
      <c r="M5" s="623"/>
      <c r="N5" s="623"/>
      <c r="O5" s="623"/>
      <c r="P5" s="623"/>
      <c r="Q5" s="623"/>
      <c r="R5" s="623"/>
      <c r="S5" s="623"/>
      <c r="T5" s="623"/>
    </row>
    <row r="6" spans="1:20" ht="19.5" customHeight="1">
      <c r="A6" s="623" t="s">
        <v>314</v>
      </c>
      <c r="B6" s="623"/>
      <c r="C6" s="623"/>
      <c r="D6" s="623"/>
      <c r="E6" s="623"/>
      <c r="F6" s="623"/>
      <c r="G6" s="623"/>
      <c r="H6" s="623"/>
      <c r="I6" s="623"/>
      <c r="J6" s="623"/>
      <c r="K6" s="487" t="s">
        <v>315</v>
      </c>
      <c r="L6" s="487"/>
      <c r="M6" s="487"/>
      <c r="N6" s="487"/>
      <c r="O6" s="487"/>
      <c r="P6" s="487"/>
      <c r="Q6" s="487"/>
      <c r="R6" s="487"/>
      <c r="S6" s="487"/>
      <c r="T6" s="487"/>
    </row>
    <row r="7" spans="1:20" ht="11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1.25" customHeight="1">
      <c r="A8" s="71"/>
      <c r="B8" s="71"/>
      <c r="C8" s="71"/>
      <c r="D8" s="71"/>
      <c r="E8" s="71"/>
      <c r="F8" s="71"/>
      <c r="G8" s="71"/>
      <c r="H8" s="71"/>
      <c r="I8" s="71"/>
      <c r="J8" s="6" t="s">
        <v>316</v>
      </c>
      <c r="K8" s="71"/>
      <c r="L8" s="71"/>
      <c r="M8" s="71"/>
      <c r="N8" s="71"/>
      <c r="O8" s="71"/>
      <c r="P8" s="71"/>
      <c r="Q8" s="71"/>
      <c r="R8" s="71"/>
      <c r="S8" s="71"/>
      <c r="T8" s="6" t="s">
        <v>317</v>
      </c>
    </row>
    <row r="9" spans="1:20" s="24" customFormat="1" ht="24" customHeight="1">
      <c r="A9" s="454"/>
      <c r="B9" s="706" t="s">
        <v>13</v>
      </c>
      <c r="C9" s="707"/>
      <c r="D9" s="708"/>
      <c r="E9" s="706" t="s">
        <v>14</v>
      </c>
      <c r="F9" s="707"/>
      <c r="G9" s="708"/>
      <c r="H9" s="709" t="s">
        <v>15</v>
      </c>
      <c r="I9" s="710"/>
      <c r="J9" s="711"/>
      <c r="K9" s="454"/>
      <c r="L9" s="706" t="s">
        <v>13</v>
      </c>
      <c r="M9" s="707"/>
      <c r="N9" s="708"/>
      <c r="O9" s="706" t="s">
        <v>14</v>
      </c>
      <c r="P9" s="707"/>
      <c r="Q9" s="708"/>
      <c r="R9" s="709" t="s">
        <v>15</v>
      </c>
      <c r="S9" s="710"/>
      <c r="T9" s="711"/>
    </row>
    <row r="10" spans="1:20" ht="56.25">
      <c r="A10" s="455" t="s">
        <v>318</v>
      </c>
      <c r="B10" s="456" t="s">
        <v>16</v>
      </c>
      <c r="C10" s="34" t="s">
        <v>17</v>
      </c>
      <c r="D10" s="34" t="s">
        <v>18</v>
      </c>
      <c r="E10" s="34" t="s">
        <v>16</v>
      </c>
      <c r="F10" s="34" t="s">
        <v>17</v>
      </c>
      <c r="G10" s="34" t="s">
        <v>19</v>
      </c>
      <c r="H10" s="34" t="s">
        <v>16</v>
      </c>
      <c r="I10" s="34" t="s">
        <v>17</v>
      </c>
      <c r="J10" s="34" t="s">
        <v>20</v>
      </c>
      <c r="K10" s="455" t="s">
        <v>318</v>
      </c>
      <c r="L10" s="456" t="s">
        <v>16</v>
      </c>
      <c r="M10" s="34" t="s">
        <v>17</v>
      </c>
      <c r="N10" s="34" t="s">
        <v>18</v>
      </c>
      <c r="O10" s="34" t="s">
        <v>16</v>
      </c>
      <c r="P10" s="34" t="s">
        <v>17</v>
      </c>
      <c r="Q10" s="34" t="s">
        <v>19</v>
      </c>
      <c r="R10" s="34" t="s">
        <v>16</v>
      </c>
      <c r="S10" s="34" t="s">
        <v>17</v>
      </c>
      <c r="T10" s="34" t="s">
        <v>20</v>
      </c>
    </row>
    <row r="11" spans="1:20" ht="12.75">
      <c r="A11" s="455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455">
        <v>1</v>
      </c>
      <c r="L11" s="34">
        <v>2</v>
      </c>
      <c r="M11" s="34">
        <v>3</v>
      </c>
      <c r="N11" s="34">
        <v>4</v>
      </c>
      <c r="O11" s="34">
        <v>5</v>
      </c>
      <c r="P11" s="34">
        <v>6</v>
      </c>
      <c r="Q11" s="34">
        <v>7</v>
      </c>
      <c r="R11" s="34">
        <v>8</v>
      </c>
      <c r="S11" s="34">
        <v>9</v>
      </c>
      <c r="T11" s="34">
        <v>10</v>
      </c>
    </row>
    <row r="12" spans="1:107" ht="12.75">
      <c r="A12" s="112" t="s">
        <v>21</v>
      </c>
      <c r="B12" s="213">
        <f>B19+B23+B26+B30+B35+B40+B46+B51+B56+B59+B63+B66+B69+B72+B77+B79+B83+B81+B85</f>
        <v>103812481</v>
      </c>
      <c r="C12" s="213">
        <f aca="true" t="shared" si="0" ref="C12:I12">C19+C23+C26+C30+C35+C40+C46+C51+C56+C59+C63+C66+C69+C72+C77+C79+C83+C81+C85</f>
        <v>38276790</v>
      </c>
      <c r="D12" s="457">
        <f aca="true" t="shared" si="1" ref="D12:D75">C12/B12*100</f>
        <v>36.87108682047585</v>
      </c>
      <c r="E12" s="213">
        <f>E19+E23+E26+E30+E35+E40+E46+E51+E56+E59+E63+E66+E69+E72+E77+E79+E83+E81+E85</f>
        <v>100366224</v>
      </c>
      <c r="F12" s="213">
        <f>F19+F23+F26+F30+F35+F40+F46+F51+F56+F59+F63+F66+F69+F72+F77+F79+F83+F81+F85</f>
        <v>33753119</v>
      </c>
      <c r="G12" s="457">
        <f aca="true" t="shared" si="2" ref="G12:G75">F12/E12*100</f>
        <v>33.62995802253156</v>
      </c>
      <c r="H12" s="213">
        <f t="shared" si="0"/>
        <v>145335515</v>
      </c>
      <c r="I12" s="213">
        <f t="shared" si="0"/>
        <v>1745000</v>
      </c>
      <c r="J12" s="457">
        <f>I12/H12*100</f>
        <v>1.2006700495745999</v>
      </c>
      <c r="K12" s="112" t="s">
        <v>21</v>
      </c>
      <c r="L12" s="213">
        <f>L19+L23+L26+L30+L35+L40+L46+L51+L56+L59+L63+L66+L69+L72+L77+L79+L83+L81+L85</f>
        <v>103812</v>
      </c>
      <c r="M12" s="213">
        <f aca="true" t="shared" si="3" ref="M12:S12">M19+M23+M26+M30+M35+M40+M46+M51+M56+M59+M63+M66+M69+M72+M77+M79+M83+M81+M85</f>
        <v>38277</v>
      </c>
      <c r="N12" s="457">
        <f aca="true" t="shared" si="4" ref="N12:N75">M12/L12*100</f>
        <v>36.87145994682696</v>
      </c>
      <c r="O12" s="213">
        <f t="shared" si="3"/>
        <v>100366</v>
      </c>
      <c r="P12" s="213">
        <f t="shared" si="3"/>
        <v>33753</v>
      </c>
      <c r="Q12" s="457">
        <f aca="true" t="shared" si="5" ref="Q12:Q75">P12/O12*100</f>
        <v>33.62991451288285</v>
      </c>
      <c r="R12" s="213">
        <f t="shared" si="3"/>
        <v>145335</v>
      </c>
      <c r="S12" s="213">
        <f t="shared" si="3"/>
        <v>1745</v>
      </c>
      <c r="T12" s="457">
        <f>S12/R12*100</f>
        <v>1.2006743041937593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460" customFormat="1" ht="15" customHeight="1">
      <c r="A13" s="461" t="s">
        <v>22</v>
      </c>
      <c r="B13" s="124">
        <f>B31+B52+B73</f>
        <v>250090</v>
      </c>
      <c r="C13" s="124">
        <f>C31+C52+C73</f>
        <v>0</v>
      </c>
      <c r="D13" s="459">
        <f t="shared" si="1"/>
        <v>0</v>
      </c>
      <c r="E13" s="124">
        <f>E31+E52+E73</f>
        <v>221504</v>
      </c>
      <c r="F13" s="124">
        <f>F31+F52+F73</f>
        <v>0</v>
      </c>
      <c r="G13" s="459">
        <f t="shared" si="2"/>
        <v>0</v>
      </c>
      <c r="H13" s="124">
        <f>H31+H52+H73</f>
        <v>884917</v>
      </c>
      <c r="I13" s="124">
        <f>I31+I52+I73</f>
        <v>0</v>
      </c>
      <c r="J13" s="459">
        <f aca="true" t="shared" si="6" ref="J13:J75">I13/H13*100</f>
        <v>0</v>
      </c>
      <c r="K13" s="461" t="s">
        <v>22</v>
      </c>
      <c r="L13" s="124">
        <f>L31+L52+L73</f>
        <v>250</v>
      </c>
      <c r="M13" s="124">
        <f>M31+M52+M73</f>
        <v>0</v>
      </c>
      <c r="N13" s="459">
        <f t="shared" si="4"/>
        <v>0</v>
      </c>
      <c r="O13" s="124">
        <f>O31+O52+O73</f>
        <v>221</v>
      </c>
      <c r="P13" s="124">
        <f>P31+P52+P73</f>
        <v>0</v>
      </c>
      <c r="Q13" s="459">
        <f t="shared" si="5"/>
        <v>0</v>
      </c>
      <c r="R13" s="124">
        <f>R31+R52+R73</f>
        <v>885</v>
      </c>
      <c r="S13" s="124">
        <f>S31+S52+S73</f>
        <v>0</v>
      </c>
      <c r="T13" s="459">
        <f aca="true" t="shared" si="7" ref="T13:T75">S13/R13*100</f>
        <v>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07" s="460" customFormat="1" ht="15" customHeight="1">
      <c r="A14" s="461" t="s">
        <v>582</v>
      </c>
      <c r="B14" s="124">
        <f>B32+B36+B41+B53+B60+B74</f>
        <v>54157124</v>
      </c>
      <c r="C14" s="124">
        <f>C32+C36+C41+C53+C60+C20+C74</f>
        <v>33757317</v>
      </c>
      <c r="D14" s="459">
        <f t="shared" si="1"/>
        <v>62.33218181969929</v>
      </c>
      <c r="E14" s="124">
        <f>E32+E36+E41+E53+E60+E74</f>
        <v>59438812</v>
      </c>
      <c r="F14" s="124">
        <f>F32+F36+F41+F53+F60+F74+F20</f>
        <v>31206252</v>
      </c>
      <c r="G14" s="459">
        <f t="shared" si="2"/>
        <v>52.50147327978224</v>
      </c>
      <c r="H14" s="124">
        <f>H32+H36+H41+H53+H60+H74</f>
        <v>552321</v>
      </c>
      <c r="I14" s="124">
        <f>I32+I36+I41+I53+I60+I74</f>
        <v>0</v>
      </c>
      <c r="J14" s="459">
        <f t="shared" si="6"/>
        <v>0</v>
      </c>
      <c r="K14" s="461" t="s">
        <v>582</v>
      </c>
      <c r="L14" s="124">
        <f>L32+L36+L41+L53+L60+L74</f>
        <v>54157</v>
      </c>
      <c r="M14" s="124">
        <f>M32+M36+M41+M53+M60+M20+M74</f>
        <v>33757</v>
      </c>
      <c r="N14" s="459">
        <f t="shared" si="4"/>
        <v>62.33173920268848</v>
      </c>
      <c r="O14" s="124">
        <f>O32+O36+O41+O53+O60+O74</f>
        <v>59439</v>
      </c>
      <c r="P14" s="124">
        <f>P32+P36+P41+P53+P60+P74+P20</f>
        <v>31206</v>
      </c>
      <c r="Q14" s="459">
        <f t="shared" si="5"/>
        <v>52.50088325846667</v>
      </c>
      <c r="R14" s="124">
        <f>R32+R36+R41+R53+R60+R74</f>
        <v>552</v>
      </c>
      <c r="S14" s="124">
        <f>S32+S36+S41+S53+S60+S74+S20</f>
        <v>0</v>
      </c>
      <c r="T14" s="459">
        <f t="shared" si="7"/>
        <v>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</row>
    <row r="15" spans="1:107" s="19" customFormat="1" ht="13.5" customHeight="1">
      <c r="A15" s="120" t="s">
        <v>23</v>
      </c>
      <c r="B15" s="124">
        <f>B21+B24+B27+B33+B37+B42+B47+B54+B57+B61+B64+B67+B70+B75+B78+B80</f>
        <v>6665290</v>
      </c>
      <c r="C15" s="124">
        <f>C21+C24+C27+C33+C37+C42+C47+C54+C57+C61+C64+C67+C70+C75+C78+C80</f>
        <v>2540840</v>
      </c>
      <c r="D15" s="459">
        <f t="shared" si="1"/>
        <v>38.12047187744269</v>
      </c>
      <c r="E15" s="124">
        <f>E21+E24+E27+E33+E37+E42+E47+E54+E57+E61+E64+E67+E70+E75+E78+E80</f>
        <v>4960075</v>
      </c>
      <c r="F15" s="124">
        <f>F21+F24+F27+F33+F37+F42+F47+F54+F57+F61+F64+F67+F70+F75+F78+F80</f>
        <v>1651840</v>
      </c>
      <c r="G15" s="459">
        <f t="shared" si="2"/>
        <v>33.30272223706295</v>
      </c>
      <c r="H15" s="124">
        <f>H21+H24+H27+H33+H37+H42+H47+H54+H57+H61+H64+H67+H70+H75+H78+H80</f>
        <v>10717433</v>
      </c>
      <c r="I15" s="124">
        <f>I21+I24+I27+I33+I37+I42+I47+I54+I57+I61+I64+I67+I70+I75+I78+I80</f>
        <v>50000</v>
      </c>
      <c r="J15" s="459">
        <f t="shared" si="6"/>
        <v>0.46652962514437923</v>
      </c>
      <c r="K15" s="120" t="s">
        <v>23</v>
      </c>
      <c r="L15" s="124">
        <f>L21+L24+L27+L33+L37+L42+L47+L54+L57+L61+L64+L67+L70+L75+L78+L80</f>
        <v>6665</v>
      </c>
      <c r="M15" s="124">
        <f>M21+M24+M27+M33+M37+M42+M47+M54+M57+M61+M64+M67+M70+M75+M78+M80</f>
        <v>2541</v>
      </c>
      <c r="N15" s="459">
        <f t="shared" si="4"/>
        <v>38.1245311327832</v>
      </c>
      <c r="O15" s="124">
        <f>O21+O24+O27+O33+O37+O42+O47+O54+O57+O61+O64+O67+O70+O75+O78+O80</f>
        <v>4960</v>
      </c>
      <c r="P15" s="124">
        <f>P21+P24+P27+P33+P37+P42+P47+P54+P57+P61+P64+P67+P70+P75+P78+P80</f>
        <v>1652</v>
      </c>
      <c r="Q15" s="459">
        <f t="shared" si="5"/>
        <v>33.306451612903224</v>
      </c>
      <c r="R15" s="124">
        <f>R21+R24+R27+R33+R37+R42+R47+R54+R57+R61+R64+R67+R70+R75+R78+R80</f>
        <v>10717</v>
      </c>
      <c r="S15" s="124">
        <f>S21+S24+S27+S33+S37+S42+S47+S54+S57+S61+S64+S67+S70+S75+S78+S80</f>
        <v>50</v>
      </c>
      <c r="T15" s="459">
        <f t="shared" si="7"/>
        <v>0.4665484743864887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</row>
    <row r="16" spans="1:107" s="19" customFormat="1" ht="14.25" customHeight="1">
      <c r="A16" s="120" t="s">
        <v>593</v>
      </c>
      <c r="B16" s="124">
        <f>B25+B38+B43+B48+B55+B58+B62+B65+B68+B71+B76+B84+B86</f>
        <v>37789881</v>
      </c>
      <c r="C16" s="124">
        <f aca="true" t="shared" si="8" ref="C16:I16">C25+C38+C43+C48+C55+C58+C62+C65+C68+C71+C76+C84+C86</f>
        <v>1774662</v>
      </c>
      <c r="D16" s="459">
        <f t="shared" si="1"/>
        <v>4.696130162463332</v>
      </c>
      <c r="E16" s="124">
        <f>E25+E38+E43+E48+E55+E58+E62+E65+E68+E71+E76+E84+E86</f>
        <v>33023681</v>
      </c>
      <c r="F16" s="124">
        <f t="shared" si="8"/>
        <v>872000</v>
      </c>
      <c r="G16" s="459">
        <f t="shared" si="2"/>
        <v>2.6405293825361262</v>
      </c>
      <c r="H16" s="124">
        <f t="shared" si="8"/>
        <v>124710064</v>
      </c>
      <c r="I16" s="124">
        <f t="shared" si="8"/>
        <v>1695000</v>
      </c>
      <c r="J16" s="459">
        <f t="shared" si="6"/>
        <v>1.3591525380020655</v>
      </c>
      <c r="K16" s="120" t="s">
        <v>593</v>
      </c>
      <c r="L16" s="124">
        <f>L25+L38+L43+L48+L55+L58+L62+L65+L68+L71+L76+L84+L86</f>
        <v>37790</v>
      </c>
      <c r="M16" s="124">
        <f aca="true" t="shared" si="9" ref="M16:S16">M25+M38+M43+M48+M55+M58+M62+M65+M68+M71+M76+M84+M86</f>
        <v>1775</v>
      </c>
      <c r="N16" s="459">
        <f t="shared" si="4"/>
        <v>4.697009790949987</v>
      </c>
      <c r="O16" s="124">
        <f t="shared" si="9"/>
        <v>33024</v>
      </c>
      <c r="P16" s="124">
        <f t="shared" si="9"/>
        <v>872</v>
      </c>
      <c r="Q16" s="459">
        <f t="shared" si="5"/>
        <v>2.6405038759689923</v>
      </c>
      <c r="R16" s="124">
        <f t="shared" si="9"/>
        <v>124710</v>
      </c>
      <c r="S16" s="124">
        <f t="shared" si="9"/>
        <v>1695</v>
      </c>
      <c r="T16" s="459">
        <f t="shared" si="7"/>
        <v>1.3591532355063747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s="19" customFormat="1" ht="14.25" customHeight="1">
      <c r="A17" s="461" t="s">
        <v>29</v>
      </c>
      <c r="B17" s="124">
        <f>B28+B44+B49</f>
        <v>269904</v>
      </c>
      <c r="C17" s="124">
        <f>C28+C44+C49+C22</f>
        <v>28171</v>
      </c>
      <c r="D17" s="459">
        <f t="shared" si="1"/>
        <v>10.437414784515976</v>
      </c>
      <c r="E17" s="124">
        <f>E28+E44+E49</f>
        <v>149500</v>
      </c>
      <c r="F17" s="124">
        <f>F28+F44+F49+F22</f>
        <v>23027</v>
      </c>
      <c r="G17" s="459">
        <f t="shared" si="2"/>
        <v>15.402675585284282</v>
      </c>
      <c r="H17" s="124">
        <f>H28+H44+H49</f>
        <v>9600</v>
      </c>
      <c r="I17" s="124">
        <f>I28+I44+I49</f>
        <v>0</v>
      </c>
      <c r="J17" s="459">
        <f t="shared" si="6"/>
        <v>0</v>
      </c>
      <c r="K17" s="461" t="s">
        <v>29</v>
      </c>
      <c r="L17" s="124">
        <f>L28+L44+L49</f>
        <v>270</v>
      </c>
      <c r="M17" s="124">
        <f>M28+M44+M22+M49</f>
        <v>28</v>
      </c>
      <c r="N17" s="459">
        <f t="shared" si="4"/>
        <v>10.37037037037037</v>
      </c>
      <c r="O17" s="124">
        <f>O28+O44+O49</f>
        <v>149</v>
      </c>
      <c r="P17" s="124">
        <f>P28+P44+P49+P22</f>
        <v>23</v>
      </c>
      <c r="Q17" s="459">
        <f t="shared" si="5"/>
        <v>15.436241610738255</v>
      </c>
      <c r="R17" s="124">
        <f>R28+R44+R49</f>
        <v>10</v>
      </c>
      <c r="S17" s="124">
        <f>S28+S44+S49+S22</f>
        <v>0</v>
      </c>
      <c r="T17" s="459">
        <f t="shared" si="7"/>
        <v>0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s="19" customFormat="1" ht="13.5" customHeight="1">
      <c r="A18" s="120" t="s">
        <v>30</v>
      </c>
      <c r="B18" s="124">
        <f>B29+B34+B39+B45+B50+B82</f>
        <v>4680192</v>
      </c>
      <c r="C18" s="124">
        <f aca="true" t="shared" si="10" ref="C18:I18">C29+C34+C39+C45+C50+C82</f>
        <v>175800</v>
      </c>
      <c r="D18" s="459">
        <f t="shared" si="1"/>
        <v>3.756256153593699</v>
      </c>
      <c r="E18" s="124">
        <f t="shared" si="10"/>
        <v>2572652</v>
      </c>
      <c r="F18" s="124">
        <f t="shared" si="10"/>
        <v>0</v>
      </c>
      <c r="G18" s="459">
        <f t="shared" si="2"/>
        <v>0</v>
      </c>
      <c r="H18" s="124">
        <f t="shared" si="10"/>
        <v>8461180</v>
      </c>
      <c r="I18" s="124">
        <f t="shared" si="10"/>
        <v>0</v>
      </c>
      <c r="J18" s="459">
        <f t="shared" si="6"/>
        <v>0</v>
      </c>
      <c r="K18" s="120" t="s">
        <v>30</v>
      </c>
      <c r="L18" s="124">
        <f>L29+L34+L39+L45+L50+L82</f>
        <v>4680</v>
      </c>
      <c r="M18" s="124">
        <f aca="true" t="shared" si="11" ref="M18:S18">M29+M34+M39+M45+M50+M82</f>
        <v>176</v>
      </c>
      <c r="N18" s="459">
        <f t="shared" si="4"/>
        <v>3.7606837606837606</v>
      </c>
      <c r="O18" s="124">
        <f t="shared" si="11"/>
        <v>2573</v>
      </c>
      <c r="P18" s="124">
        <f t="shared" si="11"/>
        <v>0</v>
      </c>
      <c r="Q18" s="459">
        <f t="shared" si="5"/>
        <v>0</v>
      </c>
      <c r="R18" s="124">
        <f t="shared" si="11"/>
        <v>8461</v>
      </c>
      <c r="S18" s="124">
        <f t="shared" si="11"/>
        <v>0</v>
      </c>
      <c r="T18" s="459">
        <f t="shared" si="7"/>
        <v>0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s="123" customFormat="1" ht="12.75">
      <c r="A19" s="120" t="s">
        <v>500</v>
      </c>
      <c r="B19" s="36">
        <f>B21</f>
        <v>77100</v>
      </c>
      <c r="C19" s="36">
        <f>SUM(C20:C22)</f>
        <v>31402</v>
      </c>
      <c r="D19" s="462">
        <f>C19/B19*100</f>
        <v>40.728923476005185</v>
      </c>
      <c r="E19" s="36">
        <f>E21</f>
        <v>80000</v>
      </c>
      <c r="F19" s="36">
        <f>SUM(F20:F22)</f>
        <v>23841</v>
      </c>
      <c r="G19" s="462">
        <f>F19/E19*100</f>
        <v>29.801250000000003</v>
      </c>
      <c r="H19" s="36">
        <f>H21</f>
        <v>0</v>
      </c>
      <c r="I19" s="36">
        <f>I21</f>
        <v>0</v>
      </c>
      <c r="J19" s="462" t="e">
        <f>I19/H19*100</f>
        <v>#DIV/0!</v>
      </c>
      <c r="K19" s="120" t="s">
        <v>500</v>
      </c>
      <c r="L19" s="36">
        <f>L21</f>
        <v>77</v>
      </c>
      <c r="M19" s="36">
        <f>SUM(M20:M22)</f>
        <v>31</v>
      </c>
      <c r="N19" s="462">
        <f>M19/L19*100</f>
        <v>40.25974025974026</v>
      </c>
      <c r="O19" s="36">
        <f>O21</f>
        <v>80</v>
      </c>
      <c r="P19" s="36">
        <f>SUM(P20:P22)</f>
        <v>24</v>
      </c>
      <c r="Q19" s="462">
        <f>P19/O19*100</f>
        <v>30</v>
      </c>
      <c r="R19" s="36">
        <f>R21</f>
        <v>0</v>
      </c>
      <c r="S19" s="36">
        <f>S21</f>
        <v>0</v>
      </c>
      <c r="T19" s="462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s="123" customFormat="1" ht="12.75">
      <c r="A20" s="128" t="s">
        <v>582</v>
      </c>
      <c r="B20" s="52"/>
      <c r="C20" s="52">
        <v>3231</v>
      </c>
      <c r="D20" s="463" t="e">
        <f t="shared" si="1"/>
        <v>#DIV/0!</v>
      </c>
      <c r="E20" s="52"/>
      <c r="F20" s="52">
        <v>814</v>
      </c>
      <c r="G20" s="463" t="e">
        <f t="shared" si="2"/>
        <v>#DIV/0!</v>
      </c>
      <c r="H20" s="52"/>
      <c r="I20" s="52"/>
      <c r="J20" s="463"/>
      <c r="K20" s="128" t="s">
        <v>582</v>
      </c>
      <c r="L20" s="52"/>
      <c r="M20" s="52">
        <f>ROUND(C20/1000,0)</f>
        <v>3</v>
      </c>
      <c r="N20" s="463"/>
      <c r="O20" s="52"/>
      <c r="P20" s="52">
        <f>ROUND(F20/1000,0)</f>
        <v>1</v>
      </c>
      <c r="Q20" s="463"/>
      <c r="R20" s="52"/>
      <c r="S20" s="52"/>
      <c r="T20" s="463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s="123" customFormat="1" ht="12.75">
      <c r="A21" s="128" t="s">
        <v>23</v>
      </c>
      <c r="B21" s="52">
        <v>77100</v>
      </c>
      <c r="C21" s="52"/>
      <c r="D21" s="463">
        <f t="shared" si="1"/>
        <v>0</v>
      </c>
      <c r="E21" s="52">
        <v>80000</v>
      </c>
      <c r="F21" s="52"/>
      <c r="G21" s="463">
        <f t="shared" si="2"/>
        <v>0</v>
      </c>
      <c r="H21" s="52"/>
      <c r="I21" s="52"/>
      <c r="J21" s="463" t="e">
        <f t="shared" si="6"/>
        <v>#DIV/0!</v>
      </c>
      <c r="K21" s="128" t="s">
        <v>23</v>
      </c>
      <c r="L21" s="52">
        <f>ROUND(B21/1000,0)</f>
        <v>77</v>
      </c>
      <c r="M21" s="52">
        <f>ROUND(C21/1000,0)</f>
        <v>0</v>
      </c>
      <c r="N21" s="463">
        <f t="shared" si="4"/>
        <v>0</v>
      </c>
      <c r="O21" s="52">
        <f>ROUND(E21/1000,0)</f>
        <v>80</v>
      </c>
      <c r="P21" s="52">
        <f>ROUND(F21/1000,0)</f>
        <v>0</v>
      </c>
      <c r="Q21" s="463">
        <f t="shared" si="5"/>
        <v>0</v>
      </c>
      <c r="R21" s="52">
        <f>ROUND(H21/1000,0)</f>
        <v>0</v>
      </c>
      <c r="S21" s="52">
        <f>ROUND(I21/1000,0)</f>
        <v>0</v>
      </c>
      <c r="T21" s="463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07" s="123" customFormat="1" ht="12.75">
      <c r="A22" s="128" t="s">
        <v>29</v>
      </c>
      <c r="B22" s="52"/>
      <c r="C22" s="52">
        <v>28171</v>
      </c>
      <c r="D22" s="463" t="e">
        <f t="shared" si="1"/>
        <v>#DIV/0!</v>
      </c>
      <c r="E22" s="52"/>
      <c r="F22" s="52">
        <v>23027</v>
      </c>
      <c r="G22" s="463" t="e">
        <f t="shared" si="2"/>
        <v>#DIV/0!</v>
      </c>
      <c r="H22" s="52"/>
      <c r="I22" s="52"/>
      <c r="J22" s="463"/>
      <c r="K22" s="128" t="s">
        <v>29</v>
      </c>
      <c r="L22" s="52"/>
      <c r="M22" s="52">
        <f>ROUND(C22/1000,0)</f>
        <v>28</v>
      </c>
      <c r="N22" s="463"/>
      <c r="O22" s="52"/>
      <c r="P22" s="52">
        <f>ROUND(F22/1000,0)</f>
        <v>23</v>
      </c>
      <c r="Q22" s="463"/>
      <c r="R22" s="52"/>
      <c r="S22" s="52"/>
      <c r="T22" s="463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</row>
    <row r="23" spans="1:20" ht="12.75">
      <c r="A23" s="19" t="s">
        <v>608</v>
      </c>
      <c r="B23" s="126">
        <f>SUM(B24:B25)</f>
        <v>3445510</v>
      </c>
      <c r="C23" s="126">
        <f aca="true" t="shared" si="12" ref="C23:I23">SUM(C24:C25)</f>
        <v>0</v>
      </c>
      <c r="D23" s="462">
        <f t="shared" si="1"/>
        <v>0</v>
      </c>
      <c r="E23" s="126">
        <f t="shared" si="12"/>
        <v>3279510</v>
      </c>
      <c r="F23" s="126">
        <f t="shared" si="12"/>
        <v>0</v>
      </c>
      <c r="G23" s="462">
        <f t="shared" si="2"/>
        <v>0</v>
      </c>
      <c r="H23" s="126">
        <f t="shared" si="12"/>
        <v>7392100</v>
      </c>
      <c r="I23" s="126">
        <f t="shared" si="12"/>
        <v>0</v>
      </c>
      <c r="J23" s="462">
        <f t="shared" si="6"/>
        <v>0</v>
      </c>
      <c r="K23" s="19" t="s">
        <v>608</v>
      </c>
      <c r="L23" s="126">
        <f aca="true" t="shared" si="13" ref="L23:S23">SUM(L24:L25)</f>
        <v>3445</v>
      </c>
      <c r="M23" s="126">
        <f t="shared" si="13"/>
        <v>0</v>
      </c>
      <c r="N23" s="462">
        <f t="shared" si="4"/>
        <v>0</v>
      </c>
      <c r="O23" s="126">
        <f t="shared" si="13"/>
        <v>3280</v>
      </c>
      <c r="P23" s="126">
        <f t="shared" si="13"/>
        <v>0</v>
      </c>
      <c r="Q23" s="462">
        <f t="shared" si="5"/>
        <v>0</v>
      </c>
      <c r="R23" s="126">
        <f t="shared" si="13"/>
        <v>7392</v>
      </c>
      <c r="S23" s="126">
        <f t="shared" si="13"/>
        <v>0</v>
      </c>
      <c r="T23" s="462">
        <f t="shared" si="7"/>
        <v>0</v>
      </c>
    </row>
    <row r="24" spans="1:107" s="123" customFormat="1" ht="12.75">
      <c r="A24" s="128" t="s">
        <v>23</v>
      </c>
      <c r="B24" s="52">
        <v>4510</v>
      </c>
      <c r="C24" s="52"/>
      <c r="D24" s="463">
        <f t="shared" si="1"/>
        <v>0</v>
      </c>
      <c r="E24" s="52">
        <v>4510</v>
      </c>
      <c r="F24" s="52"/>
      <c r="G24" s="463"/>
      <c r="H24" s="52"/>
      <c r="I24" s="52"/>
      <c r="J24" s="463"/>
      <c r="K24" s="128" t="s">
        <v>23</v>
      </c>
      <c r="L24" s="52">
        <f>ROUND(B24/1000,0)-1</f>
        <v>4</v>
      </c>
      <c r="M24" s="52">
        <f aca="true" t="shared" si="14" ref="M24:S25">ROUND(C24/1000,0)</f>
        <v>0</v>
      </c>
      <c r="N24" s="463">
        <f t="shared" si="4"/>
        <v>0</v>
      </c>
      <c r="O24" s="52">
        <f t="shared" si="14"/>
        <v>5</v>
      </c>
      <c r="P24" s="52">
        <f t="shared" si="14"/>
        <v>0</v>
      </c>
      <c r="Q24" s="463">
        <f t="shared" si="5"/>
        <v>0</v>
      </c>
      <c r="R24" s="52">
        <f t="shared" si="14"/>
        <v>0</v>
      </c>
      <c r="S24" s="52">
        <f t="shared" si="14"/>
        <v>0</v>
      </c>
      <c r="T24" s="463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s="123" customFormat="1" ht="12.75">
      <c r="A25" s="128" t="s">
        <v>593</v>
      </c>
      <c r="B25" s="52">
        <v>3441000</v>
      </c>
      <c r="D25" s="463">
        <f t="shared" si="1"/>
        <v>0</v>
      </c>
      <c r="E25" s="52">
        <v>3275000</v>
      </c>
      <c r="F25" s="52"/>
      <c r="G25" s="463">
        <f t="shared" si="2"/>
        <v>0</v>
      </c>
      <c r="H25" s="52">
        <v>7392100</v>
      </c>
      <c r="I25" s="52"/>
      <c r="J25" s="463">
        <f t="shared" si="6"/>
        <v>0</v>
      </c>
      <c r="K25" s="128" t="s">
        <v>593</v>
      </c>
      <c r="L25" s="52">
        <f>ROUND(B25/1000,0)</f>
        <v>3441</v>
      </c>
      <c r="M25" s="52">
        <f t="shared" si="14"/>
        <v>0</v>
      </c>
      <c r="N25" s="463">
        <f t="shared" si="4"/>
        <v>0</v>
      </c>
      <c r="O25" s="52">
        <f t="shared" si="14"/>
        <v>3275</v>
      </c>
      <c r="P25" s="52">
        <f t="shared" si="14"/>
        <v>0</v>
      </c>
      <c r="Q25" s="463">
        <f t="shared" si="5"/>
        <v>0</v>
      </c>
      <c r="R25" s="52">
        <f t="shared" si="14"/>
        <v>7392</v>
      </c>
      <c r="S25" s="52">
        <f t="shared" si="14"/>
        <v>0</v>
      </c>
      <c r="T25" s="463">
        <f t="shared" si="7"/>
        <v>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20" ht="12.75">
      <c r="A26" s="19" t="s">
        <v>504</v>
      </c>
      <c r="B26" s="126">
        <f>SUM(B27:B29)</f>
        <v>1416488</v>
      </c>
      <c r="C26" s="126">
        <f>SUM(C27:C29)</f>
        <v>1651840</v>
      </c>
      <c r="D26" s="462">
        <f t="shared" si="1"/>
        <v>116.61517782007331</v>
      </c>
      <c r="E26" s="126">
        <f>SUM(E27:E29)</f>
        <v>687936</v>
      </c>
      <c r="F26" s="126">
        <f>SUM(F27:F29)</f>
        <v>1651840</v>
      </c>
      <c r="G26" s="462">
        <f t="shared" si="2"/>
        <v>240.11535956833194</v>
      </c>
      <c r="H26" s="126">
        <f>SUM(H27:H29)</f>
        <v>893064</v>
      </c>
      <c r="I26" s="126">
        <f>SUM(I27:I29)</f>
        <v>0</v>
      </c>
      <c r="J26" s="462">
        <f t="shared" si="6"/>
        <v>0</v>
      </c>
      <c r="K26" s="19" t="s">
        <v>504</v>
      </c>
      <c r="L26" s="126">
        <f>SUM(L27:L29)</f>
        <v>1417</v>
      </c>
      <c r="M26" s="126">
        <f>SUM(M27:M29)</f>
        <v>1652</v>
      </c>
      <c r="N26" s="462">
        <f t="shared" si="4"/>
        <v>116.58433309809458</v>
      </c>
      <c r="O26" s="126">
        <f>SUM(O27:O29)</f>
        <v>688</v>
      </c>
      <c r="P26" s="126">
        <f>SUM(P27:P29)</f>
        <v>1652</v>
      </c>
      <c r="Q26" s="462">
        <f t="shared" si="5"/>
        <v>240.11627906976742</v>
      </c>
      <c r="R26" s="126">
        <f>SUM(R27:R29)</f>
        <v>894</v>
      </c>
      <c r="S26" s="126">
        <f>SUM(S27:S29)</f>
        <v>0</v>
      </c>
      <c r="T26" s="462">
        <f t="shared" si="7"/>
        <v>0</v>
      </c>
    </row>
    <row r="27" spans="1:107" s="123" customFormat="1" ht="12.75">
      <c r="A27" s="128" t="s">
        <v>23</v>
      </c>
      <c r="B27" s="52">
        <v>1388740</v>
      </c>
      <c r="C27" s="52">
        <v>1651840</v>
      </c>
      <c r="D27" s="463">
        <f t="shared" si="1"/>
        <v>118.94523092875555</v>
      </c>
      <c r="E27" s="52">
        <v>660740</v>
      </c>
      <c r="F27" s="52">
        <v>1651840</v>
      </c>
      <c r="G27" s="463">
        <f t="shared" si="2"/>
        <v>249.9984865453885</v>
      </c>
      <c r="H27" s="52">
        <v>654740</v>
      </c>
      <c r="I27" s="52"/>
      <c r="J27" s="463">
        <f t="shared" si="6"/>
        <v>0</v>
      </c>
      <c r="K27" s="128" t="s">
        <v>23</v>
      </c>
      <c r="L27" s="52">
        <f aca="true" t="shared" si="15" ref="L27:M29">ROUND(B27/1000,0)</f>
        <v>1389</v>
      </c>
      <c r="M27" s="52">
        <f t="shared" si="15"/>
        <v>1652</v>
      </c>
      <c r="N27" s="463">
        <f t="shared" si="4"/>
        <v>118.93448524118071</v>
      </c>
      <c r="O27" s="52">
        <f aca="true" t="shared" si="16" ref="O27:P29">ROUND(E27/1000,0)</f>
        <v>661</v>
      </c>
      <c r="P27" s="52">
        <f t="shared" si="16"/>
        <v>1652</v>
      </c>
      <c r="Q27" s="463">
        <f t="shared" si="5"/>
        <v>249.92435703479578</v>
      </c>
      <c r="R27" s="52">
        <f aca="true" t="shared" si="17" ref="R27:S29">ROUND(H27/1000,0)</f>
        <v>655</v>
      </c>
      <c r="S27" s="52">
        <f t="shared" si="17"/>
        <v>0</v>
      </c>
      <c r="T27" s="463">
        <f t="shared" si="7"/>
        <v>0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pans="1:107" s="123" customFormat="1" ht="12.75">
      <c r="A28" s="128" t="s">
        <v>29</v>
      </c>
      <c r="B28" s="52">
        <v>2400</v>
      </c>
      <c r="C28" s="52"/>
      <c r="D28" s="463">
        <f t="shared" si="1"/>
        <v>0</v>
      </c>
      <c r="E28" s="52">
        <v>2400</v>
      </c>
      <c r="F28" s="52"/>
      <c r="G28" s="463">
        <f t="shared" si="2"/>
        <v>0</v>
      </c>
      <c r="H28" s="52">
        <v>9600</v>
      </c>
      <c r="I28" s="52"/>
      <c r="J28" s="463">
        <f t="shared" si="6"/>
        <v>0</v>
      </c>
      <c r="K28" s="475" t="s">
        <v>29</v>
      </c>
      <c r="L28" s="52">
        <f>ROUND(B28/1000,0)+1</f>
        <v>3</v>
      </c>
      <c r="M28" s="52">
        <f t="shared" si="15"/>
        <v>0</v>
      </c>
      <c r="N28" s="463">
        <f t="shared" si="4"/>
        <v>0</v>
      </c>
      <c r="O28" s="52">
        <f t="shared" si="16"/>
        <v>2</v>
      </c>
      <c r="P28" s="52">
        <f t="shared" si="16"/>
        <v>0</v>
      </c>
      <c r="Q28" s="463">
        <f t="shared" si="5"/>
        <v>0</v>
      </c>
      <c r="R28" s="52">
        <f t="shared" si="17"/>
        <v>10</v>
      </c>
      <c r="S28" s="52">
        <f t="shared" si="17"/>
        <v>0</v>
      </c>
      <c r="T28" s="463">
        <f t="shared" si="7"/>
        <v>0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</row>
    <row r="29" spans="1:107" s="131" customFormat="1" ht="12.75">
      <c r="A29" s="128" t="s">
        <v>30</v>
      </c>
      <c r="B29" s="52">
        <v>25348</v>
      </c>
      <c r="C29" s="52"/>
      <c r="D29" s="463">
        <f t="shared" si="1"/>
        <v>0</v>
      </c>
      <c r="E29" s="52">
        <v>24796</v>
      </c>
      <c r="F29" s="52"/>
      <c r="G29" s="463">
        <f t="shared" si="2"/>
        <v>0</v>
      </c>
      <c r="H29" s="52">
        <v>228724</v>
      </c>
      <c r="I29" s="52"/>
      <c r="J29" s="476">
        <f t="shared" si="6"/>
        <v>0</v>
      </c>
      <c r="K29" s="128" t="s">
        <v>30</v>
      </c>
      <c r="L29" s="477">
        <f t="shared" si="15"/>
        <v>25</v>
      </c>
      <c r="M29" s="52">
        <f t="shared" si="15"/>
        <v>0</v>
      </c>
      <c r="N29" s="463">
        <f t="shared" si="4"/>
        <v>0</v>
      </c>
      <c r="O29" s="52">
        <f t="shared" si="16"/>
        <v>25</v>
      </c>
      <c r="P29" s="52">
        <f t="shared" si="16"/>
        <v>0</v>
      </c>
      <c r="Q29" s="463">
        <f t="shared" si="5"/>
        <v>0</v>
      </c>
      <c r="R29" s="52">
        <f t="shared" si="17"/>
        <v>229</v>
      </c>
      <c r="S29" s="52">
        <f t="shared" si="17"/>
        <v>0</v>
      </c>
      <c r="T29" s="463">
        <f t="shared" si="7"/>
        <v>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</row>
    <row r="30" spans="1:20" ht="12.75">
      <c r="A30" s="19" t="s">
        <v>505</v>
      </c>
      <c r="B30" s="126">
        <f>SUM(B31:B34)</f>
        <v>971281</v>
      </c>
      <c r="C30" s="126">
        <f>SUM(C31:C34)</f>
        <v>0</v>
      </c>
      <c r="D30" s="462">
        <f t="shared" si="1"/>
        <v>0</v>
      </c>
      <c r="E30" s="126">
        <f>SUM(E31:E34)</f>
        <v>987980</v>
      </c>
      <c r="F30" s="126">
        <f>SUM(F31:F34)</f>
        <v>0</v>
      </c>
      <c r="G30" s="462">
        <f t="shared" si="2"/>
        <v>0</v>
      </c>
      <c r="H30" s="126">
        <f>SUM(H31:H34)</f>
        <v>4179644</v>
      </c>
      <c r="I30" s="126">
        <f>SUM(I31:I34)</f>
        <v>0</v>
      </c>
      <c r="J30" s="462">
        <f t="shared" si="6"/>
        <v>0</v>
      </c>
      <c r="K30" s="478" t="s">
        <v>505</v>
      </c>
      <c r="L30" s="126">
        <f>SUM(L31:L34)</f>
        <v>971</v>
      </c>
      <c r="M30" s="126">
        <f>SUM(M31:M34)</f>
        <v>0</v>
      </c>
      <c r="N30" s="462">
        <f t="shared" si="4"/>
        <v>0</v>
      </c>
      <c r="O30" s="126">
        <f>SUM(O31:O34)</f>
        <v>988</v>
      </c>
      <c r="P30" s="126">
        <f>SUM(P31:P34)</f>
        <v>0</v>
      </c>
      <c r="Q30" s="462">
        <f t="shared" si="5"/>
        <v>0</v>
      </c>
      <c r="R30" s="126">
        <f>SUM(R31:R34)</f>
        <v>4180</v>
      </c>
      <c r="S30" s="126">
        <f>SUM(S31:S34)</f>
        <v>0</v>
      </c>
      <c r="T30" s="462">
        <f t="shared" si="7"/>
        <v>0</v>
      </c>
    </row>
    <row r="31" spans="1:107" s="123" customFormat="1" ht="12.75">
      <c r="A31" s="128" t="s">
        <v>22</v>
      </c>
      <c r="B31" s="52">
        <v>102930</v>
      </c>
      <c r="C31" s="52"/>
      <c r="D31" s="463">
        <f t="shared" si="1"/>
        <v>0</v>
      </c>
      <c r="E31" s="52">
        <v>77944</v>
      </c>
      <c r="F31" s="52"/>
      <c r="G31" s="463">
        <f t="shared" si="2"/>
        <v>0</v>
      </c>
      <c r="H31" s="52">
        <v>26847</v>
      </c>
      <c r="I31" s="52"/>
      <c r="J31" s="463">
        <f t="shared" si="6"/>
        <v>0</v>
      </c>
      <c r="K31" s="128" t="s">
        <v>22</v>
      </c>
      <c r="L31" s="52">
        <f aca="true" t="shared" si="18" ref="L31:M34">ROUND(B31/1000,0)</f>
        <v>103</v>
      </c>
      <c r="M31" s="52">
        <f t="shared" si="18"/>
        <v>0</v>
      </c>
      <c r="N31" s="463">
        <f t="shared" si="4"/>
        <v>0</v>
      </c>
      <c r="O31" s="52">
        <f aca="true" t="shared" si="19" ref="O31:P34">ROUND(E31/1000,0)</f>
        <v>78</v>
      </c>
      <c r="P31" s="52">
        <f t="shared" si="19"/>
        <v>0</v>
      </c>
      <c r="Q31" s="463">
        <f t="shared" si="5"/>
        <v>0</v>
      </c>
      <c r="R31" s="52">
        <f aca="true" t="shared" si="20" ref="R31:S34">ROUND(H31/1000,0)</f>
        <v>27</v>
      </c>
      <c r="S31" s="52">
        <f t="shared" si="20"/>
        <v>0</v>
      </c>
      <c r="T31" s="463">
        <f t="shared" si="7"/>
        <v>0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</row>
    <row r="32" spans="1:107" s="123" customFormat="1" ht="12.75">
      <c r="A32" s="128" t="s">
        <v>582</v>
      </c>
      <c r="B32" s="52">
        <v>18351</v>
      </c>
      <c r="C32" s="52"/>
      <c r="D32" s="463">
        <f t="shared" si="1"/>
        <v>0</v>
      </c>
      <c r="E32" s="52">
        <v>10036</v>
      </c>
      <c r="F32" s="52"/>
      <c r="G32" s="463">
        <f t="shared" si="2"/>
        <v>0</v>
      </c>
      <c r="H32" s="52">
        <v>2797</v>
      </c>
      <c r="I32" s="52"/>
      <c r="J32" s="463">
        <f t="shared" si="6"/>
        <v>0</v>
      </c>
      <c r="K32" s="128" t="s">
        <v>582</v>
      </c>
      <c r="L32" s="52">
        <f t="shared" si="18"/>
        <v>18</v>
      </c>
      <c r="M32" s="52">
        <f t="shared" si="18"/>
        <v>0</v>
      </c>
      <c r="N32" s="463">
        <f t="shared" si="4"/>
        <v>0</v>
      </c>
      <c r="O32" s="52">
        <f t="shared" si="19"/>
        <v>10</v>
      </c>
      <c r="P32" s="52">
        <f t="shared" si="19"/>
        <v>0</v>
      </c>
      <c r="Q32" s="463">
        <f t="shared" si="5"/>
        <v>0</v>
      </c>
      <c r="R32" s="52">
        <f t="shared" si="20"/>
        <v>3</v>
      </c>
      <c r="S32" s="52">
        <f t="shared" si="20"/>
        <v>0</v>
      </c>
      <c r="T32" s="463">
        <f t="shared" si="7"/>
        <v>0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</row>
    <row r="33" spans="1:107" s="123" customFormat="1" ht="12.75">
      <c r="A33" s="128" t="s">
        <v>23</v>
      </c>
      <c r="B33" s="52">
        <v>50000</v>
      </c>
      <c r="C33" s="52"/>
      <c r="D33" s="463">
        <f t="shared" si="1"/>
        <v>0</v>
      </c>
      <c r="E33" s="52">
        <v>50000</v>
      </c>
      <c r="F33" s="52"/>
      <c r="G33" s="463">
        <f t="shared" si="2"/>
        <v>0</v>
      </c>
      <c r="H33" s="52">
        <v>150000</v>
      </c>
      <c r="I33" s="52"/>
      <c r="J33" s="463">
        <f t="shared" si="6"/>
        <v>0</v>
      </c>
      <c r="K33" s="128" t="s">
        <v>23</v>
      </c>
      <c r="L33" s="52">
        <f t="shared" si="18"/>
        <v>50</v>
      </c>
      <c r="M33" s="52">
        <f t="shared" si="18"/>
        <v>0</v>
      </c>
      <c r="N33" s="463">
        <f t="shared" si="4"/>
        <v>0</v>
      </c>
      <c r="O33" s="52">
        <f t="shared" si="19"/>
        <v>50</v>
      </c>
      <c r="P33" s="52">
        <f t="shared" si="19"/>
        <v>0</v>
      </c>
      <c r="Q33" s="463">
        <f>P33/O33*100</f>
        <v>0</v>
      </c>
      <c r="R33" s="52">
        <f t="shared" si="20"/>
        <v>150</v>
      </c>
      <c r="S33" s="52">
        <f t="shared" si="20"/>
        <v>0</v>
      </c>
      <c r="T33" s="463">
        <f t="shared" si="7"/>
        <v>0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</row>
    <row r="34" spans="1:107" s="131" customFormat="1" ht="12.75">
      <c r="A34" s="128" t="s">
        <v>30</v>
      </c>
      <c r="B34" s="52">
        <v>800000</v>
      </c>
      <c r="C34" s="52"/>
      <c r="D34" s="463">
        <f t="shared" si="1"/>
        <v>0</v>
      </c>
      <c r="E34" s="52">
        <v>850000</v>
      </c>
      <c r="F34" s="52"/>
      <c r="G34" s="463">
        <f t="shared" si="2"/>
        <v>0</v>
      </c>
      <c r="H34" s="52">
        <v>4000000</v>
      </c>
      <c r="I34" s="52"/>
      <c r="J34" s="463">
        <f t="shared" si="6"/>
        <v>0</v>
      </c>
      <c r="K34" s="128" t="s">
        <v>30</v>
      </c>
      <c r="L34" s="52">
        <f t="shared" si="18"/>
        <v>800</v>
      </c>
      <c r="M34" s="52">
        <f t="shared" si="18"/>
        <v>0</v>
      </c>
      <c r="N34" s="463">
        <f t="shared" si="4"/>
        <v>0</v>
      </c>
      <c r="O34" s="52">
        <f t="shared" si="19"/>
        <v>850</v>
      </c>
      <c r="P34" s="52">
        <f t="shared" si="19"/>
        <v>0</v>
      </c>
      <c r="Q34" s="463">
        <f>P34/O34*100</f>
        <v>0</v>
      </c>
      <c r="R34" s="52">
        <f t="shared" si="20"/>
        <v>4000</v>
      </c>
      <c r="S34" s="52">
        <f t="shared" si="20"/>
        <v>0</v>
      </c>
      <c r="T34" s="463">
        <f t="shared" si="7"/>
        <v>0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</row>
    <row r="35" spans="1:20" ht="12.75">
      <c r="A35" s="19" t="s">
        <v>506</v>
      </c>
      <c r="B35" s="126">
        <f>SUM(B36:B39)</f>
        <v>61070319</v>
      </c>
      <c r="C35" s="126">
        <f aca="true" t="shared" si="21" ref="C35:I35">SUM(C36:C39)</f>
        <v>34856886</v>
      </c>
      <c r="D35" s="462">
        <f t="shared" si="1"/>
        <v>57.076639799441686</v>
      </c>
      <c r="E35" s="126">
        <f t="shared" si="21"/>
        <v>65437000</v>
      </c>
      <c r="F35" s="126">
        <f t="shared" si="21"/>
        <v>31205438</v>
      </c>
      <c r="G35" s="462">
        <f t="shared" si="2"/>
        <v>47.68775769060318</v>
      </c>
      <c r="H35" s="126">
        <f t="shared" si="21"/>
        <v>2743403</v>
      </c>
      <c r="I35" s="126">
        <f t="shared" si="21"/>
        <v>0</v>
      </c>
      <c r="J35" s="462">
        <f t="shared" si="6"/>
        <v>0</v>
      </c>
      <c r="K35" s="19" t="s">
        <v>506</v>
      </c>
      <c r="L35" s="126">
        <f aca="true" t="shared" si="22" ref="L35:S35">SUM(L36:L39)</f>
        <v>61070</v>
      </c>
      <c r="M35" s="126">
        <f t="shared" si="22"/>
        <v>34857</v>
      </c>
      <c r="N35" s="462">
        <f t="shared" si="4"/>
        <v>57.077124611102015</v>
      </c>
      <c r="O35" s="126">
        <f t="shared" si="22"/>
        <v>65437</v>
      </c>
      <c r="P35" s="126">
        <f t="shared" si="22"/>
        <v>31205</v>
      </c>
      <c r="Q35" s="462">
        <f t="shared" si="5"/>
        <v>47.68708834451457</v>
      </c>
      <c r="R35" s="126">
        <f t="shared" si="22"/>
        <v>2743</v>
      </c>
      <c r="S35" s="126">
        <f t="shared" si="22"/>
        <v>0</v>
      </c>
      <c r="T35" s="462">
        <f t="shared" si="7"/>
        <v>0</v>
      </c>
    </row>
    <row r="36" spans="1:107" s="123" customFormat="1" ht="12.75">
      <c r="A36" s="128" t="s">
        <v>582</v>
      </c>
      <c r="B36" s="52">
        <v>54000000</v>
      </c>
      <c r="C36" s="52">
        <f>18642836+185100+14926150</f>
        <v>33754086</v>
      </c>
      <c r="D36" s="463">
        <f t="shared" si="1"/>
        <v>62.50756666666667</v>
      </c>
      <c r="E36" s="52">
        <v>59300000</v>
      </c>
      <c r="F36" s="52">
        <f>17791308+13414130</f>
        <v>31205438</v>
      </c>
      <c r="G36" s="463">
        <f t="shared" si="2"/>
        <v>52.622998313659366</v>
      </c>
      <c r="H36" s="52"/>
      <c r="I36" s="52"/>
      <c r="J36" s="463"/>
      <c r="K36" s="128" t="s">
        <v>582</v>
      </c>
      <c r="L36" s="52">
        <f aca="true" t="shared" si="23" ref="L36:M39">ROUND(B36/1000,0)</f>
        <v>54000</v>
      </c>
      <c r="M36" s="52">
        <f t="shared" si="23"/>
        <v>33754</v>
      </c>
      <c r="N36" s="463">
        <f t="shared" si="4"/>
        <v>62.50740740740741</v>
      </c>
      <c r="O36" s="52">
        <f aca="true" t="shared" si="24" ref="O36:P39">ROUND(E36/1000,0)</f>
        <v>59300</v>
      </c>
      <c r="P36" s="52">
        <f>ROUND(F36/1000,0)</f>
        <v>31205</v>
      </c>
      <c r="Q36" s="463">
        <f t="shared" si="5"/>
        <v>52.622259696458684</v>
      </c>
      <c r="R36" s="52">
        <f aca="true" t="shared" si="25" ref="R36:S39">ROUND(H36/1000,0)</f>
        <v>0</v>
      </c>
      <c r="S36" s="52">
        <f t="shared" si="25"/>
        <v>0</v>
      </c>
      <c r="T36" s="463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</row>
    <row r="37" spans="1:107" s="123" customFormat="1" ht="12.75">
      <c r="A37" s="128" t="s">
        <v>23</v>
      </c>
      <c r="B37" s="52">
        <v>947000</v>
      </c>
      <c r="C37" s="52">
        <f>3000+886000</f>
        <v>889000</v>
      </c>
      <c r="D37" s="463">
        <f t="shared" si="1"/>
        <v>93.8753959873284</v>
      </c>
      <c r="E37" s="52">
        <v>859000</v>
      </c>
      <c r="F37" s="52"/>
      <c r="G37" s="463">
        <f t="shared" si="2"/>
        <v>0</v>
      </c>
      <c r="H37" s="52">
        <v>2623403</v>
      </c>
      <c r="I37" s="52"/>
      <c r="J37" s="463"/>
      <c r="K37" s="128" t="s">
        <v>23</v>
      </c>
      <c r="L37" s="52">
        <f t="shared" si="23"/>
        <v>947</v>
      </c>
      <c r="M37" s="52">
        <f t="shared" si="23"/>
        <v>889</v>
      </c>
      <c r="N37" s="463">
        <f t="shared" si="4"/>
        <v>93.8753959873284</v>
      </c>
      <c r="O37" s="52">
        <f t="shared" si="24"/>
        <v>859</v>
      </c>
      <c r="P37" s="52">
        <f t="shared" si="24"/>
        <v>0</v>
      </c>
      <c r="Q37" s="463">
        <f t="shared" si="5"/>
        <v>0</v>
      </c>
      <c r="R37" s="52">
        <f t="shared" si="25"/>
        <v>2623</v>
      </c>
      <c r="S37" s="52">
        <f t="shared" si="25"/>
        <v>0</v>
      </c>
      <c r="T37" s="463">
        <f t="shared" si="7"/>
        <v>0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</row>
    <row r="38" spans="1:107" s="123" customFormat="1" ht="12.75">
      <c r="A38" s="128" t="s">
        <v>593</v>
      </c>
      <c r="B38" s="52">
        <v>5278000</v>
      </c>
      <c r="C38" s="52">
        <v>38000</v>
      </c>
      <c r="D38" s="463">
        <f t="shared" si="1"/>
        <v>0.7199696854869269</v>
      </c>
      <c r="E38" s="52">
        <v>5278000</v>
      </c>
      <c r="F38" s="52"/>
      <c r="G38" s="463">
        <f t="shared" si="2"/>
        <v>0</v>
      </c>
      <c r="H38" s="52">
        <v>120000</v>
      </c>
      <c r="I38" s="52"/>
      <c r="J38" s="463">
        <f t="shared" si="6"/>
        <v>0</v>
      </c>
      <c r="K38" s="128" t="s">
        <v>593</v>
      </c>
      <c r="L38" s="52">
        <f t="shared" si="23"/>
        <v>5278</v>
      </c>
      <c r="M38" s="52">
        <f t="shared" si="23"/>
        <v>38</v>
      </c>
      <c r="N38" s="463">
        <f t="shared" si="4"/>
        <v>0.7199696854869269</v>
      </c>
      <c r="O38" s="52">
        <f t="shared" si="24"/>
        <v>5278</v>
      </c>
      <c r="P38" s="52">
        <f t="shared" si="24"/>
        <v>0</v>
      </c>
      <c r="Q38" s="463">
        <f t="shared" si="5"/>
        <v>0</v>
      </c>
      <c r="R38" s="52">
        <f t="shared" si="25"/>
        <v>120</v>
      </c>
      <c r="S38" s="52">
        <f t="shared" si="25"/>
        <v>0</v>
      </c>
      <c r="T38" s="463">
        <f t="shared" si="7"/>
        <v>0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</row>
    <row r="39" spans="1:107" s="131" customFormat="1" ht="12.75">
      <c r="A39" s="128" t="s">
        <v>30</v>
      </c>
      <c r="B39" s="52">
        <v>845319</v>
      </c>
      <c r="C39" s="52">
        <v>175800</v>
      </c>
      <c r="D39" s="463">
        <f t="shared" si="1"/>
        <v>20.796882596984098</v>
      </c>
      <c r="E39" s="52"/>
      <c r="F39" s="52"/>
      <c r="G39" s="463" t="e">
        <f t="shared" si="2"/>
        <v>#DIV/0!</v>
      </c>
      <c r="H39" s="52"/>
      <c r="I39" s="52"/>
      <c r="J39" s="476"/>
      <c r="K39" s="128" t="s">
        <v>30</v>
      </c>
      <c r="L39" s="477">
        <f t="shared" si="23"/>
        <v>845</v>
      </c>
      <c r="M39" s="52">
        <f t="shared" si="23"/>
        <v>176</v>
      </c>
      <c r="N39" s="463">
        <f t="shared" si="4"/>
        <v>20.828402366863905</v>
      </c>
      <c r="O39" s="52">
        <f>ROUND(E39/1000,0)</f>
        <v>0</v>
      </c>
      <c r="P39" s="52">
        <f t="shared" si="24"/>
        <v>0</v>
      </c>
      <c r="Q39" s="463"/>
      <c r="R39" s="52">
        <f t="shared" si="25"/>
        <v>0</v>
      </c>
      <c r="S39" s="52">
        <f t="shared" si="25"/>
        <v>0</v>
      </c>
      <c r="T39" s="463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</row>
    <row r="40" spans="1:20" ht="12.75">
      <c r="A40" s="19" t="s">
        <v>507</v>
      </c>
      <c r="B40" s="126">
        <f>SUM(B41:B45)</f>
        <v>13991372</v>
      </c>
      <c r="C40" s="126">
        <f>SUM(C41:C45)</f>
        <v>761662</v>
      </c>
      <c r="D40" s="462">
        <f t="shared" si="1"/>
        <v>5.443797791953498</v>
      </c>
      <c r="E40" s="126">
        <f>SUM(E41:E45)</f>
        <v>11569875</v>
      </c>
      <c r="F40" s="126">
        <f>SUM(F41:F45)</f>
        <v>0</v>
      </c>
      <c r="G40" s="462">
        <f t="shared" si="2"/>
        <v>0</v>
      </c>
      <c r="H40" s="126">
        <f>SUM(H41:H45)</f>
        <v>71576564</v>
      </c>
      <c r="I40" s="126">
        <f>SUM(I41:I45)</f>
        <v>0</v>
      </c>
      <c r="J40" s="462">
        <f t="shared" si="6"/>
        <v>0</v>
      </c>
      <c r="K40" s="478" t="s">
        <v>507</v>
      </c>
      <c r="L40" s="126">
        <f>SUM(L41:L45)</f>
        <v>13991</v>
      </c>
      <c r="M40" s="126">
        <f>SUM(M41:M45)</f>
        <v>762</v>
      </c>
      <c r="N40" s="462">
        <f t="shared" si="4"/>
        <v>5.44635837323994</v>
      </c>
      <c r="O40" s="126">
        <f>SUM(O41:O45)</f>
        <v>11571</v>
      </c>
      <c r="P40" s="126">
        <f>SUM(P41:P45)</f>
        <v>0</v>
      </c>
      <c r="Q40" s="462">
        <f t="shared" si="5"/>
        <v>0</v>
      </c>
      <c r="R40" s="126">
        <f>SUM(R41:R45)</f>
        <v>71576</v>
      </c>
      <c r="S40" s="126">
        <f>SUM(S41:S45)</f>
        <v>0</v>
      </c>
      <c r="T40" s="462">
        <f t="shared" si="7"/>
        <v>0</v>
      </c>
    </row>
    <row r="41" spans="1:107" s="123" customFormat="1" ht="12.75">
      <c r="A41" s="128" t="s">
        <v>582</v>
      </c>
      <c r="B41" s="52">
        <v>17200</v>
      </c>
      <c r="C41" s="52"/>
      <c r="D41" s="463">
        <f t="shared" si="1"/>
        <v>0</v>
      </c>
      <c r="E41" s="52">
        <v>7400</v>
      </c>
      <c r="F41" s="52"/>
      <c r="G41" s="463">
        <f t="shared" si="2"/>
        <v>0</v>
      </c>
      <c r="H41" s="52"/>
      <c r="I41" s="52"/>
      <c r="J41" s="463" t="e">
        <f t="shared" si="6"/>
        <v>#DIV/0!</v>
      </c>
      <c r="K41" s="128" t="s">
        <v>582</v>
      </c>
      <c r="L41" s="52">
        <f aca="true" t="shared" si="26" ref="L41:M44">ROUND(B41/1000,0)</f>
        <v>17</v>
      </c>
      <c r="M41" s="52">
        <f t="shared" si="26"/>
        <v>0</v>
      </c>
      <c r="N41" s="463">
        <f t="shared" si="4"/>
        <v>0</v>
      </c>
      <c r="O41" s="52">
        <f>ROUND(E41/1000,0)+1</f>
        <v>8</v>
      </c>
      <c r="P41" s="52">
        <f aca="true" t="shared" si="27" ref="O41:P44">ROUND(F41/1000,0)</f>
        <v>0</v>
      </c>
      <c r="Q41" s="463">
        <f t="shared" si="5"/>
        <v>0</v>
      </c>
      <c r="R41" s="52">
        <f aca="true" t="shared" si="28" ref="R41:S44">ROUND(H41/1000,0)</f>
        <v>0</v>
      </c>
      <c r="S41" s="52">
        <f t="shared" si="28"/>
        <v>0</v>
      </c>
      <c r="T41" s="463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</row>
    <row r="42" spans="1:107" s="123" customFormat="1" ht="12.75">
      <c r="A42" s="128" t="s">
        <v>23</v>
      </c>
      <c r="B42" s="52">
        <v>26680</v>
      </c>
      <c r="C42" s="52"/>
      <c r="D42" s="463">
        <f t="shared" si="1"/>
        <v>0</v>
      </c>
      <c r="E42" s="52">
        <v>26680</v>
      </c>
      <c r="F42" s="52"/>
      <c r="G42" s="463">
        <f t="shared" si="2"/>
        <v>0</v>
      </c>
      <c r="H42" s="52"/>
      <c r="I42" s="52"/>
      <c r="J42" s="463" t="e">
        <f t="shared" si="6"/>
        <v>#DIV/0!</v>
      </c>
      <c r="K42" s="128" t="s">
        <v>23</v>
      </c>
      <c r="L42" s="52">
        <f t="shared" si="26"/>
        <v>27</v>
      </c>
      <c r="M42" s="52">
        <f t="shared" si="26"/>
        <v>0</v>
      </c>
      <c r="N42" s="463">
        <f t="shared" si="4"/>
        <v>0</v>
      </c>
      <c r="O42" s="52">
        <f t="shared" si="27"/>
        <v>27</v>
      </c>
      <c r="P42" s="52">
        <f t="shared" si="27"/>
        <v>0</v>
      </c>
      <c r="Q42" s="463">
        <f t="shared" si="5"/>
        <v>0</v>
      </c>
      <c r="R42" s="52">
        <f t="shared" si="28"/>
        <v>0</v>
      </c>
      <c r="S42" s="52">
        <f t="shared" si="28"/>
        <v>0</v>
      </c>
      <c r="T42" s="463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</row>
    <row r="43" spans="1:107" s="123" customFormat="1" ht="12.75">
      <c r="A43" s="128" t="s">
        <v>593</v>
      </c>
      <c r="B43" s="52">
        <v>10849457</v>
      </c>
      <c r="C43" s="52">
        <v>761662</v>
      </c>
      <c r="D43" s="463">
        <f t="shared" si="1"/>
        <v>7.020277604676436</v>
      </c>
      <c r="E43" s="52">
        <v>9882457</v>
      </c>
      <c r="F43" s="52"/>
      <c r="G43" s="463">
        <f t="shared" si="2"/>
        <v>0</v>
      </c>
      <c r="H43" s="52">
        <v>67534464</v>
      </c>
      <c r="I43" s="52"/>
      <c r="J43" s="463">
        <f t="shared" si="6"/>
        <v>0</v>
      </c>
      <c r="K43" s="128" t="s">
        <v>593</v>
      </c>
      <c r="L43" s="52">
        <f t="shared" si="26"/>
        <v>10849</v>
      </c>
      <c r="M43" s="52">
        <f t="shared" si="26"/>
        <v>762</v>
      </c>
      <c r="N43" s="463">
        <f t="shared" si="4"/>
        <v>7.023688819246013</v>
      </c>
      <c r="O43" s="52">
        <f t="shared" si="27"/>
        <v>9882</v>
      </c>
      <c r="P43" s="52">
        <f>ROUND(F43/1000,0)</f>
        <v>0</v>
      </c>
      <c r="Q43" s="463">
        <f t="shared" si="5"/>
        <v>0</v>
      </c>
      <c r="R43" s="52">
        <f t="shared" si="28"/>
        <v>67534</v>
      </c>
      <c r="S43" s="52">
        <f t="shared" si="28"/>
        <v>0</v>
      </c>
      <c r="T43" s="463">
        <f t="shared" si="7"/>
        <v>0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</row>
    <row r="44" spans="1:107" s="123" customFormat="1" ht="12.75">
      <c r="A44" s="128" t="s">
        <v>29</v>
      </c>
      <c r="B44" s="52">
        <v>249235</v>
      </c>
      <c r="C44" s="52"/>
      <c r="D44" s="463">
        <f t="shared" si="1"/>
        <v>0</v>
      </c>
      <c r="E44" s="52">
        <v>145838</v>
      </c>
      <c r="F44" s="52"/>
      <c r="G44" s="463">
        <f t="shared" si="2"/>
        <v>0</v>
      </c>
      <c r="H44" s="52"/>
      <c r="I44" s="52"/>
      <c r="J44" s="463" t="e">
        <f t="shared" si="6"/>
        <v>#DIV/0!</v>
      </c>
      <c r="K44" s="128" t="s">
        <v>29</v>
      </c>
      <c r="L44" s="52">
        <f t="shared" si="26"/>
        <v>249</v>
      </c>
      <c r="M44" s="52">
        <f t="shared" si="26"/>
        <v>0</v>
      </c>
      <c r="N44" s="463">
        <f t="shared" si="4"/>
        <v>0</v>
      </c>
      <c r="O44" s="52">
        <f t="shared" si="27"/>
        <v>146</v>
      </c>
      <c r="P44" s="52">
        <f t="shared" si="27"/>
        <v>0</v>
      </c>
      <c r="Q44" s="463">
        <f t="shared" si="5"/>
        <v>0</v>
      </c>
      <c r="R44" s="52">
        <f t="shared" si="28"/>
        <v>0</v>
      </c>
      <c r="S44" s="52">
        <f t="shared" si="28"/>
        <v>0</v>
      </c>
      <c r="T44" s="463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</row>
    <row r="45" spans="1:107" s="123" customFormat="1" ht="12.75">
      <c r="A45" s="128" t="s">
        <v>30</v>
      </c>
      <c r="B45" s="52">
        <v>2848800</v>
      </c>
      <c r="C45" s="52"/>
      <c r="D45" s="463">
        <f t="shared" si="1"/>
        <v>0</v>
      </c>
      <c r="E45" s="52">
        <v>1507500</v>
      </c>
      <c r="F45" s="52"/>
      <c r="G45" s="463">
        <f t="shared" si="2"/>
        <v>0</v>
      </c>
      <c r="H45" s="52">
        <v>4042100</v>
      </c>
      <c r="I45" s="52"/>
      <c r="J45" s="463">
        <f t="shared" si="6"/>
        <v>0</v>
      </c>
      <c r="K45" s="128" t="s">
        <v>30</v>
      </c>
      <c r="L45" s="52">
        <f>ROUND(B45/1000,0)</f>
        <v>2849</v>
      </c>
      <c r="M45" s="52">
        <f>ROUND(C45/1000,0)</f>
        <v>0</v>
      </c>
      <c r="N45" s="463">
        <f>M45/L45*100</f>
        <v>0</v>
      </c>
      <c r="O45" s="52">
        <f>ROUND(E45/1000,0)</f>
        <v>1508</v>
      </c>
      <c r="P45" s="52">
        <f>ROUND(F45/1000,0)</f>
        <v>0</v>
      </c>
      <c r="Q45" s="463">
        <f>P45/O45*100</f>
        <v>0</v>
      </c>
      <c r="R45" s="52">
        <f>ROUND(H45/1000,0)</f>
        <v>4042</v>
      </c>
      <c r="S45" s="52">
        <f>ROUND(I45/1000,0)</f>
        <v>0</v>
      </c>
      <c r="T45" s="463">
        <f>S45/R45*100</f>
        <v>0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</row>
    <row r="46" spans="1:20" ht="12.75">
      <c r="A46" s="19" t="s">
        <v>508</v>
      </c>
      <c r="B46" s="126">
        <f>SUM(B47:B50)</f>
        <v>9583378</v>
      </c>
      <c r="C46" s="126">
        <f>SUM(C47:C50)</f>
        <v>0</v>
      </c>
      <c r="D46" s="462">
        <f t="shared" si="1"/>
        <v>0</v>
      </c>
      <c r="E46" s="126">
        <f>SUM(E47:E50)</f>
        <v>6944857</v>
      </c>
      <c r="F46" s="126">
        <f>SUM(F47:F50)</f>
        <v>0</v>
      </c>
      <c r="G46" s="462">
        <f t="shared" si="2"/>
        <v>0</v>
      </c>
      <c r="H46" s="126">
        <f>SUM(H47:H50)</f>
        <v>22381290</v>
      </c>
      <c r="I46" s="126">
        <f>SUM(I47:I50)</f>
        <v>0</v>
      </c>
      <c r="J46" s="462">
        <f t="shared" si="6"/>
        <v>0</v>
      </c>
      <c r="K46" s="19" t="s">
        <v>508</v>
      </c>
      <c r="L46" s="126">
        <f>SUM(L47:L50)</f>
        <v>9583</v>
      </c>
      <c r="M46" s="126">
        <f>SUM(M47:M50)</f>
        <v>0</v>
      </c>
      <c r="N46" s="462">
        <f t="shared" si="4"/>
        <v>0</v>
      </c>
      <c r="O46" s="126">
        <f>SUM(O47:O50)</f>
        <v>6944</v>
      </c>
      <c r="P46" s="126">
        <f>SUM(P47:P50)</f>
        <v>0</v>
      </c>
      <c r="Q46" s="462">
        <f t="shared" si="5"/>
        <v>0</v>
      </c>
      <c r="R46" s="126">
        <f>SUM(R47:R50)</f>
        <v>22381</v>
      </c>
      <c r="S46" s="126">
        <f>SUM(S47:S50)</f>
        <v>0</v>
      </c>
      <c r="T46" s="462">
        <f t="shared" si="7"/>
        <v>0</v>
      </c>
    </row>
    <row r="47" spans="1:107" s="123" customFormat="1" ht="12.75">
      <c r="A47" s="128" t="s">
        <v>23</v>
      </c>
      <c r="B47" s="52">
        <v>2873860</v>
      </c>
      <c r="C47" s="52"/>
      <c r="D47" s="463">
        <f t="shared" si="1"/>
        <v>0</v>
      </c>
      <c r="E47" s="52">
        <v>1813595</v>
      </c>
      <c r="F47" s="52"/>
      <c r="G47" s="463">
        <f t="shared" si="2"/>
        <v>0</v>
      </c>
      <c r="H47" s="52">
        <v>5623290</v>
      </c>
      <c r="I47" s="52"/>
      <c r="J47" s="463">
        <f t="shared" si="6"/>
        <v>0</v>
      </c>
      <c r="K47" s="128" t="s">
        <v>23</v>
      </c>
      <c r="L47" s="52">
        <f aca="true" t="shared" si="29" ref="L47:M50">ROUND(B47/1000,0)</f>
        <v>2874</v>
      </c>
      <c r="M47" s="52">
        <f t="shared" si="29"/>
        <v>0</v>
      </c>
      <c r="N47" s="463">
        <f t="shared" si="4"/>
        <v>0</v>
      </c>
      <c r="O47" s="52">
        <f>ROUND(E47/1000,0)-1</f>
        <v>1813</v>
      </c>
      <c r="P47" s="52">
        <f aca="true" t="shared" si="30" ref="O47:P50">ROUND(F47/1000,0)</f>
        <v>0</v>
      </c>
      <c r="Q47" s="463">
        <f t="shared" si="5"/>
        <v>0</v>
      </c>
      <c r="R47" s="52">
        <f aca="true" t="shared" si="31" ref="R47:S50">ROUND(H47/1000,0)</f>
        <v>5623</v>
      </c>
      <c r="S47" s="52">
        <f t="shared" si="31"/>
        <v>0</v>
      </c>
      <c r="T47" s="463">
        <f t="shared" si="7"/>
        <v>0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</row>
    <row r="48" spans="1:107" s="123" customFormat="1" ht="12.75">
      <c r="A48" s="128" t="s">
        <v>593</v>
      </c>
      <c r="B48" s="52">
        <v>6674000</v>
      </c>
      <c r="C48" s="52"/>
      <c r="D48" s="463">
        <f t="shared" si="1"/>
        <v>0</v>
      </c>
      <c r="E48" s="52">
        <v>5130000</v>
      </c>
      <c r="F48" s="52"/>
      <c r="G48" s="463">
        <f t="shared" si="2"/>
        <v>0</v>
      </c>
      <c r="H48" s="52">
        <v>16758000</v>
      </c>
      <c r="I48" s="52"/>
      <c r="J48" s="463">
        <f t="shared" si="6"/>
        <v>0</v>
      </c>
      <c r="K48" s="128" t="s">
        <v>593</v>
      </c>
      <c r="L48" s="52">
        <f t="shared" si="29"/>
        <v>6674</v>
      </c>
      <c r="M48" s="52">
        <f t="shared" si="29"/>
        <v>0</v>
      </c>
      <c r="N48" s="463">
        <f t="shared" si="4"/>
        <v>0</v>
      </c>
      <c r="O48" s="52">
        <f t="shared" si="30"/>
        <v>5130</v>
      </c>
      <c r="P48" s="52">
        <f t="shared" si="30"/>
        <v>0</v>
      </c>
      <c r="Q48" s="463">
        <f t="shared" si="5"/>
        <v>0</v>
      </c>
      <c r="R48" s="52">
        <f t="shared" si="31"/>
        <v>16758</v>
      </c>
      <c r="S48" s="52">
        <f t="shared" si="31"/>
        <v>0</v>
      </c>
      <c r="T48" s="463">
        <f t="shared" si="7"/>
        <v>0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</row>
    <row r="49" spans="1:107" s="123" customFormat="1" ht="12.75">
      <c r="A49" s="128" t="s">
        <v>29</v>
      </c>
      <c r="B49" s="52">
        <v>18269</v>
      </c>
      <c r="C49" s="52"/>
      <c r="D49" s="463">
        <f t="shared" si="1"/>
        <v>0</v>
      </c>
      <c r="E49" s="52">
        <v>1262</v>
      </c>
      <c r="F49" s="52"/>
      <c r="G49" s="463">
        <f t="shared" si="2"/>
        <v>0</v>
      </c>
      <c r="H49" s="52"/>
      <c r="I49" s="52"/>
      <c r="J49" s="463" t="e">
        <f t="shared" si="6"/>
        <v>#DIV/0!</v>
      </c>
      <c r="K49" s="128" t="s">
        <v>29</v>
      </c>
      <c r="L49" s="52">
        <f t="shared" si="29"/>
        <v>18</v>
      </c>
      <c r="M49" s="52">
        <f t="shared" si="29"/>
        <v>0</v>
      </c>
      <c r="N49" s="463">
        <f t="shared" si="4"/>
        <v>0</v>
      </c>
      <c r="O49" s="52">
        <f t="shared" si="30"/>
        <v>1</v>
      </c>
      <c r="P49" s="52">
        <f t="shared" si="30"/>
        <v>0</v>
      </c>
      <c r="Q49" s="463">
        <f t="shared" si="5"/>
        <v>0</v>
      </c>
      <c r="R49" s="52">
        <f t="shared" si="31"/>
        <v>0</v>
      </c>
      <c r="S49" s="52">
        <f t="shared" si="31"/>
        <v>0</v>
      </c>
      <c r="T49" s="463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</row>
    <row r="50" spans="1:107" s="123" customFormat="1" ht="12.75">
      <c r="A50" s="128" t="s">
        <v>30</v>
      </c>
      <c r="B50" s="52">
        <v>17249</v>
      </c>
      <c r="C50" s="52"/>
      <c r="D50" s="463">
        <f t="shared" si="1"/>
        <v>0</v>
      </c>
      <c r="E50" s="52"/>
      <c r="F50" s="52"/>
      <c r="G50" s="463" t="e">
        <f t="shared" si="2"/>
        <v>#DIV/0!</v>
      </c>
      <c r="H50" s="52"/>
      <c r="I50" s="52"/>
      <c r="J50" s="463"/>
      <c r="K50" s="128" t="s">
        <v>30</v>
      </c>
      <c r="L50" s="52">
        <f t="shared" si="29"/>
        <v>17</v>
      </c>
      <c r="M50" s="52">
        <f t="shared" si="29"/>
        <v>0</v>
      </c>
      <c r="N50" s="463">
        <f t="shared" si="4"/>
        <v>0</v>
      </c>
      <c r="O50" s="52">
        <f t="shared" si="30"/>
        <v>0</v>
      </c>
      <c r="P50" s="52">
        <f t="shared" si="30"/>
        <v>0</v>
      </c>
      <c r="Q50" s="463"/>
      <c r="R50" s="52">
        <f t="shared" si="31"/>
        <v>0</v>
      </c>
      <c r="S50" s="52">
        <f t="shared" si="31"/>
        <v>0</v>
      </c>
      <c r="T50" s="463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</row>
    <row r="51" spans="1:20" ht="12.75">
      <c r="A51" s="19" t="s">
        <v>509</v>
      </c>
      <c r="B51" s="126">
        <f>SUM(B52:B55)</f>
        <v>2137309</v>
      </c>
      <c r="C51" s="126">
        <f>SUM(C52:C55)</f>
        <v>0</v>
      </c>
      <c r="D51" s="462">
        <f t="shared" si="1"/>
        <v>0</v>
      </c>
      <c r="E51" s="126">
        <f>SUM(E52:E55)</f>
        <v>2105430</v>
      </c>
      <c r="F51" s="126">
        <f>SUM(F52:F55)</f>
        <v>0</v>
      </c>
      <c r="G51" s="462">
        <f t="shared" si="2"/>
        <v>0</v>
      </c>
      <c r="H51" s="126">
        <f>SUM(H52:H55)</f>
        <v>16732560</v>
      </c>
      <c r="I51" s="126">
        <f>SUM(I52:I55)</f>
        <v>0</v>
      </c>
      <c r="J51" s="462">
        <f t="shared" si="6"/>
        <v>0</v>
      </c>
      <c r="K51" s="19" t="s">
        <v>509</v>
      </c>
      <c r="L51" s="126">
        <f>SUM(L52:L55)</f>
        <v>2138</v>
      </c>
      <c r="M51" s="126">
        <f>SUM(M52:M55)</f>
        <v>0</v>
      </c>
      <c r="N51" s="462">
        <f t="shared" si="4"/>
        <v>0</v>
      </c>
      <c r="O51" s="126">
        <f>SUM(O52:O55)</f>
        <v>2105</v>
      </c>
      <c r="P51" s="126">
        <f>SUM(P52:P55)</f>
        <v>0</v>
      </c>
      <c r="Q51" s="462">
        <f t="shared" si="5"/>
        <v>0</v>
      </c>
      <c r="R51" s="126">
        <f>SUM(R52:R55)</f>
        <v>16732</v>
      </c>
      <c r="S51" s="126">
        <f>SUM(S52:S55)</f>
        <v>0</v>
      </c>
      <c r="T51" s="462">
        <f t="shared" si="7"/>
        <v>0</v>
      </c>
    </row>
    <row r="52" spans="1:107" s="123" customFormat="1" ht="12.75">
      <c r="A52" s="128" t="s">
        <v>22</v>
      </c>
      <c r="B52" s="52">
        <v>43888</v>
      </c>
      <c r="C52" s="52"/>
      <c r="D52" s="463">
        <f t="shared" si="1"/>
        <v>0</v>
      </c>
      <c r="E52" s="52">
        <v>40288</v>
      </c>
      <c r="F52" s="52"/>
      <c r="G52" s="463">
        <f t="shared" si="2"/>
        <v>0</v>
      </c>
      <c r="H52" s="52">
        <v>37522</v>
      </c>
      <c r="I52" s="52"/>
      <c r="J52" s="463">
        <f t="shared" si="6"/>
        <v>0</v>
      </c>
      <c r="K52" s="128" t="s">
        <v>22</v>
      </c>
      <c r="L52" s="52">
        <f>ROUND(B52/1000,0)</f>
        <v>44</v>
      </c>
      <c r="M52" s="52">
        <f>ROUND(C52/1000,0)</f>
        <v>0</v>
      </c>
      <c r="N52" s="463">
        <f t="shared" si="4"/>
        <v>0</v>
      </c>
      <c r="O52" s="52">
        <f>ROUND(E52/1000,0)</f>
        <v>40</v>
      </c>
      <c r="P52" s="52">
        <f>ROUND(F52/1000,0)</f>
        <v>0</v>
      </c>
      <c r="Q52" s="463">
        <f t="shared" si="5"/>
        <v>0</v>
      </c>
      <c r="R52" s="52">
        <f>ROUND(H52/1000,0)-1</f>
        <v>37</v>
      </c>
      <c r="S52" s="52">
        <f>ROUND(I52/1000,0)</f>
        <v>0</v>
      </c>
      <c r="T52" s="463">
        <f t="shared" si="7"/>
        <v>0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</row>
    <row r="53" spans="1:107" s="123" customFormat="1" ht="12.75">
      <c r="A53" s="128" t="s">
        <v>582</v>
      </c>
      <c r="B53" s="52">
        <v>29487</v>
      </c>
      <c r="C53" s="52"/>
      <c r="D53" s="463">
        <f t="shared" si="1"/>
        <v>0</v>
      </c>
      <c r="E53" s="52">
        <v>28208</v>
      </c>
      <c r="F53" s="52"/>
      <c r="G53" s="463">
        <f t="shared" si="2"/>
        <v>0</v>
      </c>
      <c r="H53" s="52">
        <v>40008</v>
      </c>
      <c r="I53" s="52"/>
      <c r="J53" s="463">
        <f t="shared" si="6"/>
        <v>0</v>
      </c>
      <c r="K53" s="128" t="s">
        <v>582</v>
      </c>
      <c r="L53" s="52">
        <f>ROUND(B53/1000,0)+1</f>
        <v>30</v>
      </c>
      <c r="M53" s="52">
        <f>ROUND(C53/1000,0)</f>
        <v>0</v>
      </c>
      <c r="N53" s="463">
        <f t="shared" si="4"/>
        <v>0</v>
      </c>
      <c r="O53" s="52">
        <f aca="true" t="shared" si="32" ref="O53:P55">ROUND(E53/1000,0)</f>
        <v>28</v>
      </c>
      <c r="P53" s="52">
        <f t="shared" si="32"/>
        <v>0</v>
      </c>
      <c r="Q53" s="463">
        <f t="shared" si="5"/>
        <v>0</v>
      </c>
      <c r="R53" s="52">
        <f aca="true" t="shared" si="33" ref="R53:S55">ROUND(H53/1000,0)</f>
        <v>40</v>
      </c>
      <c r="S53" s="52">
        <f t="shared" si="33"/>
        <v>0</v>
      </c>
      <c r="T53" s="463">
        <f t="shared" si="7"/>
        <v>0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</row>
    <row r="54" spans="1:107" s="123" customFormat="1" ht="12.75">
      <c r="A54" s="128" t="s">
        <v>23</v>
      </c>
      <c r="B54" s="52">
        <v>242510</v>
      </c>
      <c r="C54" s="52"/>
      <c r="D54" s="463">
        <f t="shared" si="1"/>
        <v>0</v>
      </c>
      <c r="E54" s="52">
        <v>242510</v>
      </c>
      <c r="F54" s="52"/>
      <c r="G54" s="463">
        <f t="shared" si="2"/>
        <v>0</v>
      </c>
      <c r="H54" s="52">
        <v>727530</v>
      </c>
      <c r="I54" s="52"/>
      <c r="J54" s="463">
        <f t="shared" si="6"/>
        <v>0</v>
      </c>
      <c r="K54" s="128" t="s">
        <v>23</v>
      </c>
      <c r="L54" s="52">
        <f>ROUND(B54/1000,0)-1</f>
        <v>242</v>
      </c>
      <c r="M54" s="52">
        <f>ROUND(C54/1000,0)</f>
        <v>0</v>
      </c>
      <c r="N54" s="463">
        <f t="shared" si="4"/>
        <v>0</v>
      </c>
      <c r="O54" s="52">
        <f>ROUND(E54/1000,0)-1</f>
        <v>242</v>
      </c>
      <c r="P54" s="52">
        <f t="shared" si="32"/>
        <v>0</v>
      </c>
      <c r="Q54" s="463">
        <f t="shared" si="5"/>
        <v>0</v>
      </c>
      <c r="R54" s="52">
        <f>ROUND(H54/1000,0)-1</f>
        <v>727</v>
      </c>
      <c r="S54" s="52">
        <f t="shared" si="33"/>
        <v>0</v>
      </c>
      <c r="T54" s="463">
        <f t="shared" si="7"/>
        <v>0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</row>
    <row r="55" spans="1:107" s="123" customFormat="1" ht="12.75">
      <c r="A55" s="128" t="s">
        <v>593</v>
      </c>
      <c r="B55" s="52">
        <v>1821424</v>
      </c>
      <c r="C55" s="52"/>
      <c r="D55" s="463">
        <f t="shared" si="1"/>
        <v>0</v>
      </c>
      <c r="E55" s="52">
        <v>1794424</v>
      </c>
      <c r="F55" s="52"/>
      <c r="G55" s="463">
        <f t="shared" si="2"/>
        <v>0</v>
      </c>
      <c r="H55" s="52">
        <v>15927500</v>
      </c>
      <c r="I55" s="52"/>
      <c r="J55" s="463">
        <f t="shared" si="6"/>
        <v>0</v>
      </c>
      <c r="K55" s="128" t="s">
        <v>593</v>
      </c>
      <c r="L55" s="52">
        <f>ROUND(B55/1000,0)+1</f>
        <v>1822</v>
      </c>
      <c r="M55" s="52">
        <f>ROUND(C55/1000,0)</f>
        <v>0</v>
      </c>
      <c r="N55" s="463">
        <f t="shared" si="4"/>
        <v>0</v>
      </c>
      <c r="O55" s="52">
        <f>ROUND(E55/1000,0)+1</f>
        <v>1795</v>
      </c>
      <c r="P55" s="52">
        <f t="shared" si="32"/>
        <v>0</v>
      </c>
      <c r="Q55" s="463">
        <f t="shared" si="5"/>
        <v>0</v>
      </c>
      <c r="R55" s="52">
        <f t="shared" si="33"/>
        <v>15928</v>
      </c>
      <c r="S55" s="52">
        <f t="shared" si="33"/>
        <v>0</v>
      </c>
      <c r="T55" s="463">
        <f t="shared" si="7"/>
        <v>0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</row>
    <row r="56" spans="1:20" ht="12.75">
      <c r="A56" s="19" t="s">
        <v>510</v>
      </c>
      <c r="B56" s="126">
        <f>SUM(B57:B58)</f>
        <v>2770580</v>
      </c>
      <c r="C56" s="126">
        <f aca="true" t="shared" si="34" ref="C56:I56">SUM(C57:C58)</f>
        <v>0</v>
      </c>
      <c r="D56" s="462">
        <f t="shared" si="1"/>
        <v>0</v>
      </c>
      <c r="E56" s="126">
        <f t="shared" si="34"/>
        <v>2475580</v>
      </c>
      <c r="F56" s="126">
        <f t="shared" si="34"/>
        <v>0</v>
      </c>
      <c r="G56" s="462">
        <f t="shared" si="2"/>
        <v>0</v>
      </c>
      <c r="H56" s="126">
        <f t="shared" si="34"/>
        <v>11251580</v>
      </c>
      <c r="I56" s="126">
        <f t="shared" si="34"/>
        <v>0</v>
      </c>
      <c r="J56" s="462">
        <f t="shared" si="6"/>
        <v>0</v>
      </c>
      <c r="K56" s="19" t="s">
        <v>510</v>
      </c>
      <c r="L56" s="126">
        <f aca="true" t="shared" si="35" ref="L56:S56">SUM(L57:L58)</f>
        <v>2771</v>
      </c>
      <c r="M56" s="126">
        <f t="shared" si="35"/>
        <v>0</v>
      </c>
      <c r="N56" s="462">
        <f t="shared" si="4"/>
        <v>0</v>
      </c>
      <c r="O56" s="126">
        <f t="shared" si="35"/>
        <v>2475</v>
      </c>
      <c r="P56" s="126">
        <f t="shared" si="35"/>
        <v>0</v>
      </c>
      <c r="Q56" s="462">
        <f t="shared" si="5"/>
        <v>0</v>
      </c>
      <c r="R56" s="126">
        <f t="shared" si="35"/>
        <v>11252</v>
      </c>
      <c r="S56" s="126">
        <f t="shared" si="35"/>
        <v>0</v>
      </c>
      <c r="T56" s="462">
        <f t="shared" si="7"/>
        <v>0</v>
      </c>
    </row>
    <row r="57" spans="1:107" s="123" customFormat="1" ht="12.75">
      <c r="A57" s="128" t="s">
        <v>23</v>
      </c>
      <c r="B57" s="52">
        <v>75580</v>
      </c>
      <c r="C57" s="52"/>
      <c r="D57" s="463">
        <f t="shared" si="1"/>
        <v>0</v>
      </c>
      <c r="E57" s="52">
        <v>75580</v>
      </c>
      <c r="F57" s="52"/>
      <c r="G57" s="463">
        <f t="shared" si="2"/>
        <v>0</v>
      </c>
      <c r="H57" s="52">
        <v>75580</v>
      </c>
      <c r="I57" s="52"/>
      <c r="J57" s="463">
        <f t="shared" si="6"/>
        <v>0</v>
      </c>
      <c r="K57" s="128" t="s">
        <v>23</v>
      </c>
      <c r="L57" s="52">
        <f>ROUND(B57/1000,0)</f>
        <v>76</v>
      </c>
      <c r="M57" s="52">
        <f>ROUND(C57/1000,0)</f>
        <v>0</v>
      </c>
      <c r="N57" s="463">
        <f t="shared" si="4"/>
        <v>0</v>
      </c>
      <c r="O57" s="52">
        <f>ROUND(E57/1000,0)-1</f>
        <v>75</v>
      </c>
      <c r="P57" s="52">
        <f>ROUND(F57/1000,0)</f>
        <v>0</v>
      </c>
      <c r="Q57" s="463">
        <f t="shared" si="5"/>
        <v>0</v>
      </c>
      <c r="R57" s="52">
        <f>ROUND(H57/1000,0)</f>
        <v>76</v>
      </c>
      <c r="S57" s="52">
        <f>ROUND(I57/1000,0)</f>
        <v>0</v>
      </c>
      <c r="T57" s="463">
        <f t="shared" si="7"/>
        <v>0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</row>
    <row r="58" spans="1:107" s="123" customFormat="1" ht="12.75">
      <c r="A58" s="128" t="s">
        <v>593</v>
      </c>
      <c r="B58" s="52">
        <v>2695000</v>
      </c>
      <c r="C58" s="52"/>
      <c r="D58" s="463">
        <f t="shared" si="1"/>
        <v>0</v>
      </c>
      <c r="E58" s="52">
        <v>2400000</v>
      </c>
      <c r="F58" s="52"/>
      <c r="G58" s="463">
        <f t="shared" si="2"/>
        <v>0</v>
      </c>
      <c r="H58" s="52">
        <v>11176000</v>
      </c>
      <c r="I58" s="52"/>
      <c r="J58" s="463">
        <f t="shared" si="6"/>
        <v>0</v>
      </c>
      <c r="K58" s="128" t="s">
        <v>593</v>
      </c>
      <c r="L58" s="52">
        <f>ROUND(B58/1000,0)</f>
        <v>2695</v>
      </c>
      <c r="M58" s="52">
        <f>ROUND(C58/1000,0)</f>
        <v>0</v>
      </c>
      <c r="N58" s="463">
        <f t="shared" si="4"/>
        <v>0</v>
      </c>
      <c r="O58" s="52">
        <f>ROUND(E58/1000,0)</f>
        <v>2400</v>
      </c>
      <c r="P58" s="52">
        <f>ROUND(F58/1000,0)</f>
        <v>0</v>
      </c>
      <c r="Q58" s="463">
        <f t="shared" si="5"/>
        <v>0</v>
      </c>
      <c r="R58" s="52">
        <f>ROUND(H58/1000,0)</f>
        <v>11176</v>
      </c>
      <c r="S58" s="52">
        <f>ROUND(I58/1000,0)</f>
        <v>0</v>
      </c>
      <c r="T58" s="463">
        <f t="shared" si="7"/>
        <v>0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</row>
    <row r="59" spans="1:20" ht="12.75">
      <c r="A59" s="19" t="s">
        <v>511</v>
      </c>
      <c r="B59" s="126">
        <f>SUM(B60:B62)</f>
        <v>1855383</v>
      </c>
      <c r="C59" s="126">
        <f aca="true" t="shared" si="36" ref="C59:I59">SUM(C60:C62)</f>
        <v>0</v>
      </c>
      <c r="D59" s="462">
        <f t="shared" si="1"/>
        <v>0</v>
      </c>
      <c r="E59" s="126">
        <f t="shared" si="36"/>
        <v>3176974</v>
      </c>
      <c r="F59" s="126">
        <f t="shared" si="36"/>
        <v>0</v>
      </c>
      <c r="G59" s="462">
        <f t="shared" si="2"/>
        <v>0</v>
      </c>
      <c r="H59" s="126">
        <f t="shared" si="36"/>
        <v>973330</v>
      </c>
      <c r="I59" s="126">
        <f t="shared" si="36"/>
        <v>0</v>
      </c>
      <c r="J59" s="462">
        <f t="shared" si="6"/>
        <v>0</v>
      </c>
      <c r="K59" s="19" t="s">
        <v>511</v>
      </c>
      <c r="L59" s="126">
        <f aca="true" t="shared" si="37" ref="L59:S59">SUM(L60:L62)</f>
        <v>1855</v>
      </c>
      <c r="M59" s="126">
        <f t="shared" si="37"/>
        <v>0</v>
      </c>
      <c r="N59" s="462">
        <f t="shared" si="4"/>
        <v>0</v>
      </c>
      <c r="O59" s="126">
        <f t="shared" si="37"/>
        <v>3177</v>
      </c>
      <c r="P59" s="126">
        <f t="shared" si="37"/>
        <v>0</v>
      </c>
      <c r="Q59" s="462">
        <f t="shared" si="5"/>
        <v>0</v>
      </c>
      <c r="R59" s="126">
        <f t="shared" si="37"/>
        <v>973</v>
      </c>
      <c r="S59" s="126">
        <f t="shared" si="37"/>
        <v>0</v>
      </c>
      <c r="T59" s="462">
        <f t="shared" si="7"/>
        <v>0</v>
      </c>
    </row>
    <row r="60" spans="1:107" s="123" customFormat="1" ht="12.75">
      <c r="A60" s="128" t="s">
        <v>582</v>
      </c>
      <c r="B60" s="52">
        <v>33983</v>
      </c>
      <c r="C60" s="52"/>
      <c r="D60" s="463">
        <f t="shared" si="1"/>
        <v>0</v>
      </c>
      <c r="E60" s="52">
        <v>38774</v>
      </c>
      <c r="F60" s="52"/>
      <c r="G60" s="463">
        <f t="shared" si="2"/>
        <v>0</v>
      </c>
      <c r="H60" s="52">
        <v>72330</v>
      </c>
      <c r="I60" s="52"/>
      <c r="J60" s="463">
        <f t="shared" si="6"/>
        <v>0</v>
      </c>
      <c r="K60" s="128" t="s">
        <v>582</v>
      </c>
      <c r="L60" s="52">
        <f aca="true" t="shared" si="38" ref="L60:M62">ROUND(B60/1000,0)</f>
        <v>34</v>
      </c>
      <c r="M60" s="52">
        <f t="shared" si="38"/>
        <v>0</v>
      </c>
      <c r="N60" s="463">
        <f t="shared" si="4"/>
        <v>0</v>
      </c>
      <c r="O60" s="52">
        <f aca="true" t="shared" si="39" ref="O60:P62">ROUND(E60/1000,0)</f>
        <v>39</v>
      </c>
      <c r="P60" s="52">
        <f t="shared" si="39"/>
        <v>0</v>
      </c>
      <c r="Q60" s="463">
        <f t="shared" si="5"/>
        <v>0</v>
      </c>
      <c r="R60" s="52">
        <f aca="true" t="shared" si="40" ref="R60:S62">ROUND(H60/1000,0)</f>
        <v>72</v>
      </c>
      <c r="S60" s="52">
        <f t="shared" si="40"/>
        <v>0</v>
      </c>
      <c r="T60" s="463">
        <f t="shared" si="7"/>
        <v>0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</row>
    <row r="61" spans="1:107" s="123" customFormat="1" ht="12.75">
      <c r="A61" s="128" t="s">
        <v>23</v>
      </c>
      <c r="B61" s="52">
        <v>514400</v>
      </c>
      <c r="C61" s="52"/>
      <c r="D61" s="463">
        <f t="shared" si="1"/>
        <v>0</v>
      </c>
      <c r="E61" s="52">
        <v>514400</v>
      </c>
      <c r="F61" s="52"/>
      <c r="G61" s="463">
        <f t="shared" si="2"/>
        <v>0</v>
      </c>
      <c r="H61" s="52"/>
      <c r="I61" s="52"/>
      <c r="J61" s="463" t="e">
        <f t="shared" si="6"/>
        <v>#DIV/0!</v>
      </c>
      <c r="K61" s="128" t="s">
        <v>23</v>
      </c>
      <c r="L61" s="52">
        <f t="shared" si="38"/>
        <v>514</v>
      </c>
      <c r="M61" s="52">
        <f t="shared" si="38"/>
        <v>0</v>
      </c>
      <c r="N61" s="463">
        <f t="shared" si="4"/>
        <v>0</v>
      </c>
      <c r="O61" s="52">
        <f t="shared" si="39"/>
        <v>514</v>
      </c>
      <c r="P61" s="52">
        <f t="shared" si="39"/>
        <v>0</v>
      </c>
      <c r="Q61" s="463">
        <f t="shared" si="5"/>
        <v>0</v>
      </c>
      <c r="R61" s="52">
        <f t="shared" si="40"/>
        <v>0</v>
      </c>
      <c r="S61" s="52">
        <f t="shared" si="40"/>
        <v>0</v>
      </c>
      <c r="T61" s="463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</row>
    <row r="62" spans="1:107" s="123" customFormat="1" ht="12.75">
      <c r="A62" s="128" t="s">
        <v>593</v>
      </c>
      <c r="B62" s="52">
        <v>1307000</v>
      </c>
      <c r="C62" s="52"/>
      <c r="D62" s="463">
        <f t="shared" si="1"/>
        <v>0</v>
      </c>
      <c r="E62" s="52">
        <v>2623800</v>
      </c>
      <c r="F62" s="52"/>
      <c r="G62" s="463">
        <f t="shared" si="2"/>
        <v>0</v>
      </c>
      <c r="H62" s="52">
        <v>901000</v>
      </c>
      <c r="I62" s="52"/>
      <c r="J62" s="463">
        <f t="shared" si="6"/>
        <v>0</v>
      </c>
      <c r="K62" s="128" t="s">
        <v>593</v>
      </c>
      <c r="L62" s="52">
        <f t="shared" si="38"/>
        <v>1307</v>
      </c>
      <c r="M62" s="52">
        <f t="shared" si="38"/>
        <v>0</v>
      </c>
      <c r="N62" s="463">
        <f t="shared" si="4"/>
        <v>0</v>
      </c>
      <c r="O62" s="52">
        <f t="shared" si="39"/>
        <v>2624</v>
      </c>
      <c r="P62" s="52">
        <f t="shared" si="39"/>
        <v>0</v>
      </c>
      <c r="Q62" s="463">
        <f t="shared" si="5"/>
        <v>0</v>
      </c>
      <c r="R62" s="52">
        <f t="shared" si="40"/>
        <v>901</v>
      </c>
      <c r="S62" s="52">
        <f t="shared" si="40"/>
        <v>0</v>
      </c>
      <c r="T62" s="463">
        <f t="shared" si="7"/>
        <v>0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</row>
    <row r="63" spans="1:20" ht="12.75">
      <c r="A63" s="19" t="s">
        <v>512</v>
      </c>
      <c r="B63" s="126">
        <f>SUM(B64:B65)</f>
        <v>2884000</v>
      </c>
      <c r="C63" s="126">
        <f aca="true" t="shared" si="41" ref="C63:H63">SUM(C64:C65)</f>
        <v>975000</v>
      </c>
      <c r="D63" s="462">
        <f t="shared" si="1"/>
        <v>33.80721220527046</v>
      </c>
      <c r="E63" s="126">
        <f t="shared" si="41"/>
        <v>1642000</v>
      </c>
      <c r="F63" s="126">
        <f t="shared" si="41"/>
        <v>872000</v>
      </c>
      <c r="G63" s="462">
        <f t="shared" si="2"/>
        <v>53.10596833130329</v>
      </c>
      <c r="H63" s="126">
        <f t="shared" si="41"/>
        <v>2880000</v>
      </c>
      <c r="I63" s="126">
        <f>SUM(I64:I65)</f>
        <v>1745000</v>
      </c>
      <c r="J63" s="462">
        <f t="shared" si="6"/>
        <v>60.59027777777778</v>
      </c>
      <c r="K63" s="19" t="s">
        <v>512</v>
      </c>
      <c r="L63" s="126">
        <f aca="true" t="shared" si="42" ref="L63:S63">SUM(L64:L65)</f>
        <v>2884</v>
      </c>
      <c r="M63" s="126">
        <f t="shared" si="42"/>
        <v>975</v>
      </c>
      <c r="N63" s="462">
        <f t="shared" si="4"/>
        <v>33.80721220527046</v>
      </c>
      <c r="O63" s="126">
        <f t="shared" si="42"/>
        <v>1642</v>
      </c>
      <c r="P63" s="126">
        <f t="shared" si="42"/>
        <v>872</v>
      </c>
      <c r="Q63" s="462">
        <f t="shared" si="5"/>
        <v>53.10596833130329</v>
      </c>
      <c r="R63" s="126">
        <f t="shared" si="42"/>
        <v>2880</v>
      </c>
      <c r="S63" s="126">
        <f t="shared" si="42"/>
        <v>1745</v>
      </c>
      <c r="T63" s="462">
        <f t="shared" si="7"/>
        <v>60.59027777777778</v>
      </c>
    </row>
    <row r="64" spans="1:107" s="123" customFormat="1" ht="12.75">
      <c r="A64" s="128" t="s">
        <v>23</v>
      </c>
      <c r="B64" s="52">
        <v>10000</v>
      </c>
      <c r="C64" s="52"/>
      <c r="D64" s="463">
        <f t="shared" si="1"/>
        <v>0</v>
      </c>
      <c r="E64" s="52">
        <v>10000</v>
      </c>
      <c r="F64" s="52"/>
      <c r="G64" s="463">
        <f t="shared" si="2"/>
        <v>0</v>
      </c>
      <c r="H64" s="52">
        <v>50000</v>
      </c>
      <c r="I64" s="52">
        <v>50000</v>
      </c>
      <c r="J64" s="463">
        <f t="shared" si="6"/>
        <v>100</v>
      </c>
      <c r="K64" s="128" t="s">
        <v>23</v>
      </c>
      <c r="L64" s="52">
        <f>ROUND(B64/1000,0)</f>
        <v>10</v>
      </c>
      <c r="M64" s="52">
        <f>ROUND(C64/1000,0)</f>
        <v>0</v>
      </c>
      <c r="N64" s="463">
        <f t="shared" si="4"/>
        <v>0</v>
      </c>
      <c r="O64" s="52">
        <f>ROUND(E64/1000,0)</f>
        <v>10</v>
      </c>
      <c r="P64" s="52">
        <f>ROUND(F64/1000,0)</f>
        <v>0</v>
      </c>
      <c r="Q64" s="463">
        <f t="shared" si="5"/>
        <v>0</v>
      </c>
      <c r="R64" s="52">
        <f>ROUND(H64/1000,0)</f>
        <v>50</v>
      </c>
      <c r="S64" s="52">
        <f>ROUND(I64/1000,0)</f>
        <v>50</v>
      </c>
      <c r="T64" s="463">
        <f t="shared" si="7"/>
        <v>100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</row>
    <row r="65" spans="1:107" s="123" customFormat="1" ht="12.75">
      <c r="A65" s="128" t="s">
        <v>593</v>
      </c>
      <c r="B65" s="52">
        <v>2874000</v>
      </c>
      <c r="C65" s="52">
        <f>165000+800000+10000</f>
        <v>975000</v>
      </c>
      <c r="D65" s="463">
        <f t="shared" si="1"/>
        <v>33.92484342379959</v>
      </c>
      <c r="E65" s="52">
        <v>1632000</v>
      </c>
      <c r="F65" s="52">
        <f>62000+800000+10000</f>
        <v>872000</v>
      </c>
      <c r="G65" s="463">
        <f t="shared" si="2"/>
        <v>53.431372549019606</v>
      </c>
      <c r="H65" s="52">
        <v>2830000</v>
      </c>
      <c r="I65" s="52">
        <v>1695000</v>
      </c>
      <c r="J65" s="463">
        <f t="shared" si="6"/>
        <v>59.8939929328622</v>
      </c>
      <c r="K65" s="128" t="s">
        <v>593</v>
      </c>
      <c r="L65" s="52">
        <f>ROUND(B65/1000,0)</f>
        <v>2874</v>
      </c>
      <c r="M65" s="52">
        <f>ROUND(C65/1000,0)</f>
        <v>975</v>
      </c>
      <c r="N65" s="463">
        <f t="shared" si="4"/>
        <v>33.92484342379959</v>
      </c>
      <c r="O65" s="52">
        <f>ROUND(E65/1000,0)</f>
        <v>1632</v>
      </c>
      <c r="P65" s="52">
        <f>ROUND(F65/1000,0)</f>
        <v>872</v>
      </c>
      <c r="Q65" s="463">
        <f t="shared" si="5"/>
        <v>53.431372549019606</v>
      </c>
      <c r="R65" s="52">
        <f>ROUND(H65/1000,0)</f>
        <v>2830</v>
      </c>
      <c r="S65" s="52">
        <f>ROUND(I65/1000,0)</f>
        <v>1695</v>
      </c>
      <c r="T65" s="463">
        <f t="shared" si="7"/>
        <v>59.8939929328622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</row>
    <row r="66" spans="1:20" s="21" customFormat="1" ht="12">
      <c r="A66" s="80" t="s">
        <v>612</v>
      </c>
      <c r="B66" s="126">
        <f>SUM(B67:B68)</f>
        <v>2105510</v>
      </c>
      <c r="C66" s="126">
        <f aca="true" t="shared" si="43" ref="C66:H66">SUM(C67:C68)</f>
        <v>0</v>
      </c>
      <c r="D66" s="462">
        <f t="shared" si="1"/>
        <v>0</v>
      </c>
      <c r="E66" s="126">
        <f t="shared" si="43"/>
        <v>888660</v>
      </c>
      <c r="F66" s="126">
        <f t="shared" si="43"/>
        <v>0</v>
      </c>
      <c r="G66" s="462">
        <f t="shared" si="2"/>
        <v>0</v>
      </c>
      <c r="H66" s="126">
        <f t="shared" si="43"/>
        <v>618660</v>
      </c>
      <c r="I66" s="126">
        <f>SUM(I67:I68)</f>
        <v>0</v>
      </c>
      <c r="J66" s="462">
        <f t="shared" si="6"/>
        <v>0</v>
      </c>
      <c r="K66" s="80" t="s">
        <v>612</v>
      </c>
      <c r="L66" s="126">
        <f aca="true" t="shared" si="44" ref="L66:S66">SUM(L67:L68)</f>
        <v>2105</v>
      </c>
      <c r="M66" s="126">
        <f t="shared" si="44"/>
        <v>0</v>
      </c>
      <c r="N66" s="462">
        <f t="shared" si="4"/>
        <v>0</v>
      </c>
      <c r="O66" s="126">
        <f t="shared" si="44"/>
        <v>889</v>
      </c>
      <c r="P66" s="126">
        <f t="shared" si="44"/>
        <v>0</v>
      </c>
      <c r="Q66" s="462">
        <f t="shared" si="5"/>
        <v>0</v>
      </c>
      <c r="R66" s="126">
        <f t="shared" si="44"/>
        <v>619</v>
      </c>
      <c r="S66" s="126">
        <f t="shared" si="44"/>
        <v>0</v>
      </c>
      <c r="T66" s="462">
        <f t="shared" si="7"/>
        <v>0</v>
      </c>
    </row>
    <row r="67" spans="1:107" s="123" customFormat="1" ht="12.75">
      <c r="A67" s="128" t="s">
        <v>23</v>
      </c>
      <c r="B67" s="52">
        <v>390510</v>
      </c>
      <c r="C67" s="52"/>
      <c r="D67" s="463">
        <f t="shared" si="1"/>
        <v>0</v>
      </c>
      <c r="E67" s="52">
        <v>558660</v>
      </c>
      <c r="F67" s="52"/>
      <c r="G67" s="463">
        <f t="shared" si="2"/>
        <v>0</v>
      </c>
      <c r="H67" s="52">
        <v>558660</v>
      </c>
      <c r="I67" s="52"/>
      <c r="J67" s="463">
        <f t="shared" si="6"/>
        <v>0</v>
      </c>
      <c r="K67" s="128" t="s">
        <v>23</v>
      </c>
      <c r="L67" s="52">
        <f>ROUND(B67/1000,0)-1</f>
        <v>390</v>
      </c>
      <c r="M67" s="52">
        <f>ROUND(C67/1000,0)</f>
        <v>0</v>
      </c>
      <c r="N67" s="463">
        <f t="shared" si="4"/>
        <v>0</v>
      </c>
      <c r="O67" s="52">
        <f>ROUND(E67/1000,0)</f>
        <v>559</v>
      </c>
      <c r="P67" s="52">
        <f>ROUND(F67/1000,0)</f>
        <v>0</v>
      </c>
      <c r="Q67" s="463">
        <f t="shared" si="5"/>
        <v>0</v>
      </c>
      <c r="R67" s="52">
        <f>ROUND(H67/1000,0)</f>
        <v>559</v>
      </c>
      <c r="S67" s="52">
        <f>ROUND(I67/1000,0)</f>
        <v>0</v>
      </c>
      <c r="T67" s="463">
        <f t="shared" si="7"/>
        <v>0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</row>
    <row r="68" spans="1:107" s="123" customFormat="1" ht="12.75">
      <c r="A68" s="128" t="s">
        <v>593</v>
      </c>
      <c r="B68" s="52">
        <v>1715000</v>
      </c>
      <c r="C68" s="52"/>
      <c r="D68" s="463">
        <f t="shared" si="1"/>
        <v>0</v>
      </c>
      <c r="E68" s="52">
        <v>330000</v>
      </c>
      <c r="F68" s="52"/>
      <c r="G68" s="463">
        <f t="shared" si="2"/>
        <v>0</v>
      </c>
      <c r="H68" s="52">
        <v>60000</v>
      </c>
      <c r="I68" s="52"/>
      <c r="J68" s="463">
        <f t="shared" si="6"/>
        <v>0</v>
      </c>
      <c r="K68" s="128" t="s">
        <v>593</v>
      </c>
      <c r="L68" s="52">
        <f>ROUND(B68/1000,0)</f>
        <v>1715</v>
      </c>
      <c r="M68" s="52">
        <f>ROUND(C68/1000,0)</f>
        <v>0</v>
      </c>
      <c r="N68" s="463">
        <f t="shared" si="4"/>
        <v>0</v>
      </c>
      <c r="O68" s="52">
        <f>ROUND(E68/1000,0)</f>
        <v>330</v>
      </c>
      <c r="P68" s="52">
        <f>ROUND(F68/1000,0)</f>
        <v>0</v>
      </c>
      <c r="Q68" s="463">
        <f t="shared" si="5"/>
        <v>0</v>
      </c>
      <c r="R68" s="52">
        <f>ROUND(H68/1000,0)</f>
        <v>60</v>
      </c>
      <c r="S68" s="52">
        <f>ROUND(I68/1000,0)</f>
        <v>0</v>
      </c>
      <c r="T68" s="463">
        <f t="shared" si="7"/>
        <v>0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</row>
    <row r="69" spans="1:20" ht="12.75">
      <c r="A69" s="19" t="s">
        <v>31</v>
      </c>
      <c r="B69" s="126">
        <f>SUM(B70:B71)</f>
        <v>429090</v>
      </c>
      <c r="C69" s="126">
        <f aca="true" t="shared" si="45" ref="C69:I69">SUM(C70:C71)</f>
        <v>0</v>
      </c>
      <c r="D69" s="462">
        <f t="shared" si="1"/>
        <v>0</v>
      </c>
      <c r="E69" s="126">
        <f t="shared" si="45"/>
        <v>429090</v>
      </c>
      <c r="F69" s="126">
        <f t="shared" si="45"/>
        <v>0</v>
      </c>
      <c r="G69" s="462">
        <f t="shared" si="2"/>
        <v>0</v>
      </c>
      <c r="H69" s="126">
        <f t="shared" si="45"/>
        <v>1853180</v>
      </c>
      <c r="I69" s="126">
        <f t="shared" si="45"/>
        <v>0</v>
      </c>
      <c r="J69" s="462"/>
      <c r="K69" s="19" t="s">
        <v>31</v>
      </c>
      <c r="L69" s="126">
        <f aca="true" t="shared" si="46" ref="L69:S69">SUM(L70:L71)</f>
        <v>429</v>
      </c>
      <c r="M69" s="126">
        <f t="shared" si="46"/>
        <v>0</v>
      </c>
      <c r="N69" s="462">
        <f t="shared" si="4"/>
        <v>0</v>
      </c>
      <c r="O69" s="126">
        <f t="shared" si="46"/>
        <v>429</v>
      </c>
      <c r="P69" s="126">
        <f t="shared" si="46"/>
        <v>0</v>
      </c>
      <c r="Q69" s="462">
        <f t="shared" si="5"/>
        <v>0</v>
      </c>
      <c r="R69" s="126">
        <f t="shared" si="46"/>
        <v>1853</v>
      </c>
      <c r="S69" s="126">
        <f t="shared" si="46"/>
        <v>0</v>
      </c>
      <c r="T69" s="462">
        <f t="shared" si="7"/>
        <v>0</v>
      </c>
    </row>
    <row r="70" spans="1:107" s="123" customFormat="1" ht="12.75">
      <c r="A70" s="128" t="s">
        <v>23</v>
      </c>
      <c r="B70" s="52">
        <v>61090</v>
      </c>
      <c r="C70" s="52"/>
      <c r="D70" s="463">
        <f t="shared" si="1"/>
        <v>0</v>
      </c>
      <c r="E70" s="52">
        <v>61090</v>
      </c>
      <c r="F70" s="52"/>
      <c r="G70" s="463">
        <f t="shared" si="2"/>
        <v>0</v>
      </c>
      <c r="H70" s="52">
        <v>242180</v>
      </c>
      <c r="I70" s="52"/>
      <c r="J70" s="463"/>
      <c r="K70" s="128" t="s">
        <v>23</v>
      </c>
      <c r="L70" s="52">
        <f>ROUND(B70/1000,0)</f>
        <v>61</v>
      </c>
      <c r="M70" s="52">
        <f>ROUND(C70/1000,0)</f>
        <v>0</v>
      </c>
      <c r="N70" s="463">
        <f t="shared" si="4"/>
        <v>0</v>
      </c>
      <c r="O70" s="52">
        <f>ROUND(E70/1000,0)</f>
        <v>61</v>
      </c>
      <c r="P70" s="52">
        <f>ROUND(F70/1000,0)</f>
        <v>0</v>
      </c>
      <c r="Q70" s="463">
        <f t="shared" si="5"/>
        <v>0</v>
      </c>
      <c r="R70" s="52">
        <f>ROUND(H70/1000,0)</f>
        <v>242</v>
      </c>
      <c r="S70" s="52">
        <f>ROUND(I70/1000,0)</f>
        <v>0</v>
      </c>
      <c r="T70" s="463">
        <f t="shared" si="7"/>
        <v>0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</row>
    <row r="71" spans="1:107" s="123" customFormat="1" ht="12.75">
      <c r="A71" s="128" t="s">
        <v>593</v>
      </c>
      <c r="B71" s="52">
        <v>368000</v>
      </c>
      <c r="C71" s="52"/>
      <c r="D71" s="463">
        <f t="shared" si="1"/>
        <v>0</v>
      </c>
      <c r="E71" s="52">
        <v>368000</v>
      </c>
      <c r="F71" s="52"/>
      <c r="G71" s="463">
        <f t="shared" si="2"/>
        <v>0</v>
      </c>
      <c r="H71" s="52">
        <v>1611000</v>
      </c>
      <c r="I71" s="52"/>
      <c r="J71" s="463"/>
      <c r="K71" s="128" t="s">
        <v>593</v>
      </c>
      <c r="L71" s="52">
        <f>ROUND(B71/1000,0)</f>
        <v>368</v>
      </c>
      <c r="M71" s="52">
        <f>ROUND(C71/1000,0)</f>
        <v>0</v>
      </c>
      <c r="N71" s="463">
        <f t="shared" si="4"/>
        <v>0</v>
      </c>
      <c r="O71" s="52">
        <f>ROUND(E71/1000,0)</f>
        <v>368</v>
      </c>
      <c r="P71" s="52">
        <f>ROUND(F71/1000,0)</f>
        <v>0</v>
      </c>
      <c r="Q71" s="463">
        <f t="shared" si="5"/>
        <v>0</v>
      </c>
      <c r="R71" s="52">
        <f>ROUND(H71/1000,0)</f>
        <v>1611</v>
      </c>
      <c r="S71" s="52">
        <f>ROUND(I71/1000,0)</f>
        <v>0</v>
      </c>
      <c r="T71" s="463">
        <f t="shared" si="7"/>
        <v>0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</row>
    <row r="72" spans="1:20" ht="12.75">
      <c r="A72" s="19" t="s">
        <v>613</v>
      </c>
      <c r="B72" s="126">
        <f>SUM(B73:B76)</f>
        <v>174585</v>
      </c>
      <c r="C72" s="126">
        <f>SUM(C73:C76)</f>
        <v>0</v>
      </c>
      <c r="D72" s="462">
        <f t="shared" si="1"/>
        <v>0</v>
      </c>
      <c r="E72" s="126">
        <f>SUM(E73:E76)</f>
        <v>159876</v>
      </c>
      <c r="F72" s="126">
        <f>SUM(F73:F76)</f>
        <v>0</v>
      </c>
      <c r="G72" s="462">
        <f t="shared" si="2"/>
        <v>0</v>
      </c>
      <c r="H72" s="126">
        <f>SUM(H73:H76)</f>
        <v>1268784</v>
      </c>
      <c r="I72" s="126">
        <f>SUM(I73:I76)</f>
        <v>0</v>
      </c>
      <c r="J72" s="462">
        <f t="shared" si="6"/>
        <v>0</v>
      </c>
      <c r="K72" s="19" t="s">
        <v>613</v>
      </c>
      <c r="L72" s="126">
        <f>SUM(L73:L76)</f>
        <v>174</v>
      </c>
      <c r="M72" s="126">
        <f>SUM(M73:M76)</f>
        <v>0</v>
      </c>
      <c r="N72" s="462">
        <f t="shared" si="4"/>
        <v>0</v>
      </c>
      <c r="O72" s="126">
        <f>SUM(O73:O76)</f>
        <v>159</v>
      </c>
      <c r="P72" s="126">
        <f>SUM(P73:P76)</f>
        <v>0</v>
      </c>
      <c r="Q72" s="462">
        <f t="shared" si="5"/>
        <v>0</v>
      </c>
      <c r="R72" s="126">
        <f>SUM(R73:R76)</f>
        <v>1269</v>
      </c>
      <c r="S72" s="126">
        <f>SUM(S73:S76)</f>
        <v>0</v>
      </c>
      <c r="T72" s="462">
        <f t="shared" si="7"/>
        <v>0</v>
      </c>
    </row>
    <row r="73" spans="1:107" s="123" customFormat="1" ht="12.75">
      <c r="A73" s="128" t="s">
        <v>22</v>
      </c>
      <c r="B73" s="52">
        <v>103272</v>
      </c>
      <c r="C73" s="52"/>
      <c r="D73" s="463">
        <f t="shared" si="1"/>
        <v>0</v>
      </c>
      <c r="E73" s="52">
        <v>103272</v>
      </c>
      <c r="F73" s="52"/>
      <c r="G73" s="463">
        <f t="shared" si="2"/>
        <v>0</v>
      </c>
      <c r="H73" s="52">
        <v>820548</v>
      </c>
      <c r="I73" s="52"/>
      <c r="J73" s="463">
        <f t="shared" si="6"/>
        <v>0</v>
      </c>
      <c r="K73" s="128" t="s">
        <v>22</v>
      </c>
      <c r="L73" s="52">
        <f>ROUND(B73/1000,0)</f>
        <v>103</v>
      </c>
      <c r="M73" s="52">
        <f>ROUND(C73/1000,0)</f>
        <v>0</v>
      </c>
      <c r="N73" s="463">
        <f>M73/L73*100</f>
        <v>0</v>
      </c>
      <c r="O73" s="52">
        <f>ROUND(E73/1000,0)</f>
        <v>103</v>
      </c>
      <c r="P73" s="52">
        <f>ROUND(F73/1000,0)</f>
        <v>0</v>
      </c>
      <c r="Q73" s="463">
        <f>P73/O73*100</f>
        <v>0</v>
      </c>
      <c r="R73" s="52">
        <f>ROUND(H73/1000,0)</f>
        <v>821</v>
      </c>
      <c r="S73" s="52">
        <f>ROUND(I73/1000,0)</f>
        <v>0</v>
      </c>
      <c r="T73" s="463">
        <f>S73/R73*100</f>
        <v>0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</row>
    <row r="74" spans="1:107" s="123" customFormat="1" ht="12.75">
      <c r="A74" s="128" t="s">
        <v>582</v>
      </c>
      <c r="B74" s="52">
        <v>58103</v>
      </c>
      <c r="C74" s="52"/>
      <c r="D74" s="463">
        <f t="shared" si="1"/>
        <v>0</v>
      </c>
      <c r="E74" s="52">
        <v>54394</v>
      </c>
      <c r="F74" s="52"/>
      <c r="G74" s="463">
        <f t="shared" si="2"/>
        <v>0</v>
      </c>
      <c r="H74" s="52">
        <v>437186</v>
      </c>
      <c r="I74" s="52"/>
      <c r="J74" s="463">
        <f t="shared" si="6"/>
        <v>0</v>
      </c>
      <c r="K74" s="128" t="s">
        <v>582</v>
      </c>
      <c r="L74" s="52">
        <f>ROUND(B74/1000,0)</f>
        <v>58</v>
      </c>
      <c r="M74" s="52">
        <f aca="true" t="shared" si="47" ref="M74:S76">ROUND(C74/1000,0)</f>
        <v>0</v>
      </c>
      <c r="N74" s="463">
        <f t="shared" si="4"/>
        <v>0</v>
      </c>
      <c r="O74" s="52">
        <f>ROUND(E74/1000,0)</f>
        <v>54</v>
      </c>
      <c r="P74" s="52">
        <f t="shared" si="47"/>
        <v>0</v>
      </c>
      <c r="Q74" s="463">
        <f t="shared" si="5"/>
        <v>0</v>
      </c>
      <c r="R74" s="52">
        <f t="shared" si="47"/>
        <v>437</v>
      </c>
      <c r="S74" s="52">
        <f t="shared" si="47"/>
        <v>0</v>
      </c>
      <c r="T74" s="463">
        <f t="shared" si="7"/>
        <v>0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</row>
    <row r="75" spans="1:107" s="123" customFormat="1" ht="12.75">
      <c r="A75" s="128" t="s">
        <v>23</v>
      </c>
      <c r="B75" s="52">
        <v>2210</v>
      </c>
      <c r="C75" s="52"/>
      <c r="D75" s="463">
        <f t="shared" si="1"/>
        <v>0</v>
      </c>
      <c r="E75" s="52">
        <v>2210</v>
      </c>
      <c r="F75" s="52"/>
      <c r="G75" s="463">
        <f t="shared" si="2"/>
        <v>0</v>
      </c>
      <c r="H75" s="52">
        <v>11050</v>
      </c>
      <c r="I75" s="52"/>
      <c r="J75" s="463">
        <f t="shared" si="6"/>
        <v>0</v>
      </c>
      <c r="K75" s="128" t="s">
        <v>23</v>
      </c>
      <c r="L75" s="52">
        <f>ROUND(B75/1000,0)</f>
        <v>2</v>
      </c>
      <c r="M75" s="52">
        <f t="shared" si="47"/>
        <v>0</v>
      </c>
      <c r="N75" s="463">
        <f t="shared" si="4"/>
        <v>0</v>
      </c>
      <c r="O75" s="52">
        <f t="shared" si="47"/>
        <v>2</v>
      </c>
      <c r="P75" s="52">
        <f t="shared" si="47"/>
        <v>0</v>
      </c>
      <c r="Q75" s="463">
        <f t="shared" si="5"/>
        <v>0</v>
      </c>
      <c r="R75" s="52">
        <f t="shared" si="47"/>
        <v>11</v>
      </c>
      <c r="S75" s="52">
        <f t="shared" si="47"/>
        <v>0</v>
      </c>
      <c r="T75" s="463">
        <f t="shared" si="7"/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</row>
    <row r="76" spans="1:107" s="123" customFormat="1" ht="12.75">
      <c r="A76" s="128" t="s">
        <v>593</v>
      </c>
      <c r="B76" s="52">
        <v>11000</v>
      </c>
      <c r="C76" s="52"/>
      <c r="D76" s="463">
        <f aca="true" t="shared" si="48" ref="D76:D86">C76/B76*100</f>
        <v>0</v>
      </c>
      <c r="E76" s="52"/>
      <c r="F76" s="52"/>
      <c r="G76" s="463"/>
      <c r="H76" s="52"/>
      <c r="I76" s="52"/>
      <c r="J76" s="463"/>
      <c r="K76" s="128" t="s">
        <v>593</v>
      </c>
      <c r="L76" s="52">
        <f>ROUND(B76/1000,0)</f>
        <v>11</v>
      </c>
      <c r="M76" s="52">
        <f t="shared" si="47"/>
        <v>0</v>
      </c>
      <c r="N76" s="463">
        <f aca="true" t="shared" si="49" ref="N76:N86">M76/L76*100</f>
        <v>0</v>
      </c>
      <c r="O76" s="52">
        <f t="shared" si="47"/>
        <v>0</v>
      </c>
      <c r="P76" s="52">
        <f t="shared" si="47"/>
        <v>0</v>
      </c>
      <c r="Q76" s="463"/>
      <c r="R76" s="52">
        <f t="shared" si="47"/>
        <v>0</v>
      </c>
      <c r="S76" s="52">
        <f t="shared" si="47"/>
        <v>0</v>
      </c>
      <c r="T76" s="463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</row>
    <row r="77" spans="1:20" ht="12.75">
      <c r="A77" s="19" t="s">
        <v>515</v>
      </c>
      <c r="B77" s="126">
        <f>SUM(B78)</f>
        <v>500</v>
      </c>
      <c r="C77" s="126">
        <f aca="true" t="shared" si="50" ref="C77:I77">SUM(C78)</f>
        <v>0</v>
      </c>
      <c r="D77" s="462">
        <f t="shared" si="48"/>
        <v>0</v>
      </c>
      <c r="E77" s="126">
        <f t="shared" si="50"/>
        <v>500</v>
      </c>
      <c r="F77" s="126">
        <f t="shared" si="50"/>
        <v>0</v>
      </c>
      <c r="G77" s="462">
        <f aca="true" t="shared" si="51" ref="G77:G86">F77/E77*100</f>
        <v>0</v>
      </c>
      <c r="H77" s="126">
        <f t="shared" si="50"/>
        <v>1000</v>
      </c>
      <c r="I77" s="126">
        <f t="shared" si="50"/>
        <v>0</v>
      </c>
      <c r="J77" s="462">
        <f aca="true" t="shared" si="52" ref="J77:J86">I77/H77*100</f>
        <v>0</v>
      </c>
      <c r="K77" s="19" t="s">
        <v>515</v>
      </c>
      <c r="L77" s="126">
        <f aca="true" t="shared" si="53" ref="L77:S77">SUM(L78)</f>
        <v>1</v>
      </c>
      <c r="M77" s="126">
        <f t="shared" si="53"/>
        <v>0</v>
      </c>
      <c r="N77" s="462">
        <f t="shared" si="49"/>
        <v>0</v>
      </c>
      <c r="O77" s="126">
        <f t="shared" si="53"/>
        <v>1</v>
      </c>
      <c r="P77" s="126">
        <f t="shared" si="53"/>
        <v>0</v>
      </c>
      <c r="Q77" s="462">
        <f aca="true" t="shared" si="54" ref="Q77:Q86">P77/O77*100</f>
        <v>0</v>
      </c>
      <c r="R77" s="126">
        <f t="shared" si="53"/>
        <v>1</v>
      </c>
      <c r="S77" s="126">
        <f t="shared" si="53"/>
        <v>0</v>
      </c>
      <c r="T77" s="462">
        <f aca="true" t="shared" si="55" ref="T77:T84">S77/R77*100</f>
        <v>0</v>
      </c>
    </row>
    <row r="78" spans="1:107" s="123" customFormat="1" ht="12.75">
      <c r="A78" s="128" t="s">
        <v>23</v>
      </c>
      <c r="B78" s="52">
        <v>500</v>
      </c>
      <c r="C78" s="52"/>
      <c r="D78" s="463">
        <f t="shared" si="48"/>
        <v>0</v>
      </c>
      <c r="E78" s="52">
        <v>500</v>
      </c>
      <c r="F78" s="52"/>
      <c r="G78" s="463">
        <f t="shared" si="51"/>
        <v>0</v>
      </c>
      <c r="H78" s="52">
        <v>1000</v>
      </c>
      <c r="I78" s="52"/>
      <c r="J78" s="463">
        <f t="shared" si="52"/>
        <v>0</v>
      </c>
      <c r="K78" s="128" t="s">
        <v>23</v>
      </c>
      <c r="L78" s="52">
        <f aca="true" t="shared" si="56" ref="L78:S78">ROUND(B78/1000,0)</f>
        <v>1</v>
      </c>
      <c r="M78" s="52">
        <f t="shared" si="56"/>
        <v>0</v>
      </c>
      <c r="N78" s="463">
        <f t="shared" si="49"/>
        <v>0</v>
      </c>
      <c r="O78" s="52">
        <f t="shared" si="56"/>
        <v>1</v>
      </c>
      <c r="P78" s="52">
        <f t="shared" si="56"/>
        <v>0</v>
      </c>
      <c r="Q78" s="463">
        <f t="shared" si="54"/>
        <v>0</v>
      </c>
      <c r="R78" s="52">
        <f t="shared" si="56"/>
        <v>1</v>
      </c>
      <c r="S78" s="52">
        <f t="shared" si="56"/>
        <v>0</v>
      </c>
      <c r="T78" s="463">
        <f t="shared" si="55"/>
        <v>0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</row>
    <row r="79" spans="1:20" ht="12.75">
      <c r="A79" s="19" t="s">
        <v>617</v>
      </c>
      <c r="B79" s="126">
        <f>SUM(B80)</f>
        <v>600</v>
      </c>
      <c r="C79" s="126">
        <f>SUM(C80)</f>
        <v>0</v>
      </c>
      <c r="D79" s="462">
        <f t="shared" si="48"/>
        <v>0</v>
      </c>
      <c r="E79" s="126">
        <f>SUM(E80)</f>
        <v>600</v>
      </c>
      <c r="F79" s="126">
        <f>SUM(F80)</f>
        <v>0</v>
      </c>
      <c r="G79" s="462">
        <f t="shared" si="51"/>
        <v>0</v>
      </c>
      <c r="H79" s="126">
        <f>SUM(H80)</f>
        <v>0</v>
      </c>
      <c r="I79" s="126">
        <f>SUM(I80)</f>
        <v>0</v>
      </c>
      <c r="J79" s="463" t="e">
        <f t="shared" si="52"/>
        <v>#DIV/0!</v>
      </c>
      <c r="K79" s="19" t="s">
        <v>617</v>
      </c>
      <c r="L79" s="126">
        <f>SUM(L80)</f>
        <v>1</v>
      </c>
      <c r="M79" s="126">
        <f>SUM(M80)</f>
        <v>0</v>
      </c>
      <c r="N79" s="462">
        <f t="shared" si="49"/>
        <v>0</v>
      </c>
      <c r="O79" s="126">
        <f>SUM(O80)</f>
        <v>1</v>
      </c>
      <c r="P79" s="126">
        <f>SUM(P80)</f>
        <v>0</v>
      </c>
      <c r="Q79" s="462">
        <f t="shared" si="54"/>
        <v>0</v>
      </c>
      <c r="R79" s="126">
        <f>SUM(R80)</f>
        <v>0</v>
      </c>
      <c r="S79" s="126">
        <f>SUM(S80)</f>
        <v>0</v>
      </c>
      <c r="T79" s="462"/>
    </row>
    <row r="80" spans="1:107" s="123" customFormat="1" ht="12.75">
      <c r="A80" s="128" t="s">
        <v>23</v>
      </c>
      <c r="B80" s="52">
        <v>600</v>
      </c>
      <c r="C80" s="52"/>
      <c r="D80" s="463">
        <f t="shared" si="48"/>
        <v>0</v>
      </c>
      <c r="E80" s="52">
        <v>600</v>
      </c>
      <c r="F80" s="52"/>
      <c r="G80" s="463">
        <f t="shared" si="51"/>
        <v>0</v>
      </c>
      <c r="H80" s="52"/>
      <c r="I80" s="52"/>
      <c r="J80" s="463" t="e">
        <f t="shared" si="52"/>
        <v>#DIV/0!</v>
      </c>
      <c r="K80" s="128" t="s">
        <v>23</v>
      </c>
      <c r="L80" s="52">
        <f>ROUND(B80/1000,0)</f>
        <v>1</v>
      </c>
      <c r="M80" s="52">
        <f>ROUND(C80/1000,0)</f>
        <v>0</v>
      </c>
      <c r="N80" s="463">
        <f t="shared" si="49"/>
        <v>0</v>
      </c>
      <c r="O80" s="52">
        <f>ROUND(E80/1000,0)</f>
        <v>1</v>
      </c>
      <c r="P80" s="52">
        <f>ROUND(F80/1000,0)</f>
        <v>0</v>
      </c>
      <c r="Q80" s="463">
        <f t="shared" si="54"/>
        <v>0</v>
      </c>
      <c r="R80" s="52">
        <f>ROUND(H80/1000,0)</f>
        <v>0</v>
      </c>
      <c r="S80" s="52">
        <f>ROUND(I80/1000,0)</f>
        <v>0</v>
      </c>
      <c r="T80" s="463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</row>
    <row r="81" spans="1:20" ht="12.75">
      <c r="A81" s="19" t="s">
        <v>619</v>
      </c>
      <c r="B81" s="126">
        <f>B82</f>
        <v>143476</v>
      </c>
      <c r="C81" s="126">
        <f aca="true" t="shared" si="57" ref="C81:I81">C82</f>
        <v>0</v>
      </c>
      <c r="D81" s="462">
        <f t="shared" si="48"/>
        <v>0</v>
      </c>
      <c r="E81" s="126">
        <f t="shared" si="57"/>
        <v>190356</v>
      </c>
      <c r="F81" s="126">
        <f t="shared" si="57"/>
        <v>0</v>
      </c>
      <c r="G81" s="462">
        <f t="shared" si="51"/>
        <v>0</v>
      </c>
      <c r="H81" s="126">
        <f t="shared" si="57"/>
        <v>190356</v>
      </c>
      <c r="I81" s="126">
        <f t="shared" si="57"/>
        <v>0</v>
      </c>
      <c r="J81" s="463">
        <f t="shared" si="52"/>
        <v>0</v>
      </c>
      <c r="K81" s="19" t="s">
        <v>619</v>
      </c>
      <c r="L81" s="126">
        <f>L82</f>
        <v>144</v>
      </c>
      <c r="M81" s="126">
        <f>M82</f>
        <v>0</v>
      </c>
      <c r="N81" s="462">
        <f t="shared" si="49"/>
        <v>0</v>
      </c>
      <c r="O81" s="126">
        <f>O82</f>
        <v>190</v>
      </c>
      <c r="P81" s="126">
        <f>P82</f>
        <v>0</v>
      </c>
      <c r="Q81" s="462">
        <f t="shared" si="54"/>
        <v>0</v>
      </c>
      <c r="R81" s="126">
        <f>R82</f>
        <v>190</v>
      </c>
      <c r="S81" s="126">
        <f>S82</f>
        <v>0</v>
      </c>
      <c r="T81" s="462">
        <f t="shared" si="55"/>
        <v>0</v>
      </c>
    </row>
    <row r="82" spans="1:107" s="123" customFormat="1" ht="12.75">
      <c r="A82" s="128" t="s">
        <v>30</v>
      </c>
      <c r="B82" s="52">
        <v>143476</v>
      </c>
      <c r="C82" s="52"/>
      <c r="D82" s="463">
        <f t="shared" si="48"/>
        <v>0</v>
      </c>
      <c r="E82" s="52">
        <v>190356</v>
      </c>
      <c r="F82" s="52"/>
      <c r="G82" s="463">
        <f t="shared" si="51"/>
        <v>0</v>
      </c>
      <c r="H82" s="52">
        <v>190356</v>
      </c>
      <c r="I82" s="52"/>
      <c r="J82" s="463">
        <f t="shared" si="52"/>
        <v>0</v>
      </c>
      <c r="K82" s="128" t="s">
        <v>30</v>
      </c>
      <c r="L82" s="52">
        <f>ROUND(B82/1000,0)+1</f>
        <v>144</v>
      </c>
      <c r="M82" s="52">
        <f>ROUND(C82/1000,0)</f>
        <v>0</v>
      </c>
      <c r="N82" s="463">
        <f t="shared" si="49"/>
        <v>0</v>
      </c>
      <c r="O82" s="52">
        <f aca="true" t="shared" si="58" ref="O82:P84">ROUND(E82/1000,0)</f>
        <v>190</v>
      </c>
      <c r="P82" s="52">
        <f t="shared" si="58"/>
        <v>0</v>
      </c>
      <c r="Q82" s="463">
        <f t="shared" si="54"/>
        <v>0</v>
      </c>
      <c r="R82" s="52">
        <f aca="true" t="shared" si="59" ref="R82:S84">ROUND(H82/1000,0)</f>
        <v>190</v>
      </c>
      <c r="S82" s="52">
        <f t="shared" si="59"/>
        <v>0</v>
      </c>
      <c r="T82" s="463">
        <f t="shared" si="55"/>
        <v>0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</row>
    <row r="83" spans="1:20" ht="12.75">
      <c r="A83" s="19" t="s">
        <v>620</v>
      </c>
      <c r="B83" s="126">
        <f>SUM(B84)</f>
        <v>216000</v>
      </c>
      <c r="C83" s="126">
        <f aca="true" t="shared" si="60" ref="C83:I83">SUM(C84)</f>
        <v>0</v>
      </c>
      <c r="D83" s="462">
        <f t="shared" si="48"/>
        <v>0</v>
      </c>
      <c r="E83" s="126">
        <f t="shared" si="60"/>
        <v>200000</v>
      </c>
      <c r="F83" s="126">
        <f t="shared" si="60"/>
        <v>0</v>
      </c>
      <c r="G83" s="462">
        <f t="shared" si="51"/>
        <v>0</v>
      </c>
      <c r="H83" s="126">
        <f t="shared" si="60"/>
        <v>400000</v>
      </c>
      <c r="I83" s="126">
        <f t="shared" si="60"/>
        <v>0</v>
      </c>
      <c r="J83" s="463">
        <f t="shared" si="52"/>
        <v>0</v>
      </c>
      <c r="K83" s="19" t="s">
        <v>620</v>
      </c>
      <c r="L83" s="126">
        <f>SUM(L84)</f>
        <v>216</v>
      </c>
      <c r="M83" s="126">
        <f>ROUND(C83/1000,0)</f>
        <v>0</v>
      </c>
      <c r="N83" s="462">
        <f t="shared" si="49"/>
        <v>0</v>
      </c>
      <c r="O83" s="126">
        <f t="shared" si="58"/>
        <v>200</v>
      </c>
      <c r="P83" s="126">
        <f t="shared" si="58"/>
        <v>0</v>
      </c>
      <c r="Q83" s="462">
        <f t="shared" si="54"/>
        <v>0</v>
      </c>
      <c r="R83" s="126">
        <f t="shared" si="59"/>
        <v>400</v>
      </c>
      <c r="S83" s="126">
        <f t="shared" si="59"/>
        <v>0</v>
      </c>
      <c r="T83" s="462">
        <f t="shared" si="55"/>
        <v>0</v>
      </c>
    </row>
    <row r="84" spans="1:107" s="123" customFormat="1" ht="12.75">
      <c r="A84" s="128" t="s">
        <v>593</v>
      </c>
      <c r="B84" s="52">
        <v>216000</v>
      </c>
      <c r="C84" s="52"/>
      <c r="D84" s="463">
        <f t="shared" si="48"/>
        <v>0</v>
      </c>
      <c r="E84" s="52">
        <v>200000</v>
      </c>
      <c r="F84" s="52"/>
      <c r="G84" s="463">
        <f t="shared" si="51"/>
        <v>0</v>
      </c>
      <c r="H84" s="52">
        <v>400000</v>
      </c>
      <c r="I84" s="52"/>
      <c r="J84" s="463">
        <f t="shared" si="52"/>
        <v>0</v>
      </c>
      <c r="K84" s="128" t="s">
        <v>593</v>
      </c>
      <c r="L84" s="52">
        <f>ROUND(B84/1000,0)</f>
        <v>216</v>
      </c>
      <c r="M84" s="52">
        <f>ROUND(C84/1000,0)</f>
        <v>0</v>
      </c>
      <c r="N84" s="463">
        <f t="shared" si="49"/>
        <v>0</v>
      </c>
      <c r="O84" s="52">
        <f t="shared" si="58"/>
        <v>200</v>
      </c>
      <c r="P84" s="52">
        <f t="shared" si="58"/>
        <v>0</v>
      </c>
      <c r="Q84" s="463">
        <f t="shared" si="54"/>
        <v>0</v>
      </c>
      <c r="R84" s="52">
        <f t="shared" si="59"/>
        <v>400</v>
      </c>
      <c r="S84" s="52">
        <f t="shared" si="59"/>
        <v>0</v>
      </c>
      <c r="T84" s="463">
        <f t="shared" si="55"/>
        <v>0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</row>
    <row r="85" spans="1:20" ht="24">
      <c r="A85" s="19" t="s">
        <v>32</v>
      </c>
      <c r="B85" s="126">
        <f>B86</f>
        <v>540000</v>
      </c>
      <c r="C85" s="126">
        <f aca="true" t="shared" si="61" ref="C85:I85">C86</f>
        <v>0</v>
      </c>
      <c r="D85" s="462">
        <f t="shared" si="48"/>
        <v>0</v>
      </c>
      <c r="E85" s="126">
        <f t="shared" si="61"/>
        <v>110000</v>
      </c>
      <c r="F85" s="126">
        <f t="shared" si="61"/>
        <v>0</v>
      </c>
      <c r="G85" s="462">
        <f t="shared" si="51"/>
        <v>0</v>
      </c>
      <c r="H85" s="126">
        <f t="shared" si="61"/>
        <v>0</v>
      </c>
      <c r="I85" s="126">
        <f t="shared" si="61"/>
        <v>0</v>
      </c>
      <c r="J85" s="463" t="e">
        <f t="shared" si="52"/>
        <v>#DIV/0!</v>
      </c>
      <c r="K85" s="80" t="s">
        <v>32</v>
      </c>
      <c r="L85" s="126">
        <f>L86</f>
        <v>540</v>
      </c>
      <c r="M85" s="126">
        <f aca="true" t="shared" si="62" ref="M85:S85">M86</f>
        <v>0</v>
      </c>
      <c r="N85" s="462">
        <f t="shared" si="49"/>
        <v>0</v>
      </c>
      <c r="O85" s="126">
        <f t="shared" si="62"/>
        <v>110</v>
      </c>
      <c r="P85" s="126">
        <f t="shared" si="62"/>
        <v>0</v>
      </c>
      <c r="Q85" s="462">
        <f t="shared" si="54"/>
        <v>0</v>
      </c>
      <c r="R85" s="126">
        <f t="shared" si="62"/>
        <v>0</v>
      </c>
      <c r="S85" s="126">
        <f t="shared" si="62"/>
        <v>0</v>
      </c>
      <c r="T85" s="462"/>
    </row>
    <row r="86" spans="1:107" s="123" customFormat="1" ht="12.75">
      <c r="A86" s="128" t="s">
        <v>593</v>
      </c>
      <c r="B86" s="52">
        <v>540000</v>
      </c>
      <c r="C86" s="52"/>
      <c r="D86" s="463">
        <f t="shared" si="48"/>
        <v>0</v>
      </c>
      <c r="E86" s="52">
        <v>110000</v>
      </c>
      <c r="F86" s="52"/>
      <c r="G86" s="463">
        <f t="shared" si="51"/>
        <v>0</v>
      </c>
      <c r="H86" s="52"/>
      <c r="I86" s="52"/>
      <c r="J86" s="463" t="e">
        <f t="shared" si="52"/>
        <v>#DIV/0!</v>
      </c>
      <c r="K86" s="128" t="s">
        <v>593</v>
      </c>
      <c r="L86" s="52">
        <f>ROUND(B86/1000,0)</f>
        <v>540</v>
      </c>
      <c r="M86" s="52">
        <f>ROUND(C86/1000,0)</f>
        <v>0</v>
      </c>
      <c r="N86" s="463">
        <f t="shared" si="49"/>
        <v>0</v>
      </c>
      <c r="O86" s="52">
        <f>ROUND(E86/1000,0)</f>
        <v>110</v>
      </c>
      <c r="P86" s="52">
        <f>ROUND(F86/1000,0)</f>
        <v>0</v>
      </c>
      <c r="Q86" s="463">
        <f t="shared" si="54"/>
        <v>0</v>
      </c>
      <c r="R86" s="52">
        <f>ROUND(H86/1000,0)</f>
        <v>0</v>
      </c>
      <c r="S86" s="52">
        <f>ROUND(I86/1000,0)</f>
        <v>0</v>
      </c>
      <c r="T86" s="463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</row>
    <row r="88" spans="1:20" ht="12.75">
      <c r="A88" s="28"/>
      <c r="B88" s="468"/>
      <c r="C88" s="343"/>
      <c r="D88" s="343"/>
      <c r="E88" s="469"/>
      <c r="F88" s="470"/>
      <c r="G88" s="470"/>
      <c r="H88" s="470"/>
      <c r="I88" s="470"/>
      <c r="J88" s="28"/>
      <c r="K88" s="64" t="s">
        <v>33</v>
      </c>
      <c r="L88" s="471"/>
      <c r="M88" s="343"/>
      <c r="N88" s="472"/>
      <c r="O88" s="473"/>
      <c r="P88" s="474"/>
      <c r="Q88" s="474"/>
      <c r="R88" s="474"/>
      <c r="S88" s="470"/>
      <c r="T88" s="28"/>
    </row>
    <row r="89" spans="1:20" ht="12.75">
      <c r="A89" s="28"/>
      <c r="B89" s="468"/>
      <c r="C89" s="343"/>
      <c r="D89" s="343"/>
      <c r="E89" s="469"/>
      <c r="F89" s="470"/>
      <c r="G89" s="470"/>
      <c r="H89" s="470"/>
      <c r="I89" s="470"/>
      <c r="J89" s="28"/>
      <c r="K89" s="28"/>
      <c r="L89" s="468"/>
      <c r="M89" s="343"/>
      <c r="N89" s="343"/>
      <c r="O89" s="469"/>
      <c r="P89" s="470"/>
      <c r="Q89" s="470"/>
      <c r="R89" s="470"/>
      <c r="S89" s="470"/>
      <c r="T89" s="28"/>
    </row>
    <row r="90" spans="1:20" ht="12.75">
      <c r="A90" s="24"/>
      <c r="B90" s="471"/>
      <c r="C90" s="343"/>
      <c r="D90" s="472"/>
      <c r="E90" s="473"/>
      <c r="F90" s="474"/>
      <c r="G90" s="474"/>
      <c r="H90" s="474"/>
      <c r="I90" s="474"/>
      <c r="J90" s="28"/>
      <c r="K90" s="24" t="s">
        <v>349</v>
      </c>
      <c r="S90" s="474"/>
      <c r="T90" s="28"/>
    </row>
    <row r="91" ht="12.75">
      <c r="K91" s="24" t="s">
        <v>350</v>
      </c>
    </row>
    <row r="92" spans="10:20" ht="12.75">
      <c r="J92" s="28"/>
      <c r="K92" s="28"/>
      <c r="T92" s="28"/>
    </row>
    <row r="93" spans="10:20" ht="12.75">
      <c r="J93" s="28"/>
      <c r="K93" s="28"/>
      <c r="T93" s="28"/>
    </row>
    <row r="94" spans="10:20" ht="12.75">
      <c r="J94" s="28"/>
      <c r="K94" s="28"/>
      <c r="T94" s="28"/>
    </row>
    <row r="95" s="24" customFormat="1" ht="11.25"/>
    <row r="96" s="24" customFormat="1" ht="11.25"/>
    <row r="97" spans="10:20" ht="12.75">
      <c r="J97" s="28"/>
      <c r="T97" s="28"/>
    </row>
    <row r="100" spans="10:20" ht="12.75">
      <c r="J100" s="28"/>
      <c r="T100" s="28"/>
    </row>
    <row r="101" spans="10:20" ht="12.75">
      <c r="J101" s="28"/>
      <c r="T101" s="28"/>
    </row>
    <row r="102" spans="10:20" ht="12.75">
      <c r="J102" s="28"/>
      <c r="T102" s="28"/>
    </row>
    <row r="103" spans="10:20" ht="12.75">
      <c r="J103" s="28"/>
      <c r="T103" s="28"/>
    </row>
    <row r="104" spans="10:20" ht="12.75">
      <c r="J104" s="28"/>
      <c r="T104" s="28"/>
    </row>
    <row r="105" spans="10:20" ht="12.75">
      <c r="J105" s="28"/>
      <c r="T105" s="28"/>
    </row>
    <row r="106" spans="10:20" ht="12.75">
      <c r="J106" s="28"/>
      <c r="K106" s="28"/>
      <c r="T106" s="28"/>
    </row>
    <row r="107" spans="10:20" ht="12.75">
      <c r="J107" s="28"/>
      <c r="K107" s="28"/>
      <c r="T107" s="28"/>
    </row>
    <row r="108" spans="10:20" ht="12.75">
      <c r="J108" s="28"/>
      <c r="K108" s="28"/>
      <c r="T108" s="28"/>
    </row>
    <row r="109" spans="10:20" ht="12.75">
      <c r="J109" s="28"/>
      <c r="K109" s="28"/>
      <c r="T109" s="28"/>
    </row>
    <row r="110" spans="10:20" ht="12.75">
      <c r="J110" s="28"/>
      <c r="K110" s="28"/>
      <c r="T110" s="28"/>
    </row>
    <row r="111" spans="10:20" ht="12.75">
      <c r="J111" s="28"/>
      <c r="T111" s="28"/>
    </row>
    <row r="112" spans="10:20" ht="12.75">
      <c r="J112" s="28"/>
      <c r="T112" s="28"/>
    </row>
    <row r="113" spans="10:20" ht="12.75">
      <c r="J113" s="28"/>
      <c r="T113" s="28"/>
    </row>
    <row r="114" spans="10:20" ht="12.75">
      <c r="J114" s="28"/>
      <c r="T114" s="28"/>
    </row>
    <row r="115" spans="10:20" ht="12.75">
      <c r="J115" s="28"/>
      <c r="T115" s="28"/>
    </row>
    <row r="116" spans="10:20" ht="12.75">
      <c r="J116" s="28"/>
      <c r="T116" s="28"/>
    </row>
    <row r="117" spans="10:20" ht="12.75">
      <c r="J117" s="28"/>
      <c r="T117" s="28"/>
    </row>
    <row r="118" spans="10:20" ht="12.75">
      <c r="J118" s="28"/>
      <c r="T118" s="28"/>
    </row>
    <row r="119" spans="10:20" ht="12.75">
      <c r="J119" s="28"/>
      <c r="T119" s="28"/>
    </row>
    <row r="120" spans="10:20" ht="12.75">
      <c r="J120" s="28"/>
      <c r="T120" s="28"/>
    </row>
    <row r="121" spans="10:20" ht="12.75">
      <c r="J121" s="28"/>
      <c r="T121" s="28"/>
    </row>
    <row r="122" spans="10:20" ht="12.75">
      <c r="J122" s="28"/>
      <c r="T122" s="28"/>
    </row>
    <row r="123" spans="10:20" ht="12.75">
      <c r="J123" s="28"/>
      <c r="T123" s="28"/>
    </row>
    <row r="124" spans="10:20" ht="12.75">
      <c r="J124" s="28"/>
      <c r="T124" s="28"/>
    </row>
    <row r="125" spans="10:20" ht="12.75">
      <c r="J125" s="28"/>
      <c r="T125" s="28"/>
    </row>
    <row r="126" spans="10:20" ht="12.75">
      <c r="J126" s="28"/>
      <c r="T126" s="28"/>
    </row>
    <row r="127" spans="10:20" ht="12.75">
      <c r="J127" s="28"/>
      <c r="T127" s="28"/>
    </row>
    <row r="128" spans="10:20" ht="12.75">
      <c r="J128" s="28"/>
      <c r="T128" s="28"/>
    </row>
    <row r="129" spans="10:20" ht="12.75">
      <c r="J129" s="28"/>
      <c r="T129" s="28"/>
    </row>
    <row r="130" spans="10:20" ht="12.75">
      <c r="J130" s="28"/>
      <c r="T130" s="28"/>
    </row>
    <row r="131" spans="10:20" ht="12.75">
      <c r="J131" s="28"/>
      <c r="T131" s="28"/>
    </row>
    <row r="132" spans="10:20" ht="12.75">
      <c r="J132" s="28"/>
      <c r="T132" s="28"/>
    </row>
    <row r="133" spans="10:20" ht="12.75">
      <c r="J133" s="28"/>
      <c r="T133" s="28"/>
    </row>
    <row r="134" spans="10:20" ht="12.75">
      <c r="J134" s="28"/>
      <c r="T134" s="28"/>
    </row>
    <row r="135" spans="10:20" ht="12.75">
      <c r="J135" s="28"/>
      <c r="T135" s="28"/>
    </row>
    <row r="136" spans="10:20" ht="12.75">
      <c r="J136" s="28"/>
      <c r="T136" s="28"/>
    </row>
    <row r="137" spans="10:20" ht="12.75">
      <c r="J137" s="28"/>
      <c r="T137" s="28"/>
    </row>
    <row r="138" spans="10:20" ht="12.75">
      <c r="J138" s="28"/>
      <c r="T138" s="28"/>
    </row>
    <row r="139" spans="10:20" ht="12.75">
      <c r="J139" s="28"/>
      <c r="T139" s="28"/>
    </row>
    <row r="140" spans="10:20" ht="12.75">
      <c r="J140" s="28"/>
      <c r="T140" s="28"/>
    </row>
    <row r="141" spans="10:20" ht="12.75">
      <c r="J141" s="28"/>
      <c r="T141" s="28"/>
    </row>
    <row r="142" spans="10:20" ht="12.75">
      <c r="J142" s="28"/>
      <c r="T142" s="28"/>
    </row>
    <row r="143" spans="10:20" ht="12.75">
      <c r="J143" s="28"/>
      <c r="T143" s="28"/>
    </row>
    <row r="144" spans="10:20" ht="12.75">
      <c r="J144" s="28"/>
      <c r="T144" s="28"/>
    </row>
    <row r="145" spans="10:20" ht="12.75">
      <c r="J145" s="28"/>
      <c r="T145" s="28"/>
    </row>
    <row r="146" spans="10:20" ht="12.75">
      <c r="J146" s="28"/>
      <c r="T146" s="28"/>
    </row>
    <row r="147" spans="10:20" ht="12.75">
      <c r="J147" s="28"/>
      <c r="T147" s="28"/>
    </row>
    <row r="148" spans="10:20" ht="12.75">
      <c r="J148" s="28"/>
      <c r="T148" s="28"/>
    </row>
    <row r="149" spans="10:20" ht="12.75">
      <c r="J149" s="28"/>
      <c r="T149" s="28"/>
    </row>
    <row r="150" spans="10:20" ht="12.75">
      <c r="J150" s="28"/>
      <c r="T150" s="28"/>
    </row>
    <row r="151" spans="10:20" ht="12.75">
      <c r="J151" s="28"/>
      <c r="T151" s="28"/>
    </row>
    <row r="152" spans="10:20" ht="12.75">
      <c r="J152" s="28"/>
      <c r="T152" s="28"/>
    </row>
    <row r="153" spans="10:20" ht="12.75">
      <c r="J153" s="28"/>
      <c r="T153" s="28"/>
    </row>
    <row r="154" spans="10:20" ht="12.75">
      <c r="J154" s="28"/>
      <c r="T154" s="28"/>
    </row>
    <row r="155" spans="10:20" ht="12.75">
      <c r="J155" s="28"/>
      <c r="T155" s="28"/>
    </row>
    <row r="156" spans="10:20" ht="12.75">
      <c r="J156" s="28"/>
      <c r="T156" s="28"/>
    </row>
    <row r="157" spans="10:20" ht="12.75">
      <c r="J157" s="28"/>
      <c r="T157" s="28"/>
    </row>
    <row r="158" spans="10:20" ht="12.75">
      <c r="J158" s="28"/>
      <c r="T158" s="28"/>
    </row>
    <row r="159" spans="10:20" ht="12.75">
      <c r="J159" s="28"/>
      <c r="T159" s="28"/>
    </row>
    <row r="160" spans="10:20" ht="12.75">
      <c r="J160" s="28"/>
      <c r="T160" s="28"/>
    </row>
    <row r="161" spans="10:20" ht="12.75">
      <c r="J161" s="28"/>
      <c r="T161" s="28"/>
    </row>
    <row r="162" spans="10:20" ht="12.75">
      <c r="J162" s="28"/>
      <c r="T162" s="28"/>
    </row>
    <row r="163" spans="10:20" ht="12.75">
      <c r="J163" s="28"/>
      <c r="T163" s="28"/>
    </row>
    <row r="164" spans="10:20" ht="12.75">
      <c r="J164" s="28"/>
      <c r="T164" s="28"/>
    </row>
    <row r="165" spans="10:20" ht="12.75">
      <c r="J165" s="28"/>
      <c r="T165" s="28"/>
    </row>
    <row r="166" spans="10:20" ht="12.75">
      <c r="J166" s="28"/>
      <c r="T166" s="28"/>
    </row>
    <row r="167" spans="10:20" ht="12.75">
      <c r="J167" s="28"/>
      <c r="T167" s="28"/>
    </row>
    <row r="168" spans="10:20" ht="12.75">
      <c r="J168" s="28"/>
      <c r="T168" s="28"/>
    </row>
    <row r="169" spans="10:20" ht="12.75">
      <c r="J169" s="28"/>
      <c r="T169" s="28"/>
    </row>
    <row r="170" spans="10:20" ht="12.75">
      <c r="J170" s="28"/>
      <c r="T170" s="28"/>
    </row>
    <row r="171" spans="10:20" ht="12.75">
      <c r="J171" s="28"/>
      <c r="T171" s="28"/>
    </row>
    <row r="172" spans="10:20" ht="12.75">
      <c r="J172" s="28"/>
      <c r="T172" s="28"/>
    </row>
    <row r="173" spans="10:20" ht="12.75">
      <c r="J173" s="28"/>
      <c r="T173" s="28"/>
    </row>
    <row r="174" spans="10:20" ht="12.75">
      <c r="J174" s="28"/>
      <c r="T174" s="28"/>
    </row>
    <row r="175" spans="1:2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  <row r="200" spans="1:20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1:20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</row>
    <row r="202" spans="1:20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</row>
    <row r="203" spans="1:20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</row>
    <row r="204" spans="1:20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</row>
    <row r="205" spans="1:20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</row>
    <row r="207" spans="1:2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</row>
    <row r="208" spans="1:20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</row>
    <row r="210" spans="1:20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1:20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</row>
    <row r="212" spans="1:20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</row>
    <row r="213" spans="1:20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</row>
    <row r="214" spans="1:20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1:20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</row>
    <row r="217" spans="1:20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1:20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1:20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</row>
    <row r="220" spans="1:20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</row>
    <row r="221" spans="1:20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</row>
    <row r="222" spans="1:20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</row>
    <row r="223" spans="1:20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1:20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1:20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1:20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</row>
    <row r="227" spans="1:20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</row>
    <row r="228" spans="1:20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</row>
  </sheetData>
  <mergeCells count="12">
    <mergeCell ref="A4:J4"/>
    <mergeCell ref="K4:T4"/>
    <mergeCell ref="A5:J5"/>
    <mergeCell ref="K5:T5"/>
    <mergeCell ref="A6:J6"/>
    <mergeCell ref="K6:T6"/>
    <mergeCell ref="B9:D9"/>
    <mergeCell ref="E9:G9"/>
    <mergeCell ref="H9:J9"/>
    <mergeCell ref="L9:N9"/>
    <mergeCell ref="O9:Q9"/>
    <mergeCell ref="R9:T9"/>
  </mergeCells>
  <printOptions/>
  <pageMargins left="0.75" right="0.75" top="0.59" bottom="0.56" header="0.17" footer="0.17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A6" sqref="A6:J6"/>
    </sheetView>
  </sheetViews>
  <sheetFormatPr defaultColWidth="9.140625" defaultRowHeight="12.75"/>
  <cols>
    <col min="1" max="1" width="43.00390625" style="1" hidden="1" customWidth="1"/>
    <col min="2" max="2" width="9.57421875" style="1" hidden="1" customWidth="1"/>
    <col min="3" max="3" width="8.140625" style="1" hidden="1" customWidth="1"/>
    <col min="4" max="4" width="6.140625" style="1" hidden="1" customWidth="1"/>
    <col min="5" max="5" width="9.57421875" style="1" hidden="1" customWidth="1"/>
    <col min="6" max="6" width="7.421875" style="1" hidden="1" customWidth="1"/>
    <col min="7" max="7" width="6.140625" style="1" hidden="1" customWidth="1"/>
    <col min="8" max="8" width="9.57421875" style="1" hidden="1" customWidth="1"/>
    <col min="9" max="9" width="8.140625" style="1" hidden="1" customWidth="1"/>
    <col min="10" max="10" width="6.57421875" style="1" hidden="1" customWidth="1"/>
    <col min="11" max="11" width="46.421875" style="1" customWidth="1"/>
    <col min="12" max="12" width="10.00390625" style="1" customWidth="1"/>
    <col min="13" max="13" width="9.140625" style="1" customWidth="1"/>
    <col min="14" max="14" width="8.421875" style="1" customWidth="1"/>
    <col min="15" max="15" width="9.8515625" style="1" customWidth="1"/>
    <col min="16" max="16" width="9.00390625" style="1" customWidth="1"/>
    <col min="17" max="17" width="7.8515625" style="1" customWidth="1"/>
    <col min="18" max="18" width="10.00390625" style="1" customWidth="1"/>
    <col min="19" max="19" width="8.57421875" style="1" customWidth="1"/>
    <col min="20" max="20" width="8.140625" style="1" customWidth="1"/>
    <col min="21" max="107" width="9.8515625" style="0" customWidth="1"/>
    <col min="108" max="16384" width="9.8515625" style="1" customWidth="1"/>
  </cols>
  <sheetData>
    <row r="1" ht="12.75">
      <c r="T1" s="1" t="s">
        <v>10</v>
      </c>
    </row>
    <row r="2" spans="1:19" ht="17.25" customHeight="1">
      <c r="A2" s="72" t="s">
        <v>483</v>
      </c>
      <c r="B2" s="72"/>
      <c r="C2" s="108"/>
      <c r="D2" s="72"/>
      <c r="E2" s="72"/>
      <c r="F2" s="108"/>
      <c r="G2" s="108"/>
      <c r="H2" s="108"/>
      <c r="I2" s="108"/>
      <c r="K2" s="72" t="s">
        <v>483</v>
      </c>
      <c r="L2" s="72"/>
      <c r="M2" s="108"/>
      <c r="N2" s="72"/>
      <c r="O2" s="72"/>
      <c r="P2" s="108"/>
      <c r="Q2" s="108"/>
      <c r="R2" s="108"/>
      <c r="S2" s="108"/>
    </row>
    <row r="3" spans="1:20" ht="12.75">
      <c r="A3" s="72"/>
      <c r="B3" s="72"/>
      <c r="C3" s="108"/>
      <c r="D3" s="72"/>
      <c r="E3" s="72"/>
      <c r="F3" s="108"/>
      <c r="G3" s="108"/>
      <c r="H3" s="108"/>
      <c r="I3" s="108"/>
      <c r="J3" s="28"/>
      <c r="K3" s="72"/>
      <c r="L3" s="72"/>
      <c r="M3" s="108"/>
      <c r="N3" s="72"/>
      <c r="O3" s="72"/>
      <c r="P3" s="108"/>
      <c r="Q3" s="108"/>
      <c r="R3" s="108"/>
      <c r="S3" s="108"/>
      <c r="T3" s="28"/>
    </row>
    <row r="4" spans="1:20" ht="18.75" customHeight="1">
      <c r="A4" s="623" t="s">
        <v>11</v>
      </c>
      <c r="B4" s="623"/>
      <c r="C4" s="623"/>
      <c r="D4" s="623"/>
      <c r="E4" s="623"/>
      <c r="F4" s="623"/>
      <c r="G4" s="623"/>
      <c r="H4" s="623"/>
      <c r="I4" s="623"/>
      <c r="J4" s="623"/>
      <c r="K4" s="623" t="s">
        <v>11</v>
      </c>
      <c r="L4" s="623"/>
      <c r="M4" s="623"/>
      <c r="N4" s="623"/>
      <c r="O4" s="623"/>
      <c r="P4" s="623"/>
      <c r="Q4" s="623"/>
      <c r="R4" s="623"/>
      <c r="S4" s="623"/>
      <c r="T4" s="623"/>
    </row>
    <row r="5" spans="1:20" ht="18.75" customHeight="1">
      <c r="A5" s="623" t="s">
        <v>12</v>
      </c>
      <c r="B5" s="623"/>
      <c r="C5" s="623"/>
      <c r="D5" s="623"/>
      <c r="E5" s="623"/>
      <c r="F5" s="623"/>
      <c r="G5" s="623"/>
      <c r="H5" s="623"/>
      <c r="I5" s="623"/>
      <c r="J5" s="623"/>
      <c r="K5" s="623" t="s">
        <v>12</v>
      </c>
      <c r="L5" s="623"/>
      <c r="M5" s="623"/>
      <c r="N5" s="623"/>
      <c r="O5" s="623"/>
      <c r="P5" s="623"/>
      <c r="Q5" s="623"/>
      <c r="R5" s="623"/>
      <c r="S5" s="623"/>
      <c r="T5" s="623"/>
    </row>
    <row r="6" spans="1:20" ht="19.5" customHeight="1">
      <c r="A6" s="623" t="s">
        <v>314</v>
      </c>
      <c r="B6" s="623"/>
      <c r="C6" s="623"/>
      <c r="D6" s="623"/>
      <c r="E6" s="623"/>
      <c r="F6" s="623"/>
      <c r="G6" s="623"/>
      <c r="H6" s="623"/>
      <c r="I6" s="623"/>
      <c r="J6" s="623"/>
      <c r="K6" s="487" t="s">
        <v>315</v>
      </c>
      <c r="L6" s="487"/>
      <c r="M6" s="487"/>
      <c r="N6" s="487"/>
      <c r="O6" s="487"/>
      <c r="P6" s="487"/>
      <c r="Q6" s="487"/>
      <c r="R6" s="487"/>
      <c r="S6" s="487"/>
      <c r="T6" s="487"/>
    </row>
    <row r="7" spans="1:20" ht="11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1.25" customHeight="1">
      <c r="A8" s="71"/>
      <c r="B8" s="71"/>
      <c r="C8" s="71"/>
      <c r="D8" s="71"/>
      <c r="E8" s="71"/>
      <c r="F8" s="71"/>
      <c r="G8" s="71"/>
      <c r="H8" s="71"/>
      <c r="I8" s="71"/>
      <c r="J8" s="6" t="s">
        <v>316</v>
      </c>
      <c r="K8" s="71"/>
      <c r="L8" s="71"/>
      <c r="M8" s="71"/>
      <c r="N8" s="71"/>
      <c r="O8" s="71"/>
      <c r="P8" s="71"/>
      <c r="Q8" s="71"/>
      <c r="R8" s="71"/>
      <c r="S8" s="71"/>
      <c r="T8" s="6" t="s">
        <v>317</v>
      </c>
    </row>
    <row r="9" spans="1:20" s="24" customFormat="1" ht="24" customHeight="1">
      <c r="A9" s="454"/>
      <c r="B9" s="706" t="s">
        <v>13</v>
      </c>
      <c r="C9" s="707"/>
      <c r="D9" s="708"/>
      <c r="E9" s="706" t="s">
        <v>14</v>
      </c>
      <c r="F9" s="707"/>
      <c r="G9" s="708"/>
      <c r="H9" s="709" t="s">
        <v>15</v>
      </c>
      <c r="I9" s="710"/>
      <c r="J9" s="711"/>
      <c r="K9" s="454"/>
      <c r="L9" s="706" t="s">
        <v>13</v>
      </c>
      <c r="M9" s="707"/>
      <c r="N9" s="708"/>
      <c r="O9" s="706" t="s">
        <v>14</v>
      </c>
      <c r="P9" s="707"/>
      <c r="Q9" s="708"/>
      <c r="R9" s="709" t="s">
        <v>15</v>
      </c>
      <c r="S9" s="710"/>
      <c r="T9" s="711"/>
    </row>
    <row r="10" spans="1:20" ht="56.25">
      <c r="A10" s="455" t="s">
        <v>318</v>
      </c>
      <c r="B10" s="456" t="s">
        <v>16</v>
      </c>
      <c r="C10" s="34" t="s">
        <v>17</v>
      </c>
      <c r="D10" s="34" t="s">
        <v>18</v>
      </c>
      <c r="E10" s="34" t="s">
        <v>16</v>
      </c>
      <c r="F10" s="34" t="s">
        <v>17</v>
      </c>
      <c r="G10" s="34" t="s">
        <v>19</v>
      </c>
      <c r="H10" s="34" t="s">
        <v>16</v>
      </c>
      <c r="I10" s="34" t="s">
        <v>17</v>
      </c>
      <c r="J10" s="34" t="s">
        <v>20</v>
      </c>
      <c r="K10" s="455" t="s">
        <v>318</v>
      </c>
      <c r="L10" s="456" t="s">
        <v>16</v>
      </c>
      <c r="M10" s="34" t="s">
        <v>17</v>
      </c>
      <c r="N10" s="34" t="s">
        <v>18</v>
      </c>
      <c r="O10" s="34" t="s">
        <v>16</v>
      </c>
      <c r="P10" s="34" t="s">
        <v>17</v>
      </c>
      <c r="Q10" s="34" t="s">
        <v>19</v>
      </c>
      <c r="R10" s="34" t="s">
        <v>16</v>
      </c>
      <c r="S10" s="34" t="s">
        <v>17</v>
      </c>
      <c r="T10" s="34" t="s">
        <v>20</v>
      </c>
    </row>
    <row r="11" spans="1:20" ht="12.75">
      <c r="A11" s="455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455">
        <v>1</v>
      </c>
      <c r="L11" s="34">
        <v>2</v>
      </c>
      <c r="M11" s="34">
        <v>3</v>
      </c>
      <c r="N11" s="34">
        <v>4</v>
      </c>
      <c r="O11" s="34">
        <v>5</v>
      </c>
      <c r="P11" s="34">
        <v>6</v>
      </c>
      <c r="Q11" s="34">
        <v>7</v>
      </c>
      <c r="R11" s="34">
        <v>8</v>
      </c>
      <c r="S11" s="34">
        <v>9</v>
      </c>
      <c r="T11" s="34">
        <v>10</v>
      </c>
    </row>
    <row r="12" spans="1:107" ht="12.75">
      <c r="A12" s="112" t="s">
        <v>21</v>
      </c>
      <c r="B12" s="213">
        <f>B17+B20+B22+B27+B31+B34</f>
        <v>28402078</v>
      </c>
      <c r="C12" s="213">
        <f>C17+C20+C22+C27+C31+C34</f>
        <v>0</v>
      </c>
      <c r="D12" s="457">
        <f>C12/B12*100</f>
        <v>0</v>
      </c>
      <c r="E12" s="213">
        <f>E17+E20+E22+E27+E31+E34</f>
        <v>24005234</v>
      </c>
      <c r="F12" s="213">
        <f>F17+F20+F22+F27+F31+F34</f>
        <v>0</v>
      </c>
      <c r="G12" s="457">
        <f>F12/E12*100</f>
        <v>0</v>
      </c>
      <c r="H12" s="213">
        <f>H17+H20+H22+H27+H31+H34</f>
        <v>73639687</v>
      </c>
      <c r="I12" s="213">
        <f>I17+I20+I22+I27+I31+I34</f>
        <v>0</v>
      </c>
      <c r="J12" s="457">
        <f>I12/H12*100</f>
        <v>0</v>
      </c>
      <c r="K12" s="177" t="s">
        <v>21</v>
      </c>
      <c r="L12" s="213">
        <f>L17+L20+L22+L27+L31+L34</f>
        <v>28402</v>
      </c>
      <c r="M12" s="213">
        <f>M17+M20+M22+M27+M31+M34</f>
        <v>0</v>
      </c>
      <c r="N12" s="457">
        <f>M12/L12*100</f>
        <v>0</v>
      </c>
      <c r="O12" s="213">
        <f>O17+O20+O22+O27+O31+O34</f>
        <v>24005</v>
      </c>
      <c r="P12" s="213">
        <f>P17+P20+P22+P27+P31+P34</f>
        <v>0</v>
      </c>
      <c r="Q12" s="457">
        <f>P12/O12*100</f>
        <v>0</v>
      </c>
      <c r="R12" s="213">
        <f>R17+R20+R22+R27+R31+R34</f>
        <v>73640</v>
      </c>
      <c r="S12" s="213">
        <f>S17+S20+S22+S27+S31+S34</f>
        <v>0</v>
      </c>
      <c r="T12" s="457">
        <f>S12/R12*100</f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460" customFormat="1" ht="15" customHeight="1">
      <c r="A13" s="458" t="s">
        <v>22</v>
      </c>
      <c r="B13" s="124">
        <f>B18+B23+B28+B35</f>
        <v>5956047</v>
      </c>
      <c r="C13" s="124">
        <f>C18+C23+C28+C35</f>
        <v>0</v>
      </c>
      <c r="D13" s="459">
        <f aca="true" t="shared" si="0" ref="D13:D36">C13/B13*100</f>
        <v>0</v>
      </c>
      <c r="E13" s="124">
        <f>E18+E23+E28+E35</f>
        <v>7448246</v>
      </c>
      <c r="F13" s="124">
        <f>F18+F23+F28+F35</f>
        <v>0</v>
      </c>
      <c r="G13" s="459">
        <f aca="true" t="shared" si="1" ref="G13:G36">F13/E13*100</f>
        <v>0</v>
      </c>
      <c r="H13" s="124">
        <f>H18+H23+H28+H35</f>
        <v>40690398</v>
      </c>
      <c r="I13" s="124">
        <f>I18+I23+I28+I35</f>
        <v>0</v>
      </c>
      <c r="J13" s="459">
        <f>I13/H13*100</f>
        <v>0</v>
      </c>
      <c r="K13" s="458" t="s">
        <v>22</v>
      </c>
      <c r="L13" s="124">
        <f>L18+L23+L28+L35</f>
        <v>5956</v>
      </c>
      <c r="M13" s="124">
        <f>M18+M23+M28+M35</f>
        <v>0</v>
      </c>
      <c r="N13" s="459">
        <f aca="true" t="shared" si="2" ref="N13:N36">M13/L13*100</f>
        <v>0</v>
      </c>
      <c r="O13" s="124">
        <f>O18+O23+O28+O35</f>
        <v>7448</v>
      </c>
      <c r="P13" s="124">
        <f>P18+P23+P28+P35</f>
        <v>0</v>
      </c>
      <c r="Q13" s="459">
        <f aca="true" t="shared" si="3" ref="Q13:Q36">P13/O13*100</f>
        <v>0</v>
      </c>
      <c r="R13" s="124">
        <f>R18+R23+R28+R35</f>
        <v>40690</v>
      </c>
      <c r="S13" s="124">
        <f>S18+S23+S28+S35</f>
        <v>0</v>
      </c>
      <c r="T13" s="459">
        <f>S13/R13*100</f>
        <v>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07" s="19" customFormat="1" ht="13.5" customHeight="1">
      <c r="A14" s="461" t="s">
        <v>582</v>
      </c>
      <c r="B14" s="124">
        <f>B19+B24+B29+B36</f>
        <v>3841308</v>
      </c>
      <c r="C14" s="124">
        <f>C19+C24+C29+C36</f>
        <v>0</v>
      </c>
      <c r="D14" s="459">
        <f t="shared" si="0"/>
        <v>0</v>
      </c>
      <c r="E14" s="124">
        <f>E19+E24+E29+E36</f>
        <v>3582720</v>
      </c>
      <c r="F14" s="124">
        <f>F19+F24+F29+F36</f>
        <v>0</v>
      </c>
      <c r="G14" s="459">
        <f t="shared" si="1"/>
        <v>0</v>
      </c>
      <c r="H14" s="124">
        <f>H19+H24+H29+H36</f>
        <v>7614289</v>
      </c>
      <c r="I14" s="124">
        <f>I19+I24+I29+I36</f>
        <v>0</v>
      </c>
      <c r="J14" s="459">
        <f>I14/H14*100</f>
        <v>0</v>
      </c>
      <c r="K14" s="461" t="s">
        <v>582</v>
      </c>
      <c r="L14" s="124">
        <f>L19+L24+L29+L36</f>
        <v>3841</v>
      </c>
      <c r="M14" s="124">
        <f>M19+M24+M29+M36</f>
        <v>0</v>
      </c>
      <c r="N14" s="459">
        <f t="shared" si="2"/>
        <v>0</v>
      </c>
      <c r="O14" s="124">
        <f>O19+O24+O29+O36</f>
        <v>3583</v>
      </c>
      <c r="P14" s="124">
        <f>P19+P24+P29+P36</f>
        <v>0</v>
      </c>
      <c r="Q14" s="459">
        <f t="shared" si="3"/>
        <v>0</v>
      </c>
      <c r="R14" s="124">
        <f>R19+R24+R29+R36</f>
        <v>7615</v>
      </c>
      <c r="S14" s="124">
        <f>S19+S24+S29+S36</f>
        <v>0</v>
      </c>
      <c r="T14" s="459">
        <f>S14/R14*100</f>
        <v>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</row>
    <row r="15" spans="1:107" s="19" customFormat="1" ht="14.25" customHeight="1">
      <c r="A15" s="120" t="s">
        <v>23</v>
      </c>
      <c r="B15" s="124">
        <f>B25+B32</f>
        <v>94000</v>
      </c>
      <c r="C15" s="124">
        <f>C25+C32</f>
        <v>0</v>
      </c>
      <c r="D15" s="459">
        <f t="shared" si="0"/>
        <v>0</v>
      </c>
      <c r="E15" s="124">
        <f>E25+E32</f>
        <v>103000</v>
      </c>
      <c r="F15" s="124">
        <f>F25+F32</f>
        <v>0</v>
      </c>
      <c r="G15" s="459">
        <f t="shared" si="1"/>
        <v>0</v>
      </c>
      <c r="H15" s="124">
        <f>H25+H32</f>
        <v>130000</v>
      </c>
      <c r="I15" s="124">
        <f>I25+I32</f>
        <v>0</v>
      </c>
      <c r="J15" s="459">
        <f>I15/H15*100</f>
        <v>0</v>
      </c>
      <c r="K15" s="120" t="s">
        <v>23</v>
      </c>
      <c r="L15" s="124">
        <f>L25+L32</f>
        <v>94</v>
      </c>
      <c r="M15" s="124">
        <f>M25+M32</f>
        <v>0</v>
      </c>
      <c r="N15" s="459">
        <f t="shared" si="2"/>
        <v>0</v>
      </c>
      <c r="O15" s="124">
        <f>O25+O32</f>
        <v>103</v>
      </c>
      <c r="P15" s="124">
        <f>P25+P32</f>
        <v>0</v>
      </c>
      <c r="Q15" s="459">
        <f t="shared" si="3"/>
        <v>0</v>
      </c>
      <c r="R15" s="124">
        <f>R25+R32</f>
        <v>130</v>
      </c>
      <c r="S15" s="124">
        <f>S25+S32</f>
        <v>0</v>
      </c>
      <c r="T15" s="459">
        <f>S15/R15*100</f>
        <v>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</row>
    <row r="16" spans="1:107" s="19" customFormat="1" ht="14.25" customHeight="1">
      <c r="A16" s="120" t="s">
        <v>593</v>
      </c>
      <c r="B16" s="124">
        <f>B21+B26+B30+B33</f>
        <v>18510723</v>
      </c>
      <c r="C16" s="124">
        <f aca="true" t="shared" si="4" ref="C16:I16">C21+C26+C30+C33</f>
        <v>0</v>
      </c>
      <c r="D16" s="459">
        <f t="shared" si="0"/>
        <v>0</v>
      </c>
      <c r="E16" s="124">
        <f t="shared" si="4"/>
        <v>12871268</v>
      </c>
      <c r="F16" s="124">
        <f t="shared" si="4"/>
        <v>0</v>
      </c>
      <c r="G16" s="459">
        <f t="shared" si="1"/>
        <v>0</v>
      </c>
      <c r="H16" s="124">
        <f t="shared" si="4"/>
        <v>25205000</v>
      </c>
      <c r="I16" s="124">
        <f t="shared" si="4"/>
        <v>0</v>
      </c>
      <c r="J16" s="459">
        <f aca="true" t="shared" si="5" ref="J16:J36">I16/H16*100</f>
        <v>0</v>
      </c>
      <c r="K16" s="120" t="s">
        <v>593</v>
      </c>
      <c r="L16" s="124">
        <f>L21+L26+L30+L33</f>
        <v>18511</v>
      </c>
      <c r="M16" s="124">
        <f aca="true" t="shared" si="6" ref="M16:S16">M21+M26+M30+M33</f>
        <v>0</v>
      </c>
      <c r="N16" s="459">
        <f t="shared" si="2"/>
        <v>0</v>
      </c>
      <c r="O16" s="124">
        <f t="shared" si="6"/>
        <v>12871</v>
      </c>
      <c r="P16" s="124">
        <f t="shared" si="6"/>
        <v>0</v>
      </c>
      <c r="Q16" s="459">
        <f t="shared" si="3"/>
        <v>0</v>
      </c>
      <c r="R16" s="124">
        <f t="shared" si="6"/>
        <v>25205</v>
      </c>
      <c r="S16" s="124">
        <f t="shared" si="6"/>
        <v>0</v>
      </c>
      <c r="T16" s="459">
        <f aca="true" t="shared" si="7" ref="T16:T36">S16/R16*100</f>
        <v>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20" ht="12.75">
      <c r="A17" s="19" t="s">
        <v>508</v>
      </c>
      <c r="B17" s="126">
        <f aca="true" t="shared" si="8" ref="B17:I17">SUM(B18:B19)</f>
        <v>1297878</v>
      </c>
      <c r="C17" s="126">
        <f t="shared" si="8"/>
        <v>0</v>
      </c>
      <c r="D17" s="462">
        <f t="shared" si="0"/>
        <v>0</v>
      </c>
      <c r="E17" s="126">
        <f t="shared" si="8"/>
        <v>1496344</v>
      </c>
      <c r="F17" s="126">
        <f t="shared" si="8"/>
        <v>0</v>
      </c>
      <c r="G17" s="462">
        <f t="shared" si="1"/>
        <v>0</v>
      </c>
      <c r="H17" s="126">
        <f t="shared" si="8"/>
        <v>0</v>
      </c>
      <c r="I17" s="126">
        <f t="shared" si="8"/>
        <v>0</v>
      </c>
      <c r="J17" s="459" t="e">
        <f t="shared" si="5"/>
        <v>#DIV/0!</v>
      </c>
      <c r="K17" s="19" t="s">
        <v>508</v>
      </c>
      <c r="L17" s="126">
        <f aca="true" t="shared" si="9" ref="L17:S17">SUM(L18:L19)</f>
        <v>1298</v>
      </c>
      <c r="M17" s="126">
        <f t="shared" si="9"/>
        <v>0</v>
      </c>
      <c r="N17" s="462">
        <f t="shared" si="2"/>
        <v>0</v>
      </c>
      <c r="O17" s="126">
        <f t="shared" si="9"/>
        <v>1496</v>
      </c>
      <c r="P17" s="126">
        <f t="shared" si="9"/>
        <v>0</v>
      </c>
      <c r="Q17" s="462">
        <f t="shared" si="3"/>
        <v>0</v>
      </c>
      <c r="R17" s="126">
        <f t="shared" si="9"/>
        <v>0</v>
      </c>
      <c r="S17" s="126">
        <f t="shared" si="9"/>
        <v>0</v>
      </c>
      <c r="T17" s="462"/>
    </row>
    <row r="18" spans="1:107" s="123" customFormat="1" ht="12.75">
      <c r="A18" s="128" t="s">
        <v>22</v>
      </c>
      <c r="B18" s="52">
        <v>180888</v>
      </c>
      <c r="C18" s="52"/>
      <c r="D18" s="463">
        <f t="shared" si="0"/>
        <v>0</v>
      </c>
      <c r="E18" s="52">
        <v>379354</v>
      </c>
      <c r="F18" s="52"/>
      <c r="G18" s="463">
        <f t="shared" si="1"/>
        <v>0</v>
      </c>
      <c r="H18" s="52"/>
      <c r="I18" s="52"/>
      <c r="J18" s="459" t="e">
        <f t="shared" si="5"/>
        <v>#DIV/0!</v>
      </c>
      <c r="K18" s="128" t="s">
        <v>22</v>
      </c>
      <c r="L18" s="52">
        <f aca="true" t="shared" si="10" ref="L18:S19">ROUND(B18/1000,0)</f>
        <v>181</v>
      </c>
      <c r="M18" s="52">
        <f t="shared" si="10"/>
        <v>0</v>
      </c>
      <c r="N18" s="463">
        <f t="shared" si="2"/>
        <v>0</v>
      </c>
      <c r="O18" s="52">
        <f t="shared" si="10"/>
        <v>379</v>
      </c>
      <c r="P18" s="52">
        <f t="shared" si="10"/>
        <v>0</v>
      </c>
      <c r="Q18" s="463">
        <f t="shared" si="3"/>
        <v>0</v>
      </c>
      <c r="R18" s="52">
        <f t="shared" si="10"/>
        <v>0</v>
      </c>
      <c r="S18" s="52">
        <f t="shared" si="10"/>
        <v>0</v>
      </c>
      <c r="T18" s="46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s="123" customFormat="1" ht="12.75">
      <c r="A19" s="128" t="s">
        <v>582</v>
      </c>
      <c r="B19" s="52">
        <v>1116990</v>
      </c>
      <c r="C19" s="52"/>
      <c r="D19" s="463">
        <f t="shared" si="0"/>
        <v>0</v>
      </c>
      <c r="E19" s="52">
        <v>1116990</v>
      </c>
      <c r="F19" s="52"/>
      <c r="G19" s="463">
        <f t="shared" si="1"/>
        <v>0</v>
      </c>
      <c r="H19" s="52"/>
      <c r="I19" s="52"/>
      <c r="J19" s="459" t="e">
        <f t="shared" si="5"/>
        <v>#DIV/0!</v>
      </c>
      <c r="K19" s="128" t="s">
        <v>582</v>
      </c>
      <c r="L19" s="52">
        <f t="shared" si="10"/>
        <v>1117</v>
      </c>
      <c r="M19" s="52">
        <f t="shared" si="10"/>
        <v>0</v>
      </c>
      <c r="N19" s="463">
        <f t="shared" si="2"/>
        <v>0</v>
      </c>
      <c r="O19" s="52">
        <f t="shared" si="10"/>
        <v>1117</v>
      </c>
      <c r="P19" s="52">
        <f t="shared" si="10"/>
        <v>0</v>
      </c>
      <c r="Q19" s="463">
        <f t="shared" si="3"/>
        <v>0</v>
      </c>
      <c r="R19" s="52">
        <f t="shared" si="10"/>
        <v>0</v>
      </c>
      <c r="S19" s="52">
        <f t="shared" si="10"/>
        <v>0</v>
      </c>
      <c r="T19" s="463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20" ht="12.75">
      <c r="A20" s="19" t="s">
        <v>509</v>
      </c>
      <c r="B20" s="126">
        <f aca="true" t="shared" si="11" ref="B20:I20">SUM(B21:B21)</f>
        <v>72000</v>
      </c>
      <c r="C20" s="126">
        <f t="shared" si="11"/>
        <v>0</v>
      </c>
      <c r="D20" s="462">
        <f t="shared" si="0"/>
        <v>0</v>
      </c>
      <c r="E20" s="126">
        <f t="shared" si="11"/>
        <v>68000</v>
      </c>
      <c r="F20" s="126">
        <f t="shared" si="11"/>
        <v>0</v>
      </c>
      <c r="G20" s="462">
        <f t="shared" si="1"/>
        <v>0</v>
      </c>
      <c r="H20" s="126">
        <f t="shared" si="11"/>
        <v>83000</v>
      </c>
      <c r="I20" s="126">
        <f t="shared" si="11"/>
        <v>0</v>
      </c>
      <c r="J20" s="459">
        <f t="shared" si="5"/>
        <v>0</v>
      </c>
      <c r="K20" s="19" t="s">
        <v>509</v>
      </c>
      <c r="L20" s="126">
        <f aca="true" t="shared" si="12" ref="L20:S20">SUM(L21:L21)</f>
        <v>72</v>
      </c>
      <c r="M20" s="126">
        <f t="shared" si="12"/>
        <v>0</v>
      </c>
      <c r="N20" s="462">
        <f t="shared" si="2"/>
        <v>0</v>
      </c>
      <c r="O20" s="126">
        <f t="shared" si="12"/>
        <v>68</v>
      </c>
      <c r="P20" s="126">
        <f t="shared" si="12"/>
        <v>0</v>
      </c>
      <c r="Q20" s="462">
        <f t="shared" si="3"/>
        <v>0</v>
      </c>
      <c r="R20" s="126">
        <f t="shared" si="12"/>
        <v>83</v>
      </c>
      <c r="S20" s="126">
        <f t="shared" si="12"/>
        <v>0</v>
      </c>
      <c r="T20" s="462">
        <f t="shared" si="7"/>
        <v>0</v>
      </c>
    </row>
    <row r="21" spans="1:107" s="123" customFormat="1" ht="12.75">
      <c r="A21" s="128" t="s">
        <v>593</v>
      </c>
      <c r="B21" s="52">
        <v>72000</v>
      </c>
      <c r="C21" s="52"/>
      <c r="D21" s="463">
        <f t="shared" si="0"/>
        <v>0</v>
      </c>
      <c r="E21" s="52">
        <v>68000</v>
      </c>
      <c r="F21" s="52"/>
      <c r="G21" s="463">
        <f t="shared" si="1"/>
        <v>0</v>
      </c>
      <c r="H21" s="52">
        <v>83000</v>
      </c>
      <c r="I21" s="52"/>
      <c r="J21" s="459">
        <f t="shared" si="5"/>
        <v>0</v>
      </c>
      <c r="K21" s="128" t="s">
        <v>593</v>
      </c>
      <c r="L21" s="52">
        <f aca="true" t="shared" si="13" ref="L21:S21">ROUND(B21/1000,0)</f>
        <v>72</v>
      </c>
      <c r="M21" s="52">
        <f t="shared" si="13"/>
        <v>0</v>
      </c>
      <c r="N21" s="463">
        <f t="shared" si="2"/>
        <v>0</v>
      </c>
      <c r="O21" s="52">
        <f t="shared" si="13"/>
        <v>68</v>
      </c>
      <c r="P21" s="52">
        <f t="shared" si="13"/>
        <v>0</v>
      </c>
      <c r="Q21" s="463">
        <f t="shared" si="3"/>
        <v>0</v>
      </c>
      <c r="R21" s="52">
        <f t="shared" si="13"/>
        <v>83</v>
      </c>
      <c r="S21" s="52">
        <f t="shared" si="13"/>
        <v>0</v>
      </c>
      <c r="T21" s="463">
        <f t="shared" si="7"/>
        <v>0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20" ht="12.75">
      <c r="A22" s="19" t="s">
        <v>510</v>
      </c>
      <c r="B22" s="126">
        <f>SUM(B23:B26)</f>
        <v>16153402</v>
      </c>
      <c r="C22" s="126">
        <f aca="true" t="shared" si="14" ref="C22:I22">SUM(C23:C26)</f>
        <v>0</v>
      </c>
      <c r="D22" s="462">
        <f t="shared" si="0"/>
        <v>0</v>
      </c>
      <c r="E22" s="126">
        <f t="shared" si="14"/>
        <v>16421295</v>
      </c>
      <c r="F22" s="126">
        <f t="shared" si="14"/>
        <v>0</v>
      </c>
      <c r="G22" s="462">
        <f t="shared" si="1"/>
        <v>0</v>
      </c>
      <c r="H22" s="126">
        <f t="shared" si="14"/>
        <v>42942000</v>
      </c>
      <c r="I22" s="126">
        <f t="shared" si="14"/>
        <v>0</v>
      </c>
      <c r="J22" s="462">
        <f t="shared" si="5"/>
        <v>0</v>
      </c>
      <c r="K22" s="19" t="s">
        <v>510</v>
      </c>
      <c r="L22" s="126">
        <f aca="true" t="shared" si="15" ref="L22:S22">SUM(L23:L26)</f>
        <v>16153</v>
      </c>
      <c r="M22" s="126">
        <f t="shared" si="15"/>
        <v>0</v>
      </c>
      <c r="N22" s="462">
        <f t="shared" si="2"/>
        <v>0</v>
      </c>
      <c r="O22" s="126">
        <f t="shared" si="15"/>
        <v>16422</v>
      </c>
      <c r="P22" s="126">
        <f t="shared" si="15"/>
        <v>0</v>
      </c>
      <c r="Q22" s="462">
        <f t="shared" si="3"/>
        <v>0</v>
      </c>
      <c r="R22" s="126">
        <f t="shared" si="15"/>
        <v>42942</v>
      </c>
      <c r="S22" s="126">
        <f t="shared" si="15"/>
        <v>0</v>
      </c>
      <c r="T22" s="462">
        <f t="shared" si="7"/>
        <v>0</v>
      </c>
    </row>
    <row r="23" spans="1:107" s="123" customFormat="1" ht="12.75">
      <c r="A23" s="128" t="s">
        <v>22</v>
      </c>
      <c r="B23" s="52">
        <v>4232472</v>
      </c>
      <c r="C23" s="52"/>
      <c r="D23" s="463">
        <f t="shared" si="0"/>
        <v>0</v>
      </c>
      <c r="E23" s="52">
        <v>4740805</v>
      </c>
      <c r="F23" s="52"/>
      <c r="G23" s="463">
        <f t="shared" si="1"/>
        <v>0</v>
      </c>
      <c r="H23" s="52">
        <v>25892000</v>
      </c>
      <c r="I23" s="52"/>
      <c r="J23" s="463">
        <f t="shared" si="5"/>
        <v>0</v>
      </c>
      <c r="K23" s="128" t="s">
        <v>22</v>
      </c>
      <c r="L23" s="52">
        <f aca="true" t="shared" si="16" ref="L23:S26">ROUND(B23/1000,0)</f>
        <v>4232</v>
      </c>
      <c r="M23" s="52">
        <f t="shared" si="16"/>
        <v>0</v>
      </c>
      <c r="N23" s="463">
        <f t="shared" si="2"/>
        <v>0</v>
      </c>
      <c r="O23" s="52">
        <f t="shared" si="16"/>
        <v>4741</v>
      </c>
      <c r="P23" s="52">
        <f t="shared" si="16"/>
        <v>0</v>
      </c>
      <c r="Q23" s="463">
        <f t="shared" si="3"/>
        <v>0</v>
      </c>
      <c r="R23" s="52">
        <f t="shared" si="16"/>
        <v>25892</v>
      </c>
      <c r="S23" s="52">
        <f t="shared" si="16"/>
        <v>0</v>
      </c>
      <c r="T23" s="463">
        <f t="shared" si="7"/>
        <v>0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1:107" s="123" customFormat="1" ht="12.75">
      <c r="A24" s="128" t="s">
        <v>582</v>
      </c>
      <c r="B24" s="52">
        <v>1844930</v>
      </c>
      <c r="C24" s="52"/>
      <c r="D24" s="463">
        <f t="shared" si="0"/>
        <v>0</v>
      </c>
      <c r="E24" s="52">
        <v>1604490</v>
      </c>
      <c r="F24" s="52"/>
      <c r="G24" s="463">
        <f t="shared" si="1"/>
        <v>0</v>
      </c>
      <c r="H24" s="52">
        <v>5940000</v>
      </c>
      <c r="I24" s="52"/>
      <c r="J24" s="463">
        <f t="shared" si="5"/>
        <v>0</v>
      </c>
      <c r="K24" s="128" t="s">
        <v>582</v>
      </c>
      <c r="L24" s="52">
        <f t="shared" si="16"/>
        <v>1845</v>
      </c>
      <c r="M24" s="52">
        <f t="shared" si="16"/>
        <v>0</v>
      </c>
      <c r="N24" s="463">
        <f t="shared" si="2"/>
        <v>0</v>
      </c>
      <c r="O24" s="52">
        <f>ROUND(E24/1000,0)+1</f>
        <v>1605</v>
      </c>
      <c r="P24" s="52">
        <f t="shared" si="16"/>
        <v>0</v>
      </c>
      <c r="Q24" s="463">
        <f t="shared" si="3"/>
        <v>0</v>
      </c>
      <c r="R24" s="52">
        <f t="shared" si="16"/>
        <v>5940</v>
      </c>
      <c r="S24" s="52">
        <f t="shared" si="16"/>
        <v>0</v>
      </c>
      <c r="T24" s="463">
        <f t="shared" si="7"/>
        <v>0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s="123" customFormat="1" ht="12.75">
      <c r="A25" s="128" t="s">
        <v>23</v>
      </c>
      <c r="B25" s="52">
        <v>76000</v>
      </c>
      <c r="C25" s="52"/>
      <c r="D25" s="463">
        <f t="shared" si="0"/>
        <v>0</v>
      </c>
      <c r="E25" s="52">
        <v>76000</v>
      </c>
      <c r="F25" s="52"/>
      <c r="G25" s="463">
        <f t="shared" si="1"/>
        <v>0</v>
      </c>
      <c r="H25" s="52">
        <v>76000</v>
      </c>
      <c r="I25" s="52"/>
      <c r="J25" s="463">
        <f t="shared" si="5"/>
        <v>0</v>
      </c>
      <c r="K25" s="128" t="s">
        <v>23</v>
      </c>
      <c r="L25" s="52">
        <f t="shared" si="16"/>
        <v>76</v>
      </c>
      <c r="M25" s="52">
        <f t="shared" si="16"/>
        <v>0</v>
      </c>
      <c r="N25" s="463">
        <f t="shared" si="2"/>
        <v>0</v>
      </c>
      <c r="O25" s="52">
        <f t="shared" si="16"/>
        <v>76</v>
      </c>
      <c r="P25" s="52">
        <f t="shared" si="16"/>
        <v>0</v>
      </c>
      <c r="Q25" s="463">
        <f t="shared" si="3"/>
        <v>0</v>
      </c>
      <c r="R25" s="52">
        <f t="shared" si="16"/>
        <v>76</v>
      </c>
      <c r="S25" s="52">
        <f t="shared" si="16"/>
        <v>0</v>
      </c>
      <c r="T25" s="463">
        <f t="shared" si="7"/>
        <v>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107" s="123" customFormat="1" ht="12.75">
      <c r="A26" s="128" t="s">
        <v>593</v>
      </c>
      <c r="B26" s="52">
        <v>10000000</v>
      </c>
      <c r="C26" s="52"/>
      <c r="D26" s="463">
        <f t="shared" si="0"/>
        <v>0</v>
      </c>
      <c r="E26" s="52">
        <v>10000000</v>
      </c>
      <c r="F26" s="52"/>
      <c r="G26" s="463">
        <f t="shared" si="1"/>
        <v>0</v>
      </c>
      <c r="H26" s="52">
        <v>11034000</v>
      </c>
      <c r="I26" s="52"/>
      <c r="J26" s="463">
        <f t="shared" si="5"/>
        <v>0</v>
      </c>
      <c r="K26" s="128" t="s">
        <v>593</v>
      </c>
      <c r="L26" s="52">
        <f t="shared" si="16"/>
        <v>10000</v>
      </c>
      <c r="M26" s="52">
        <f t="shared" si="16"/>
        <v>0</v>
      </c>
      <c r="N26" s="463">
        <f t="shared" si="2"/>
        <v>0</v>
      </c>
      <c r="O26" s="52">
        <f t="shared" si="16"/>
        <v>10000</v>
      </c>
      <c r="P26" s="52">
        <f t="shared" si="16"/>
        <v>0</v>
      </c>
      <c r="Q26" s="463">
        <f t="shared" si="3"/>
        <v>0</v>
      </c>
      <c r="R26" s="52">
        <f t="shared" si="16"/>
        <v>11034</v>
      </c>
      <c r="S26" s="52">
        <f t="shared" si="16"/>
        <v>0</v>
      </c>
      <c r="T26" s="463">
        <f t="shared" si="7"/>
        <v>0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20" ht="12.75">
      <c r="A27" s="19" t="s">
        <v>511</v>
      </c>
      <c r="B27" s="126">
        <f>SUM(B28:B30)</f>
        <v>10084076</v>
      </c>
      <c r="C27" s="126">
        <f aca="true" t="shared" si="17" ref="C27:I27">SUM(C28:C30)</f>
        <v>0</v>
      </c>
      <c r="D27" s="462">
        <f t="shared" si="0"/>
        <v>0</v>
      </c>
      <c r="E27" s="126">
        <f t="shared" si="17"/>
        <v>4667080</v>
      </c>
      <c r="F27" s="126">
        <f t="shared" si="17"/>
        <v>0</v>
      </c>
      <c r="G27" s="462">
        <f t="shared" si="1"/>
        <v>0</v>
      </c>
      <c r="H27" s="126">
        <f t="shared" si="17"/>
        <v>29299485</v>
      </c>
      <c r="I27" s="126">
        <f t="shared" si="17"/>
        <v>0</v>
      </c>
      <c r="J27" s="462">
        <f t="shared" si="5"/>
        <v>0</v>
      </c>
      <c r="K27" s="19" t="s">
        <v>511</v>
      </c>
      <c r="L27" s="126">
        <f aca="true" t="shared" si="18" ref="L27:S27">SUM(L28:L30)</f>
        <v>10084</v>
      </c>
      <c r="M27" s="126">
        <f t="shared" si="18"/>
        <v>0</v>
      </c>
      <c r="N27" s="462">
        <f t="shared" si="2"/>
        <v>0</v>
      </c>
      <c r="O27" s="126">
        <f t="shared" si="18"/>
        <v>4666</v>
      </c>
      <c r="P27" s="126">
        <f t="shared" si="18"/>
        <v>0</v>
      </c>
      <c r="Q27" s="462">
        <f t="shared" si="3"/>
        <v>0</v>
      </c>
      <c r="R27" s="126">
        <f t="shared" si="18"/>
        <v>29300</v>
      </c>
      <c r="S27" s="126">
        <f t="shared" si="18"/>
        <v>0</v>
      </c>
      <c r="T27" s="462">
        <f t="shared" si="7"/>
        <v>0</v>
      </c>
    </row>
    <row r="28" spans="1:107" s="123" customFormat="1" ht="12.75">
      <c r="A28" s="128" t="s">
        <v>22</v>
      </c>
      <c r="B28" s="52">
        <v>1519853</v>
      </c>
      <c r="C28" s="52"/>
      <c r="D28" s="463">
        <f t="shared" si="0"/>
        <v>0</v>
      </c>
      <c r="E28" s="52">
        <v>2305546</v>
      </c>
      <c r="F28" s="52"/>
      <c r="G28" s="463">
        <f t="shared" si="1"/>
        <v>0</v>
      </c>
      <c r="H28" s="52">
        <v>14740905</v>
      </c>
      <c r="I28" s="52"/>
      <c r="J28" s="463">
        <f t="shared" si="5"/>
        <v>0</v>
      </c>
      <c r="K28" s="128" t="s">
        <v>22</v>
      </c>
      <c r="L28" s="52">
        <f aca="true" t="shared" si="19" ref="L28:S30">ROUND(B28/1000,0)</f>
        <v>1520</v>
      </c>
      <c r="M28" s="52">
        <f t="shared" si="19"/>
        <v>0</v>
      </c>
      <c r="N28" s="463">
        <f t="shared" si="2"/>
        <v>0</v>
      </c>
      <c r="O28" s="52">
        <f>ROUND(E28/1000,0)-1</f>
        <v>2305</v>
      </c>
      <c r="P28" s="52">
        <f t="shared" si="19"/>
        <v>0</v>
      </c>
      <c r="Q28" s="463">
        <f t="shared" si="3"/>
        <v>0</v>
      </c>
      <c r="R28" s="52">
        <f>ROUND(H28/1000,0)</f>
        <v>14741</v>
      </c>
      <c r="S28" s="52">
        <f t="shared" si="19"/>
        <v>0</v>
      </c>
      <c r="T28" s="463">
        <f t="shared" si="7"/>
        <v>0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</row>
    <row r="29" spans="1:107" s="123" customFormat="1" ht="12.75">
      <c r="A29" s="128" t="s">
        <v>582</v>
      </c>
      <c r="B29" s="52">
        <v>875500</v>
      </c>
      <c r="C29" s="52"/>
      <c r="D29" s="463">
        <f t="shared" si="0"/>
        <v>0</v>
      </c>
      <c r="E29" s="52">
        <v>858266</v>
      </c>
      <c r="F29" s="52"/>
      <c r="G29" s="463">
        <f t="shared" si="1"/>
        <v>0</v>
      </c>
      <c r="H29" s="52">
        <v>1670580</v>
      </c>
      <c r="I29" s="52"/>
      <c r="J29" s="463">
        <f t="shared" si="5"/>
        <v>0</v>
      </c>
      <c r="K29" s="128" t="s">
        <v>582</v>
      </c>
      <c r="L29" s="52">
        <f>ROUND(B29/1000,0)-1</f>
        <v>875</v>
      </c>
      <c r="M29" s="52">
        <f t="shared" si="19"/>
        <v>0</v>
      </c>
      <c r="N29" s="463">
        <f t="shared" si="2"/>
        <v>0</v>
      </c>
      <c r="O29" s="52">
        <f>ROUND(E29/1000,0)</f>
        <v>858</v>
      </c>
      <c r="P29" s="52">
        <f t="shared" si="19"/>
        <v>0</v>
      </c>
      <c r="Q29" s="463">
        <f t="shared" si="3"/>
        <v>0</v>
      </c>
      <c r="R29" s="52">
        <f t="shared" si="19"/>
        <v>1671</v>
      </c>
      <c r="S29" s="52">
        <f t="shared" si="19"/>
        <v>0</v>
      </c>
      <c r="T29" s="463">
        <f t="shared" si="7"/>
        <v>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</row>
    <row r="30" spans="1:107" s="123" customFormat="1" ht="12.75">
      <c r="A30" s="128" t="s">
        <v>593</v>
      </c>
      <c r="B30" s="52">
        <v>7688723</v>
      </c>
      <c r="C30" s="52"/>
      <c r="D30" s="463">
        <f t="shared" si="0"/>
        <v>0</v>
      </c>
      <c r="E30" s="52">
        <v>1503268</v>
      </c>
      <c r="F30" s="52"/>
      <c r="G30" s="463">
        <f t="shared" si="1"/>
        <v>0</v>
      </c>
      <c r="H30" s="52">
        <v>12888000</v>
      </c>
      <c r="I30" s="52"/>
      <c r="J30" s="463">
        <f t="shared" si="5"/>
        <v>0</v>
      </c>
      <c r="K30" s="128" t="s">
        <v>593</v>
      </c>
      <c r="L30" s="52">
        <f t="shared" si="19"/>
        <v>7689</v>
      </c>
      <c r="M30" s="52">
        <f t="shared" si="19"/>
        <v>0</v>
      </c>
      <c r="N30" s="463">
        <f t="shared" si="2"/>
        <v>0</v>
      </c>
      <c r="O30" s="52">
        <f t="shared" si="19"/>
        <v>1503</v>
      </c>
      <c r="P30" s="52">
        <f t="shared" si="19"/>
        <v>0</v>
      </c>
      <c r="Q30" s="463">
        <f t="shared" si="3"/>
        <v>0</v>
      </c>
      <c r="R30" s="52">
        <f>ROUND(H30/1000,0)</f>
        <v>12888</v>
      </c>
      <c r="S30" s="52">
        <f t="shared" si="19"/>
        <v>0</v>
      </c>
      <c r="T30" s="463">
        <f t="shared" si="7"/>
        <v>0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</row>
    <row r="31" spans="1:20" s="21" customFormat="1" ht="24">
      <c r="A31" s="80" t="s">
        <v>612</v>
      </c>
      <c r="B31" s="126">
        <f>SUM(B32:B33)</f>
        <v>768000</v>
      </c>
      <c r="C31" s="126">
        <f>SUM(C32:C33)</f>
        <v>0</v>
      </c>
      <c r="D31" s="462">
        <f t="shared" si="0"/>
        <v>0</v>
      </c>
      <c r="E31" s="126">
        <f>SUM(E32:E33)</f>
        <v>1327000</v>
      </c>
      <c r="F31" s="126">
        <f>SUM(F32:F33)</f>
        <v>0</v>
      </c>
      <c r="G31" s="462">
        <f t="shared" si="1"/>
        <v>0</v>
      </c>
      <c r="H31" s="126">
        <f>SUM(H32:H33)</f>
        <v>1254000</v>
      </c>
      <c r="I31" s="126">
        <f>SUM(I32:I33)</f>
        <v>0</v>
      </c>
      <c r="J31" s="463">
        <f t="shared" si="5"/>
        <v>0</v>
      </c>
      <c r="K31" s="80" t="s">
        <v>612</v>
      </c>
      <c r="L31" s="126">
        <f>SUM(L32:L33)</f>
        <v>768</v>
      </c>
      <c r="M31" s="126">
        <f>SUM(M32:M33)</f>
        <v>0</v>
      </c>
      <c r="N31" s="462">
        <f t="shared" si="2"/>
        <v>0</v>
      </c>
      <c r="O31" s="126">
        <f>SUM(O32:O33)</f>
        <v>1327</v>
      </c>
      <c r="P31" s="126">
        <f>SUM(P32:P33)</f>
        <v>0</v>
      </c>
      <c r="Q31" s="462">
        <f t="shared" si="3"/>
        <v>0</v>
      </c>
      <c r="R31" s="126">
        <f>SUM(R32:R33)</f>
        <v>1254</v>
      </c>
      <c r="S31" s="126">
        <f>SUM(S32:S33)</f>
        <v>0</v>
      </c>
      <c r="T31" s="462">
        <f t="shared" si="7"/>
        <v>0</v>
      </c>
    </row>
    <row r="32" spans="1:107" s="123" customFormat="1" ht="12.75">
      <c r="A32" s="128" t="s">
        <v>23</v>
      </c>
      <c r="B32" s="52">
        <v>18000</v>
      </c>
      <c r="C32" s="52"/>
      <c r="D32" s="463">
        <f t="shared" si="0"/>
        <v>0</v>
      </c>
      <c r="E32" s="52">
        <v>27000</v>
      </c>
      <c r="F32" s="52"/>
      <c r="G32" s="463">
        <f t="shared" si="1"/>
        <v>0</v>
      </c>
      <c r="H32" s="52">
        <v>54000</v>
      </c>
      <c r="I32" s="52"/>
      <c r="J32" s="463">
        <f t="shared" si="5"/>
        <v>0</v>
      </c>
      <c r="K32" s="128" t="s">
        <v>23</v>
      </c>
      <c r="L32" s="52">
        <f>ROUND(B32/1000,0)</f>
        <v>18</v>
      </c>
      <c r="M32" s="52">
        <f>ROUND(C32/1000,0)</f>
        <v>0</v>
      </c>
      <c r="N32" s="463">
        <f>M32/L32*100</f>
        <v>0</v>
      </c>
      <c r="O32" s="52">
        <f>ROUND(E32/1000,0)</f>
        <v>27</v>
      </c>
      <c r="P32" s="52">
        <f>ROUND(F32/1000,0)</f>
        <v>0</v>
      </c>
      <c r="Q32" s="463">
        <f>P32/O32*100</f>
        <v>0</v>
      </c>
      <c r="R32" s="52">
        <f>ROUND(H32/1000,0)</f>
        <v>54</v>
      </c>
      <c r="S32" s="52">
        <f>ROUND(I32/1000,0)</f>
        <v>0</v>
      </c>
      <c r="T32" s="463">
        <f>S32/R32*100</f>
        <v>0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</row>
    <row r="33" spans="1:107" s="123" customFormat="1" ht="12.75">
      <c r="A33" s="128" t="s">
        <v>593</v>
      </c>
      <c r="B33" s="52">
        <v>750000</v>
      </c>
      <c r="C33" s="52"/>
      <c r="D33" s="463">
        <f t="shared" si="0"/>
        <v>0</v>
      </c>
      <c r="E33" s="52">
        <v>1300000</v>
      </c>
      <c r="F33" s="52"/>
      <c r="G33" s="463">
        <f t="shared" si="1"/>
        <v>0</v>
      </c>
      <c r="H33" s="52">
        <v>1200000</v>
      </c>
      <c r="I33" s="52"/>
      <c r="J33" s="463">
        <f t="shared" si="5"/>
        <v>0</v>
      </c>
      <c r="K33" s="128" t="s">
        <v>593</v>
      </c>
      <c r="L33" s="52">
        <f aca="true" t="shared" si="20" ref="L33:S33">ROUND(B33/1000,0)</f>
        <v>750</v>
      </c>
      <c r="M33" s="52">
        <f t="shared" si="20"/>
        <v>0</v>
      </c>
      <c r="N33" s="463">
        <f t="shared" si="2"/>
        <v>0</v>
      </c>
      <c r="O33" s="52">
        <f t="shared" si="20"/>
        <v>1300</v>
      </c>
      <c r="P33" s="52">
        <f t="shared" si="20"/>
        <v>0</v>
      </c>
      <c r="Q33" s="463">
        <f t="shared" si="3"/>
        <v>0</v>
      </c>
      <c r="R33" s="52">
        <f t="shared" si="20"/>
        <v>1200</v>
      </c>
      <c r="S33" s="52">
        <f t="shared" si="20"/>
        <v>0</v>
      </c>
      <c r="T33" s="463">
        <f t="shared" si="7"/>
        <v>0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</row>
    <row r="34" spans="1:20" ht="24">
      <c r="A34" s="134" t="s">
        <v>516</v>
      </c>
      <c r="B34" s="126">
        <f>SUM(B35:B36)</f>
        <v>26722</v>
      </c>
      <c r="C34" s="126">
        <f aca="true" t="shared" si="21" ref="C34:I34">SUM(C35:C36)</f>
        <v>0</v>
      </c>
      <c r="D34" s="462">
        <f t="shared" si="0"/>
        <v>0</v>
      </c>
      <c r="E34" s="126">
        <f t="shared" si="21"/>
        <v>25515</v>
      </c>
      <c r="F34" s="126">
        <f t="shared" si="21"/>
        <v>0</v>
      </c>
      <c r="G34" s="462">
        <f t="shared" si="1"/>
        <v>0</v>
      </c>
      <c r="H34" s="126">
        <f t="shared" si="21"/>
        <v>61202</v>
      </c>
      <c r="I34" s="126">
        <f t="shared" si="21"/>
        <v>0</v>
      </c>
      <c r="J34" s="463">
        <f t="shared" si="5"/>
        <v>0</v>
      </c>
      <c r="K34" s="134" t="s">
        <v>516</v>
      </c>
      <c r="L34" s="126">
        <f aca="true" t="shared" si="22" ref="L34:S34">SUM(L35:L36)</f>
        <v>27</v>
      </c>
      <c r="M34" s="126">
        <f t="shared" si="22"/>
        <v>0</v>
      </c>
      <c r="N34" s="462">
        <f t="shared" si="2"/>
        <v>0</v>
      </c>
      <c r="O34" s="126">
        <f t="shared" si="22"/>
        <v>26</v>
      </c>
      <c r="P34" s="126">
        <f t="shared" si="22"/>
        <v>0</v>
      </c>
      <c r="Q34" s="462">
        <f t="shared" si="3"/>
        <v>0</v>
      </c>
      <c r="R34" s="126">
        <f t="shared" si="22"/>
        <v>61</v>
      </c>
      <c r="S34" s="126">
        <f t="shared" si="22"/>
        <v>0</v>
      </c>
      <c r="T34" s="462">
        <f t="shared" si="7"/>
        <v>0</v>
      </c>
    </row>
    <row r="35" spans="1:107" s="123" customFormat="1" ht="12.75">
      <c r="A35" s="128" t="s">
        <v>22</v>
      </c>
      <c r="B35" s="52">
        <v>22834</v>
      </c>
      <c r="C35" s="52"/>
      <c r="D35" s="463">
        <f t="shared" si="0"/>
        <v>0</v>
      </c>
      <c r="E35" s="52">
        <v>22541</v>
      </c>
      <c r="F35" s="52"/>
      <c r="G35" s="463">
        <f t="shared" si="1"/>
        <v>0</v>
      </c>
      <c r="H35" s="52">
        <v>57493</v>
      </c>
      <c r="I35" s="52"/>
      <c r="J35" s="463">
        <f t="shared" si="5"/>
        <v>0</v>
      </c>
      <c r="K35" s="128" t="s">
        <v>22</v>
      </c>
      <c r="L35" s="52">
        <f aca="true" t="shared" si="23" ref="L35:S36">ROUND(B35/1000,0)</f>
        <v>23</v>
      </c>
      <c r="M35" s="52">
        <f t="shared" si="23"/>
        <v>0</v>
      </c>
      <c r="N35" s="463">
        <f t="shared" si="2"/>
        <v>0</v>
      </c>
      <c r="O35" s="52">
        <f t="shared" si="23"/>
        <v>23</v>
      </c>
      <c r="P35" s="52">
        <f t="shared" si="23"/>
        <v>0</v>
      </c>
      <c r="Q35" s="463">
        <f t="shared" si="3"/>
        <v>0</v>
      </c>
      <c r="R35" s="52">
        <f t="shared" si="23"/>
        <v>57</v>
      </c>
      <c r="S35" s="52">
        <f t="shared" si="23"/>
        <v>0</v>
      </c>
      <c r="T35" s="463">
        <f t="shared" si="7"/>
        <v>0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</row>
    <row r="36" spans="1:107" s="123" customFormat="1" ht="12.75">
      <c r="A36" s="128" t="s">
        <v>582</v>
      </c>
      <c r="B36" s="52">
        <v>3888</v>
      </c>
      <c r="C36" s="52"/>
      <c r="D36" s="463">
        <f t="shared" si="0"/>
        <v>0</v>
      </c>
      <c r="E36" s="52">
        <v>2974</v>
      </c>
      <c r="F36" s="52"/>
      <c r="G36" s="463">
        <f t="shared" si="1"/>
        <v>0</v>
      </c>
      <c r="H36" s="52">
        <v>3709</v>
      </c>
      <c r="I36" s="52"/>
      <c r="J36" s="463">
        <f t="shared" si="5"/>
        <v>0</v>
      </c>
      <c r="K36" s="128" t="s">
        <v>582</v>
      </c>
      <c r="L36" s="52">
        <f t="shared" si="23"/>
        <v>4</v>
      </c>
      <c r="M36" s="52">
        <f t="shared" si="23"/>
        <v>0</v>
      </c>
      <c r="N36" s="463">
        <f t="shared" si="2"/>
        <v>0</v>
      </c>
      <c r="O36" s="52">
        <f t="shared" si="23"/>
        <v>3</v>
      </c>
      <c r="P36" s="52">
        <f t="shared" si="23"/>
        <v>0</v>
      </c>
      <c r="Q36" s="463">
        <f t="shared" si="3"/>
        <v>0</v>
      </c>
      <c r="R36" s="52">
        <f t="shared" si="23"/>
        <v>4</v>
      </c>
      <c r="S36" s="52">
        <f t="shared" si="23"/>
        <v>0</v>
      </c>
      <c r="T36" s="463">
        <f t="shared" si="7"/>
        <v>0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</row>
    <row r="37" spans="10:20" ht="12.75">
      <c r="J37" s="28"/>
      <c r="T37" s="28"/>
    </row>
    <row r="38" spans="1:20" ht="12.75">
      <c r="A38" s="108"/>
      <c r="B38" s="464"/>
      <c r="C38" s="465"/>
      <c r="D38" s="466"/>
      <c r="E38" s="466"/>
      <c r="F38" s="467"/>
      <c r="G38" s="467"/>
      <c r="H38" s="467"/>
      <c r="I38" s="467"/>
      <c r="J38" s="28"/>
      <c r="K38" s="108"/>
      <c r="L38" s="464"/>
      <c r="M38" s="465"/>
      <c r="N38" s="466"/>
      <c r="O38" s="466"/>
      <c r="P38" s="467"/>
      <c r="Q38" s="467"/>
      <c r="R38" s="467"/>
      <c r="S38" s="467"/>
      <c r="T38" s="28"/>
    </row>
    <row r="40" spans="1:20" ht="12.75">
      <c r="A40" s="28"/>
      <c r="B40" s="468"/>
      <c r="C40" s="343"/>
      <c r="D40" s="343"/>
      <c r="E40" s="469"/>
      <c r="F40" s="470"/>
      <c r="G40" s="470"/>
      <c r="H40" s="470"/>
      <c r="I40" s="470"/>
      <c r="J40" s="28"/>
      <c r="K40" s="28"/>
      <c r="L40" s="468"/>
      <c r="M40" s="343"/>
      <c r="N40" s="343"/>
      <c r="O40" s="469"/>
      <c r="P40" s="470"/>
      <c r="Q40" s="470"/>
      <c r="R40" s="470"/>
      <c r="S40" s="470"/>
      <c r="T40" s="28"/>
    </row>
    <row r="41" spans="1:20" ht="12.75">
      <c r="A41" s="64" t="s">
        <v>24</v>
      </c>
      <c r="B41" s="468"/>
      <c r="C41" s="343"/>
      <c r="D41" s="343"/>
      <c r="E41" s="469"/>
      <c r="F41" s="470"/>
      <c r="G41" s="470"/>
      <c r="H41" s="470"/>
      <c r="I41" s="470"/>
      <c r="J41" s="28"/>
      <c r="K41" s="64" t="s">
        <v>25</v>
      </c>
      <c r="L41" s="468"/>
      <c r="M41" s="343"/>
      <c r="N41" s="343"/>
      <c r="O41" s="469"/>
      <c r="P41" s="470"/>
      <c r="Q41" s="470"/>
      <c r="R41" s="470"/>
      <c r="S41" s="470"/>
      <c r="T41" s="28"/>
    </row>
    <row r="42" spans="2:20" ht="12.75">
      <c r="B42" s="471"/>
      <c r="C42" s="343"/>
      <c r="D42" s="472"/>
      <c r="E42" s="473"/>
      <c r="F42" s="474"/>
      <c r="G42" s="474"/>
      <c r="H42" s="474"/>
      <c r="I42" s="474"/>
      <c r="J42" s="28"/>
      <c r="L42" s="471"/>
      <c r="M42" s="343"/>
      <c r="N42" s="472"/>
      <c r="O42" s="473"/>
      <c r="P42" s="474"/>
      <c r="Q42" s="474"/>
      <c r="R42" s="474"/>
      <c r="S42" s="474"/>
      <c r="T42" s="28"/>
    </row>
    <row r="43" spans="1:11" ht="12.75">
      <c r="A43" s="28"/>
      <c r="K43" s="28"/>
    </row>
    <row r="44" spans="1:20" ht="12.75">
      <c r="A44" s="28"/>
      <c r="J44" s="28"/>
      <c r="K44" s="28"/>
      <c r="T44" s="28"/>
    </row>
    <row r="45" spans="1:20" ht="12.75">
      <c r="A45" s="28"/>
      <c r="J45" s="28"/>
      <c r="K45" s="28"/>
      <c r="T45" s="28"/>
    </row>
    <row r="46" spans="1:20" ht="12.75">
      <c r="A46" s="28"/>
      <c r="J46" s="28"/>
      <c r="K46" s="28"/>
      <c r="T46" s="28"/>
    </row>
    <row r="47" spans="10:20" ht="12.75">
      <c r="J47" s="28"/>
      <c r="T47" s="28"/>
    </row>
    <row r="48" spans="10:20" ht="12.75">
      <c r="J48" s="28"/>
      <c r="T48" s="28"/>
    </row>
    <row r="49" spans="1:20" ht="12.75">
      <c r="A49" s="28"/>
      <c r="J49" s="28"/>
      <c r="K49" s="28"/>
      <c r="T49" s="28"/>
    </row>
    <row r="50" spans="1:20" ht="12.75">
      <c r="A50" s="28"/>
      <c r="J50" s="28"/>
      <c r="K50" s="28"/>
      <c r="T50" s="28"/>
    </row>
    <row r="51" spans="1:20" ht="12.75">
      <c r="A51" s="28"/>
      <c r="J51" s="28"/>
      <c r="K51" s="28"/>
      <c r="T51" s="28"/>
    </row>
    <row r="52" spans="10:20" ht="12.75">
      <c r="J52" s="28"/>
      <c r="T52" s="28"/>
    </row>
    <row r="53" spans="10:20" ht="12.75">
      <c r="J53" s="28"/>
      <c r="K53" s="28" t="s">
        <v>349</v>
      </c>
      <c r="T53" s="28"/>
    </row>
    <row r="54" spans="10:20" ht="12.75">
      <c r="J54" s="28"/>
      <c r="K54" s="28" t="s">
        <v>350</v>
      </c>
      <c r="T54" s="28"/>
    </row>
    <row r="55" spans="1:20" ht="12.75">
      <c r="A55" s="28" t="s">
        <v>349</v>
      </c>
      <c r="J55" s="28"/>
      <c r="T55" s="28"/>
    </row>
    <row r="56" spans="1:20" ht="12.75">
      <c r="A56" s="28" t="s">
        <v>26</v>
      </c>
      <c r="J56" s="28"/>
      <c r="T56" s="28"/>
    </row>
    <row r="57" spans="10:20" ht="12.75">
      <c r="J57" s="28"/>
      <c r="T57" s="28"/>
    </row>
    <row r="58" spans="10:20" ht="12.75">
      <c r="J58" s="28"/>
      <c r="T58" s="28"/>
    </row>
    <row r="59" spans="10:20" ht="12.75">
      <c r="J59" s="28"/>
      <c r="T59" s="28"/>
    </row>
    <row r="60" spans="10:20" ht="12.75">
      <c r="J60" s="28"/>
      <c r="T60" s="28"/>
    </row>
    <row r="61" spans="10:20" ht="12.75">
      <c r="J61" s="28"/>
      <c r="T61" s="28"/>
    </row>
    <row r="62" spans="10:20" ht="12.75">
      <c r="J62" s="28"/>
      <c r="T62" s="28"/>
    </row>
    <row r="63" spans="10:20" ht="12.75">
      <c r="J63" s="28"/>
      <c r="T63" s="28"/>
    </row>
    <row r="64" spans="10:20" ht="12.75">
      <c r="J64" s="28"/>
      <c r="T64" s="28"/>
    </row>
    <row r="65" spans="10:20" ht="12.75">
      <c r="J65" s="28"/>
      <c r="T65" s="28"/>
    </row>
    <row r="66" spans="10:20" ht="12.75">
      <c r="J66" s="28"/>
      <c r="T66" s="28"/>
    </row>
    <row r="67" spans="10:20" ht="12.75">
      <c r="J67" s="28"/>
      <c r="T67" s="28"/>
    </row>
    <row r="68" spans="10:20" ht="12.75">
      <c r="J68" s="28"/>
      <c r="T68" s="28"/>
    </row>
    <row r="69" spans="10:20" ht="12.75">
      <c r="J69" s="28"/>
      <c r="T69" s="28"/>
    </row>
    <row r="70" spans="10:20" ht="12.75">
      <c r="J70" s="28"/>
      <c r="T70" s="28"/>
    </row>
    <row r="71" spans="10:20" ht="12.75">
      <c r="J71" s="28"/>
      <c r="T71" s="28"/>
    </row>
    <row r="72" spans="10:20" ht="12.75">
      <c r="J72" s="28"/>
      <c r="T72" s="28"/>
    </row>
    <row r="73" spans="10:20" ht="12.75">
      <c r="J73" s="28"/>
      <c r="T73" s="28"/>
    </row>
    <row r="74" spans="10:20" ht="12.75">
      <c r="J74" s="28"/>
      <c r="T74" s="28"/>
    </row>
    <row r="75" spans="10:20" ht="12.75">
      <c r="J75" s="28"/>
      <c r="T75" s="28"/>
    </row>
    <row r="76" spans="10:20" ht="12.75">
      <c r="J76" s="28"/>
      <c r="T76" s="28"/>
    </row>
    <row r="77" spans="10:20" ht="12.75">
      <c r="J77" s="28"/>
      <c r="T77" s="28"/>
    </row>
    <row r="78" spans="10:20" ht="12.75">
      <c r="J78" s="28"/>
      <c r="T78" s="28"/>
    </row>
    <row r="79" spans="10:20" ht="12.75">
      <c r="J79" s="28"/>
      <c r="T79" s="28"/>
    </row>
    <row r="80" spans="10:20" ht="12.75">
      <c r="J80" s="28"/>
      <c r="T80" s="28"/>
    </row>
    <row r="81" spans="10:20" ht="12.75">
      <c r="J81" s="28"/>
      <c r="T81" s="28"/>
    </row>
    <row r="82" spans="10:20" ht="12.75">
      <c r="J82" s="28"/>
      <c r="T82" s="28"/>
    </row>
    <row r="83" spans="10:20" ht="12.75">
      <c r="J83" s="28"/>
      <c r="T83" s="28"/>
    </row>
    <row r="84" spans="10:20" ht="12.75">
      <c r="J84" s="28"/>
      <c r="T84" s="28"/>
    </row>
    <row r="85" spans="10:20" ht="12.75">
      <c r="J85" s="28"/>
      <c r="T85" s="28"/>
    </row>
    <row r="86" spans="10:20" ht="12.75">
      <c r="J86" s="28"/>
      <c r="T86" s="28"/>
    </row>
    <row r="87" spans="10:20" ht="12.75">
      <c r="J87" s="28"/>
      <c r="T87" s="28"/>
    </row>
    <row r="88" spans="10:20" ht="12.75">
      <c r="J88" s="28"/>
      <c r="T88" s="28"/>
    </row>
    <row r="89" spans="10:20" ht="12.75">
      <c r="J89" s="28"/>
      <c r="T89" s="28"/>
    </row>
    <row r="90" spans="10:20" ht="12.75">
      <c r="J90" s="28"/>
      <c r="T90" s="28"/>
    </row>
    <row r="91" spans="10:20" ht="12.75">
      <c r="J91" s="28"/>
      <c r="T91" s="28"/>
    </row>
    <row r="92" spans="10:20" ht="12.75">
      <c r="J92" s="28"/>
      <c r="T92" s="28"/>
    </row>
    <row r="93" spans="10:20" ht="12.75">
      <c r="J93" s="28"/>
      <c r="T93" s="28"/>
    </row>
    <row r="94" spans="10:20" ht="12.75">
      <c r="J94" s="28"/>
      <c r="T94" s="28"/>
    </row>
    <row r="95" spans="10:20" ht="12.75">
      <c r="J95" s="28"/>
      <c r="T95" s="28"/>
    </row>
    <row r="96" spans="10:20" ht="12.75">
      <c r="J96" s="28"/>
      <c r="T96" s="28"/>
    </row>
    <row r="97" spans="10:20" ht="12.75">
      <c r="J97" s="28"/>
      <c r="T97" s="28"/>
    </row>
    <row r="98" spans="10:20" ht="12.75">
      <c r="J98" s="28"/>
      <c r="T98" s="28"/>
    </row>
    <row r="99" spans="10:20" ht="12.75">
      <c r="J99" s="28"/>
      <c r="T99" s="28"/>
    </row>
    <row r="100" spans="10:20" ht="12.75">
      <c r="J100" s="28"/>
      <c r="T100" s="28"/>
    </row>
    <row r="101" spans="10:20" ht="12.75">
      <c r="J101" s="28"/>
      <c r="T101" s="28"/>
    </row>
    <row r="102" spans="10:20" ht="12.75">
      <c r="J102" s="28"/>
      <c r="T102" s="28"/>
    </row>
    <row r="103" spans="10:20" ht="12.75">
      <c r="J103" s="28"/>
      <c r="T103" s="28"/>
    </row>
    <row r="104" spans="10:20" ht="12.75">
      <c r="J104" s="28"/>
      <c r="T104" s="28"/>
    </row>
    <row r="105" spans="10:20" ht="12.75">
      <c r="J105" s="28"/>
      <c r="T105" s="28"/>
    </row>
    <row r="106" spans="10:20" ht="12.75">
      <c r="J106" s="28"/>
      <c r="T106" s="28"/>
    </row>
    <row r="107" spans="10:20" ht="12.75">
      <c r="J107" s="28"/>
      <c r="T107" s="28"/>
    </row>
    <row r="108" spans="10:20" ht="12.75">
      <c r="J108" s="28"/>
      <c r="T108" s="28"/>
    </row>
    <row r="109" spans="10:20" ht="12.75">
      <c r="J109" s="28"/>
      <c r="T109" s="28"/>
    </row>
    <row r="110" spans="10:20" ht="12.75">
      <c r="J110" s="28"/>
      <c r="T110" s="28"/>
    </row>
    <row r="111" spans="10:20" ht="12.75">
      <c r="J111" s="28"/>
      <c r="T111" s="28"/>
    </row>
    <row r="112" spans="10:20" ht="12.75">
      <c r="J112" s="28"/>
      <c r="T112" s="28"/>
    </row>
    <row r="113" spans="10:20" ht="12.75">
      <c r="J113" s="28"/>
      <c r="T113" s="28"/>
    </row>
    <row r="114" spans="10:20" ht="12.75">
      <c r="J114" s="28"/>
      <c r="T114" s="28"/>
    </row>
    <row r="115" spans="10:20" ht="12.75">
      <c r="J115" s="28"/>
      <c r="T115" s="28"/>
    </row>
    <row r="116" spans="10:20" ht="12.75">
      <c r="J116" s="28"/>
      <c r="T116" s="28"/>
    </row>
    <row r="117" spans="10:20" ht="12.75">
      <c r="J117" s="28"/>
      <c r="T117" s="28"/>
    </row>
    <row r="118" spans="10:20" ht="12.75">
      <c r="J118" s="28"/>
      <c r="T118" s="28"/>
    </row>
    <row r="119" spans="10:20" ht="12.75">
      <c r="J119" s="28"/>
      <c r="T119" s="28"/>
    </row>
    <row r="120" spans="10:20" ht="12.75">
      <c r="J120" s="28"/>
      <c r="T120" s="28"/>
    </row>
    <row r="121" spans="10:20" ht="12.75">
      <c r="J121" s="28"/>
      <c r="T121" s="28"/>
    </row>
    <row r="122" spans="10:20" ht="12.75">
      <c r="J122" s="28"/>
      <c r="T122" s="28"/>
    </row>
    <row r="123" spans="10:20" ht="12.75">
      <c r="J123" s="28"/>
      <c r="T123" s="28"/>
    </row>
    <row r="124" spans="10:20" ht="12.75">
      <c r="J124" s="28"/>
      <c r="T124" s="28"/>
    </row>
    <row r="125" spans="10:20" ht="12.75">
      <c r="J125" s="28"/>
      <c r="T125" s="28"/>
    </row>
    <row r="126" spans="10:20" ht="12.75">
      <c r="J126" s="28"/>
      <c r="T126" s="28"/>
    </row>
    <row r="127" spans="1:2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</sheetData>
  <mergeCells count="12">
    <mergeCell ref="A4:J4"/>
    <mergeCell ref="K4:T4"/>
    <mergeCell ref="A5:J5"/>
    <mergeCell ref="K5:T5"/>
    <mergeCell ref="A6:J6"/>
    <mergeCell ref="K6:T6"/>
    <mergeCell ref="B9:D9"/>
    <mergeCell ref="E9:G9"/>
    <mergeCell ref="H9:J9"/>
    <mergeCell ref="L9:N9"/>
    <mergeCell ref="O9:Q9"/>
    <mergeCell ref="R9:T9"/>
  </mergeCells>
  <printOptions/>
  <pageMargins left="0.75" right="0.75" top="0.64" bottom="0.41" header="0.17" footer="0.17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G1">
      <selection activeCell="J7" sqref="J7"/>
    </sheetView>
  </sheetViews>
  <sheetFormatPr defaultColWidth="9.140625" defaultRowHeight="17.25" customHeight="1"/>
  <cols>
    <col min="1" max="1" width="34.28125" style="0" hidden="1" customWidth="1"/>
    <col min="2" max="2" width="12.7109375" style="0" hidden="1" customWidth="1"/>
    <col min="3" max="3" width="11.4218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</cols>
  <sheetData>
    <row r="1" spans="1:10" ht="12.75">
      <c r="A1" s="1"/>
      <c r="B1" s="2"/>
      <c r="C1" s="1"/>
      <c r="E1" s="3" t="s">
        <v>311</v>
      </c>
      <c r="F1" s="1"/>
      <c r="G1" s="2"/>
      <c r="H1" s="1"/>
      <c r="J1" s="3" t="s">
        <v>879</v>
      </c>
    </row>
    <row r="2" spans="1:10" ht="12.75">
      <c r="A2" s="1"/>
      <c r="B2" s="2"/>
      <c r="C2" s="1"/>
      <c r="E2" s="3"/>
      <c r="F2" s="1"/>
      <c r="G2" s="2"/>
      <c r="H2" s="1"/>
      <c r="J2" s="3"/>
    </row>
    <row r="3" spans="1:10" ht="12.75">
      <c r="A3" s="654" t="s">
        <v>312</v>
      </c>
      <c r="B3" s="654"/>
      <c r="C3" s="654"/>
      <c r="D3" s="654"/>
      <c r="E3" s="654"/>
      <c r="F3" s="654" t="s">
        <v>312</v>
      </c>
      <c r="G3" s="654"/>
      <c r="H3" s="654"/>
      <c r="I3" s="654"/>
      <c r="J3" s="654"/>
    </row>
    <row r="4" spans="1:10" ht="12.75">
      <c r="A4" s="1"/>
      <c r="B4" s="2"/>
      <c r="C4" s="1"/>
      <c r="E4" s="3"/>
      <c r="F4" s="1"/>
      <c r="G4" s="2"/>
      <c r="H4" s="1"/>
      <c r="J4" s="3"/>
    </row>
    <row r="5" spans="1:10" ht="50.25" customHeight="1">
      <c r="A5" s="680" t="s">
        <v>880</v>
      </c>
      <c r="B5" s="680"/>
      <c r="C5" s="680"/>
      <c r="D5" s="680"/>
      <c r="E5" s="680"/>
      <c r="F5" s="680" t="s">
        <v>881</v>
      </c>
      <c r="G5" s="680"/>
      <c r="H5" s="680"/>
      <c r="I5" s="680"/>
      <c r="J5" s="680"/>
    </row>
    <row r="6" spans="1:10" ht="17.25" customHeight="1">
      <c r="A6" s="74"/>
      <c r="B6" s="73"/>
      <c r="C6" s="72"/>
      <c r="D6" s="24"/>
      <c r="E6" s="6" t="s">
        <v>316</v>
      </c>
      <c r="F6" s="74"/>
      <c r="G6" s="73"/>
      <c r="H6" s="72"/>
      <c r="I6" s="24"/>
      <c r="J6" s="6" t="s">
        <v>317</v>
      </c>
    </row>
    <row r="7" spans="1:10" ht="57" customHeight="1">
      <c r="A7" s="34" t="s">
        <v>318</v>
      </c>
      <c r="B7" s="75" t="s">
        <v>403</v>
      </c>
      <c r="C7" s="34" t="s">
        <v>404</v>
      </c>
      <c r="D7" s="34" t="s">
        <v>882</v>
      </c>
      <c r="E7" s="34" t="s">
        <v>707</v>
      </c>
      <c r="F7" s="34" t="s">
        <v>318</v>
      </c>
      <c r="G7" s="75" t="s">
        <v>403</v>
      </c>
      <c r="H7" s="34" t="s">
        <v>404</v>
      </c>
      <c r="I7" s="34" t="s">
        <v>882</v>
      </c>
      <c r="J7" s="34" t="s">
        <v>883</v>
      </c>
    </row>
    <row r="8" spans="1:10" ht="12.75">
      <c r="A8" s="34">
        <v>1</v>
      </c>
      <c r="B8" s="75">
        <v>2</v>
      </c>
      <c r="C8" s="75">
        <v>4</v>
      </c>
      <c r="D8" s="75">
        <v>5</v>
      </c>
      <c r="E8" s="75">
        <v>7</v>
      </c>
      <c r="F8" s="34">
        <v>1</v>
      </c>
      <c r="G8" s="75">
        <v>2</v>
      </c>
      <c r="H8" s="75">
        <v>4</v>
      </c>
      <c r="I8" s="75">
        <v>5</v>
      </c>
      <c r="J8" s="75">
        <v>7</v>
      </c>
    </row>
    <row r="9" spans="1:10" ht="15.75">
      <c r="A9" s="451" t="s">
        <v>884</v>
      </c>
      <c r="B9" s="452">
        <f>B10+B11+B14+B19+B21+B23+B30</f>
        <v>55211790</v>
      </c>
      <c r="C9" s="452">
        <f>C10+C11+C14+C19+C21+C23+C30</f>
        <v>7679437</v>
      </c>
      <c r="D9" s="453">
        <f aca="true" t="shared" si="0" ref="D9:D30">C9/B9*100</f>
        <v>13.909052758477856</v>
      </c>
      <c r="E9" s="452">
        <f>C9-'[13]Janvaris'!C9</f>
        <v>4083033</v>
      </c>
      <c r="F9" s="452" t="s">
        <v>884</v>
      </c>
      <c r="G9" s="452">
        <f>G10+G11+G14+G19+G21+G23+G30</f>
        <v>55212</v>
      </c>
      <c r="H9" s="452">
        <f>H10+H11+H14+H19+H21+H23+H30</f>
        <v>7680</v>
      </c>
      <c r="I9" s="453">
        <f aca="true" t="shared" si="1" ref="I9:I30">H9/G9*100</f>
        <v>13.910019560965006</v>
      </c>
      <c r="J9" s="452">
        <f>H9-'[13]Janvaris'!H9</f>
        <v>4084</v>
      </c>
    </row>
    <row r="10" spans="1:10" ht="12.75">
      <c r="A10" s="57" t="s">
        <v>608</v>
      </c>
      <c r="B10" s="78">
        <v>48424727</v>
      </c>
      <c r="C10" s="78">
        <v>6637716</v>
      </c>
      <c r="D10" s="359">
        <f t="shared" si="0"/>
        <v>13.707286362192605</v>
      </c>
      <c r="E10" s="78">
        <f>C10-'[13]Janvaris'!C10</f>
        <v>3709088</v>
      </c>
      <c r="F10" s="57" t="s">
        <v>608</v>
      </c>
      <c r="G10" s="78">
        <f>ROUND(B10/1000,0)</f>
        <v>48425</v>
      </c>
      <c r="H10" s="78">
        <f>ROUND(C10/1000,0)</f>
        <v>6638</v>
      </c>
      <c r="I10" s="359">
        <f t="shared" si="1"/>
        <v>13.707795560144554</v>
      </c>
      <c r="J10" s="78">
        <f>H10-'[13]Janvaris'!H10</f>
        <v>3709</v>
      </c>
    </row>
    <row r="11" spans="1:10" ht="12.75">
      <c r="A11" s="57" t="s">
        <v>885</v>
      </c>
      <c r="B11" s="78">
        <f>SUM(B12:B13)</f>
        <v>223133</v>
      </c>
      <c r="C11" s="78">
        <f>SUM(C12:C13)</f>
        <v>25703</v>
      </c>
      <c r="D11" s="359">
        <f t="shared" si="0"/>
        <v>11.519138809588899</v>
      </c>
      <c r="E11" s="78">
        <f>C11-'[13]Janvaris'!C11</f>
        <v>10999</v>
      </c>
      <c r="F11" s="57" t="s">
        <v>885</v>
      </c>
      <c r="G11" s="78">
        <f>SUM(G12:G13)</f>
        <v>223</v>
      </c>
      <c r="H11" s="78">
        <f>SUM(H12:H13)</f>
        <v>26</v>
      </c>
      <c r="I11" s="359">
        <f t="shared" si="1"/>
        <v>11.659192825112108</v>
      </c>
      <c r="J11" s="78">
        <f>H11-'[13]Janvaris'!H11</f>
        <v>12</v>
      </c>
    </row>
    <row r="12" spans="1:10" ht="12.75">
      <c r="A12" s="86" t="s">
        <v>886</v>
      </c>
      <c r="B12" s="84">
        <v>61755</v>
      </c>
      <c r="C12" s="84">
        <v>6881</v>
      </c>
      <c r="D12" s="351">
        <f t="shared" si="0"/>
        <v>11.14241761800664</v>
      </c>
      <c r="E12" s="84">
        <f>C12-'[13]Janvaris'!C12</f>
        <v>3669</v>
      </c>
      <c r="F12" s="86" t="s">
        <v>886</v>
      </c>
      <c r="G12" s="84">
        <f>ROUND(B12/1000,0)</f>
        <v>62</v>
      </c>
      <c r="H12" s="84">
        <f>ROUND(C12/1000,0)</f>
        <v>7</v>
      </c>
      <c r="I12" s="351">
        <f t="shared" si="1"/>
        <v>11.29032258064516</v>
      </c>
      <c r="J12" s="84">
        <f>H12-'[13]Janvaris'!H12</f>
        <v>4</v>
      </c>
    </row>
    <row r="13" spans="1:10" ht="12.75">
      <c r="A13" s="86" t="s">
        <v>887</v>
      </c>
      <c r="B13" s="84">
        <v>161378</v>
      </c>
      <c r="C13" s="84">
        <v>18822</v>
      </c>
      <c r="D13" s="351">
        <f t="shared" si="0"/>
        <v>11.663299830212297</v>
      </c>
      <c r="E13" s="84">
        <f>C13-'[13]Janvaris'!C13</f>
        <v>7330</v>
      </c>
      <c r="F13" s="86" t="s">
        <v>887</v>
      </c>
      <c r="G13" s="84">
        <f>ROUND(B13/1000,0)</f>
        <v>161</v>
      </c>
      <c r="H13" s="84">
        <f>ROUND(C13/1000,0)</f>
        <v>19</v>
      </c>
      <c r="I13" s="351">
        <f t="shared" si="1"/>
        <v>11.801242236024844</v>
      </c>
      <c r="J13" s="84">
        <f>H13-'[13]Janvaris'!H13</f>
        <v>8</v>
      </c>
    </row>
    <row r="14" spans="1:10" ht="17.25" customHeight="1">
      <c r="A14" s="57" t="s">
        <v>504</v>
      </c>
      <c r="B14" s="78">
        <f>SUM(B15:B18)</f>
        <v>1105085</v>
      </c>
      <c r="C14" s="78">
        <f>SUM(C15:C18)</f>
        <v>361070</v>
      </c>
      <c r="D14" s="359">
        <f t="shared" si="0"/>
        <v>32.67350475302805</v>
      </c>
      <c r="E14" s="78">
        <f>C14-'[13]Janvaris'!C14</f>
        <v>12964</v>
      </c>
      <c r="F14" s="57" t="s">
        <v>504</v>
      </c>
      <c r="G14" s="78">
        <f>SUM(G15:G18)</f>
        <v>1105</v>
      </c>
      <c r="H14" s="78">
        <f>SUM(H15:H18)</f>
        <v>361</v>
      </c>
      <c r="I14" s="359">
        <f t="shared" si="1"/>
        <v>32.66968325791855</v>
      </c>
      <c r="J14" s="78">
        <f>H14-'[13]Janvaris'!H14</f>
        <v>13</v>
      </c>
    </row>
    <row r="15" spans="1:10" ht="24">
      <c r="A15" s="87" t="s">
        <v>888</v>
      </c>
      <c r="B15" s="84">
        <v>167030</v>
      </c>
      <c r="C15" s="84">
        <v>6356</v>
      </c>
      <c r="D15" s="351">
        <f t="shared" si="0"/>
        <v>3.8053044363288033</v>
      </c>
      <c r="E15" s="84">
        <f>C15-'[13]Janvaris'!C15</f>
        <v>1948</v>
      </c>
      <c r="F15" s="87" t="s">
        <v>888</v>
      </c>
      <c r="G15" s="84">
        <f aca="true" t="shared" si="2" ref="G15:H18">ROUND(B15/1000,0)</f>
        <v>167</v>
      </c>
      <c r="H15" s="84">
        <f t="shared" si="2"/>
        <v>6</v>
      </c>
      <c r="I15" s="351">
        <f t="shared" si="1"/>
        <v>3.592814371257485</v>
      </c>
      <c r="J15" s="84">
        <f>H15-'[13]Janvaris'!H15</f>
        <v>2</v>
      </c>
    </row>
    <row r="16" spans="1:10" ht="24">
      <c r="A16" s="87" t="s">
        <v>889</v>
      </c>
      <c r="B16" s="84">
        <v>265000</v>
      </c>
      <c r="C16" s="84">
        <v>0</v>
      </c>
      <c r="D16" s="351">
        <f t="shared" si="0"/>
        <v>0</v>
      </c>
      <c r="E16" s="84">
        <f>C16-'[13]Janvaris'!C16</f>
        <v>0</v>
      </c>
      <c r="F16" s="87" t="s">
        <v>889</v>
      </c>
      <c r="G16" s="84">
        <f t="shared" si="2"/>
        <v>265</v>
      </c>
      <c r="H16" s="348">
        <f t="shared" si="2"/>
        <v>0</v>
      </c>
      <c r="I16" s="351">
        <f t="shared" si="1"/>
        <v>0</v>
      </c>
      <c r="J16" s="348">
        <f>H16-'[13]Janvaris'!H16</f>
        <v>0</v>
      </c>
    </row>
    <row r="17" spans="1:10" ht="12.75">
      <c r="A17" s="86" t="s">
        <v>890</v>
      </c>
      <c r="B17" s="84">
        <v>530000</v>
      </c>
      <c r="C17" s="84">
        <v>342714</v>
      </c>
      <c r="D17" s="351">
        <f t="shared" si="0"/>
        <v>64.66301886792452</v>
      </c>
      <c r="E17" s="84">
        <f>C17-'[13]Janvaris'!C17</f>
        <v>11016</v>
      </c>
      <c r="F17" s="86" t="s">
        <v>890</v>
      </c>
      <c r="G17" s="84">
        <f t="shared" si="2"/>
        <v>530</v>
      </c>
      <c r="H17" s="84">
        <f t="shared" si="2"/>
        <v>343</v>
      </c>
      <c r="I17" s="351">
        <f t="shared" si="1"/>
        <v>64.71698113207547</v>
      </c>
      <c r="J17" s="84">
        <f>H17-'[13]Janvaris'!H17</f>
        <v>11</v>
      </c>
    </row>
    <row r="18" spans="1:10" ht="24">
      <c r="A18" s="87" t="s">
        <v>891</v>
      </c>
      <c r="B18" s="84">
        <v>143055</v>
      </c>
      <c r="C18" s="84">
        <v>12000</v>
      </c>
      <c r="D18" s="351">
        <f t="shared" si="0"/>
        <v>8.388382090804235</v>
      </c>
      <c r="E18" s="84">
        <f>C18-'[13]Janvaris'!C18</f>
        <v>0</v>
      </c>
      <c r="F18" s="87" t="s">
        <v>891</v>
      </c>
      <c r="G18" s="84">
        <f t="shared" si="2"/>
        <v>143</v>
      </c>
      <c r="H18" s="84">
        <f t="shared" si="2"/>
        <v>12</v>
      </c>
      <c r="I18" s="351">
        <f t="shared" si="1"/>
        <v>8.391608391608392</v>
      </c>
      <c r="J18" s="84">
        <f>H18-'[13]Janvaris'!H18</f>
        <v>0</v>
      </c>
    </row>
    <row r="19" spans="1:10" ht="12.75">
      <c r="A19" s="57" t="s">
        <v>613</v>
      </c>
      <c r="B19" s="78">
        <f>SUM(B20)</f>
        <v>347522</v>
      </c>
      <c r="C19" s="78">
        <f>SUM(C20)</f>
        <v>40997</v>
      </c>
      <c r="D19" s="359">
        <f t="shared" si="0"/>
        <v>11.79695098439811</v>
      </c>
      <c r="E19" s="78">
        <f>C19-'[13]Janvaris'!C19</f>
        <v>25607</v>
      </c>
      <c r="F19" s="57" t="s">
        <v>613</v>
      </c>
      <c r="G19" s="78">
        <f>SUM(G20)</f>
        <v>348</v>
      </c>
      <c r="H19" s="20">
        <f>SUM(H20)</f>
        <v>41</v>
      </c>
      <c r="I19" s="359">
        <f t="shared" si="1"/>
        <v>11.781609195402298</v>
      </c>
      <c r="J19" s="20">
        <f>H19-'[13]Janvaris'!H19</f>
        <v>26</v>
      </c>
    </row>
    <row r="20" spans="1:10" ht="12.75">
      <c r="A20" s="86" t="s">
        <v>0</v>
      </c>
      <c r="B20" s="84">
        <v>347522</v>
      </c>
      <c r="C20" s="84">
        <v>40997</v>
      </c>
      <c r="D20" s="351">
        <f t="shared" si="0"/>
        <v>11.79695098439811</v>
      </c>
      <c r="E20" s="84">
        <f>C20-'[13]Janvaris'!C20</f>
        <v>25607</v>
      </c>
      <c r="F20" s="86" t="s">
        <v>0</v>
      </c>
      <c r="G20" s="84">
        <f>ROUND(B20/1000,0)</f>
        <v>348</v>
      </c>
      <c r="H20" s="348">
        <f>ROUND(C20/1000,0)</f>
        <v>41</v>
      </c>
      <c r="I20" s="351">
        <f t="shared" si="1"/>
        <v>11.781609195402298</v>
      </c>
      <c r="J20" s="348">
        <f>H20-'[13]Janvaris'!H20</f>
        <v>26</v>
      </c>
    </row>
    <row r="21" spans="1:10" ht="12.75">
      <c r="A21" s="57" t="s">
        <v>510</v>
      </c>
      <c r="B21" s="78">
        <f>SUM(B22)</f>
        <v>275000</v>
      </c>
      <c r="C21" s="78">
        <f>SUM(C22)</f>
        <v>11391</v>
      </c>
      <c r="D21" s="359">
        <f t="shared" si="0"/>
        <v>4.142181818181818</v>
      </c>
      <c r="E21" s="78">
        <f>C21-'[13]Janvaris'!C21</f>
        <v>11391</v>
      </c>
      <c r="F21" s="57" t="s">
        <v>510</v>
      </c>
      <c r="G21" s="78">
        <f>SUM(G22)</f>
        <v>275</v>
      </c>
      <c r="H21" s="20">
        <f>SUM(H22)</f>
        <v>11</v>
      </c>
      <c r="I21" s="359">
        <f t="shared" si="1"/>
        <v>4</v>
      </c>
      <c r="J21" s="20">
        <f>H21-'[13]Janvaris'!H21</f>
        <v>11</v>
      </c>
    </row>
    <row r="22" spans="1:10" ht="36">
      <c r="A22" s="87" t="s">
        <v>1</v>
      </c>
      <c r="B22" s="84">
        <v>275000</v>
      </c>
      <c r="C22" s="84">
        <v>11391</v>
      </c>
      <c r="D22" s="351">
        <f t="shared" si="0"/>
        <v>4.142181818181818</v>
      </c>
      <c r="E22" s="84">
        <f>C22-'[13]Janvaris'!C22</f>
        <v>11391</v>
      </c>
      <c r="F22" s="87" t="s">
        <v>2</v>
      </c>
      <c r="G22" s="84">
        <f>ROUND(B22/1000,0)</f>
        <v>275</v>
      </c>
      <c r="H22" s="348">
        <f>ROUND(C22/1000,0)</f>
        <v>11</v>
      </c>
      <c r="I22" s="351">
        <f t="shared" si="1"/>
        <v>4</v>
      </c>
      <c r="J22" s="348">
        <f>H22-'[13]Janvaris'!H22</f>
        <v>11</v>
      </c>
    </row>
    <row r="23" spans="1:10" ht="12.75">
      <c r="A23" s="57" t="s">
        <v>507</v>
      </c>
      <c r="B23" s="78">
        <f>SUM(B24:B29)</f>
        <v>3192416</v>
      </c>
      <c r="C23" s="78">
        <f>SUM(C24:C29)</f>
        <v>420660</v>
      </c>
      <c r="D23" s="359">
        <f t="shared" si="0"/>
        <v>13.176854144322043</v>
      </c>
      <c r="E23" s="78">
        <f>C23-'[13]Janvaris'!C23</f>
        <v>222081</v>
      </c>
      <c r="F23" s="57" t="s">
        <v>507</v>
      </c>
      <c r="G23" s="78">
        <f>SUM(G24:G29)</f>
        <v>3192</v>
      </c>
      <c r="H23" s="78">
        <f>SUM(H24:H29)</f>
        <v>421</v>
      </c>
      <c r="I23" s="359">
        <f t="shared" si="1"/>
        <v>13.189223057644112</v>
      </c>
      <c r="J23" s="78">
        <f>H23-'[13]Janvaris'!H23</f>
        <v>222</v>
      </c>
    </row>
    <row r="24" spans="1:10" ht="12.75">
      <c r="A24" s="86" t="s">
        <v>3</v>
      </c>
      <c r="B24" s="84">
        <v>1190814</v>
      </c>
      <c r="C24" s="84">
        <v>205762</v>
      </c>
      <c r="D24" s="351">
        <f t="shared" si="0"/>
        <v>17.27910488119891</v>
      </c>
      <c r="E24" s="84">
        <f>C24-'[13]Janvaris'!C24</f>
        <v>105579</v>
      </c>
      <c r="F24" s="86" t="s">
        <v>3</v>
      </c>
      <c r="G24" s="84">
        <f aca="true" t="shared" si="3" ref="G24:H30">ROUND(B24/1000,0)</f>
        <v>1191</v>
      </c>
      <c r="H24" s="84">
        <f t="shared" si="3"/>
        <v>206</v>
      </c>
      <c r="I24" s="351">
        <f t="shared" si="1"/>
        <v>17.296389588581025</v>
      </c>
      <c r="J24" s="84">
        <f>H24-'[13]Janvaris'!H24</f>
        <v>106</v>
      </c>
    </row>
    <row r="25" spans="1:10" ht="24">
      <c r="A25" s="87" t="s">
        <v>4</v>
      </c>
      <c r="B25" s="84">
        <v>919056</v>
      </c>
      <c r="C25" s="84">
        <v>42034</v>
      </c>
      <c r="D25" s="351">
        <f t="shared" si="0"/>
        <v>4.57360596089901</v>
      </c>
      <c r="E25" s="84">
        <f>C25-'[13]Janvaris'!C25</f>
        <v>8035</v>
      </c>
      <c r="F25" s="87" t="s">
        <v>4</v>
      </c>
      <c r="G25" s="84">
        <f t="shared" si="3"/>
        <v>919</v>
      </c>
      <c r="H25" s="84">
        <f t="shared" si="3"/>
        <v>42</v>
      </c>
      <c r="I25" s="351">
        <f t="shared" si="1"/>
        <v>4.570184983677911</v>
      </c>
      <c r="J25" s="84">
        <f>H25-'[13]Janvaris'!H25</f>
        <v>8</v>
      </c>
    </row>
    <row r="26" spans="1:10" ht="24">
      <c r="A26" s="87" t="s">
        <v>5</v>
      </c>
      <c r="B26" s="84">
        <v>150000</v>
      </c>
      <c r="C26" s="84">
        <v>38208</v>
      </c>
      <c r="D26" s="351">
        <f t="shared" si="0"/>
        <v>25.472</v>
      </c>
      <c r="E26" s="84">
        <f>C26-'[13]Janvaris'!C26</f>
        <v>38208</v>
      </c>
      <c r="F26" s="87" t="s">
        <v>5</v>
      </c>
      <c r="G26" s="84">
        <f t="shared" si="3"/>
        <v>150</v>
      </c>
      <c r="H26" s="348">
        <f t="shared" si="3"/>
        <v>38</v>
      </c>
      <c r="I26" s="351">
        <f t="shared" si="1"/>
        <v>25.333333333333336</v>
      </c>
      <c r="J26" s="348">
        <f>H26-'[13]Janvaris'!H26</f>
        <v>38</v>
      </c>
    </row>
    <row r="27" spans="1:10" ht="60">
      <c r="A27" s="87" t="s">
        <v>6</v>
      </c>
      <c r="B27" s="84">
        <v>225466</v>
      </c>
      <c r="C27" s="84">
        <v>23980</v>
      </c>
      <c r="D27" s="351">
        <f t="shared" si="0"/>
        <v>10.635749957865045</v>
      </c>
      <c r="E27" s="84">
        <f>C27-'[13]Janvaris'!C27</f>
        <v>12201</v>
      </c>
      <c r="F27" s="87" t="s">
        <v>6</v>
      </c>
      <c r="G27" s="84">
        <f t="shared" si="3"/>
        <v>225</v>
      </c>
      <c r="H27" s="84">
        <f t="shared" si="3"/>
        <v>24</v>
      </c>
      <c r="I27" s="351">
        <f t="shared" si="1"/>
        <v>10.666666666666668</v>
      </c>
      <c r="J27" s="84">
        <f>H27-'[13]Janvaris'!H27</f>
        <v>12</v>
      </c>
    </row>
    <row r="28" spans="1:10" ht="36">
      <c r="A28" s="87" t="s">
        <v>7</v>
      </c>
      <c r="B28" s="84">
        <v>141288</v>
      </c>
      <c r="C28" s="84">
        <v>20911</v>
      </c>
      <c r="D28" s="351">
        <f t="shared" si="0"/>
        <v>14.800266123096087</v>
      </c>
      <c r="E28" s="84">
        <f>C28-'[13]Janvaris'!C28</f>
        <v>10057</v>
      </c>
      <c r="F28" s="87" t="s">
        <v>7</v>
      </c>
      <c r="G28" s="84">
        <f t="shared" si="3"/>
        <v>141</v>
      </c>
      <c r="H28" s="84">
        <f t="shared" si="3"/>
        <v>21</v>
      </c>
      <c r="I28" s="351">
        <f t="shared" si="1"/>
        <v>14.893617021276595</v>
      </c>
      <c r="J28" s="84">
        <f>H28-'[13]Janvaris'!H28</f>
        <v>10</v>
      </c>
    </row>
    <row r="29" spans="1:10" ht="24">
      <c r="A29" s="87" t="s">
        <v>8</v>
      </c>
      <c r="B29" s="84">
        <v>565792</v>
      </c>
      <c r="C29" s="84">
        <v>89765</v>
      </c>
      <c r="D29" s="351">
        <f t="shared" si="0"/>
        <v>15.865371019738703</v>
      </c>
      <c r="E29" s="84">
        <f>C29-'[13]Janvaris'!C29</f>
        <v>48001</v>
      </c>
      <c r="F29" s="87" t="s">
        <v>8</v>
      </c>
      <c r="G29" s="84">
        <f t="shared" si="3"/>
        <v>566</v>
      </c>
      <c r="H29" s="84">
        <f t="shared" si="3"/>
        <v>90</v>
      </c>
      <c r="I29" s="351">
        <f t="shared" si="1"/>
        <v>15.901060070671377</v>
      </c>
      <c r="J29" s="84">
        <f>H29-'[13]Janvaris'!H29</f>
        <v>48</v>
      </c>
    </row>
    <row r="30" spans="1:10" ht="12.75">
      <c r="A30" s="57" t="s">
        <v>619</v>
      </c>
      <c r="B30" s="78">
        <v>1643907</v>
      </c>
      <c r="C30" s="78">
        <v>181900</v>
      </c>
      <c r="D30" s="359">
        <f t="shared" si="0"/>
        <v>11.065102831242887</v>
      </c>
      <c r="E30" s="78">
        <f>C30-'[13]Janvaris'!C30</f>
        <v>90903</v>
      </c>
      <c r="F30" s="57" t="s">
        <v>619</v>
      </c>
      <c r="G30" s="78">
        <f t="shared" si="3"/>
        <v>1644</v>
      </c>
      <c r="H30" s="78">
        <f t="shared" si="3"/>
        <v>182</v>
      </c>
      <c r="I30" s="359">
        <f t="shared" si="1"/>
        <v>11.070559610705596</v>
      </c>
      <c r="J30" s="78">
        <f>H30-'[13]Janvaris'!H30</f>
        <v>91</v>
      </c>
    </row>
    <row r="31" spans="1:9" ht="17.25" customHeight="1">
      <c r="A31" s="103"/>
      <c r="B31" s="102"/>
      <c r="C31" s="27"/>
      <c r="D31" s="27"/>
      <c r="F31" s="103"/>
      <c r="G31" s="102"/>
      <c r="H31" s="27"/>
      <c r="I31" s="27"/>
    </row>
    <row r="32" spans="1:9" ht="17.25" customHeight="1">
      <c r="A32" s="103"/>
      <c r="B32" s="102"/>
      <c r="C32" s="27"/>
      <c r="D32" s="27"/>
      <c r="F32" s="103"/>
      <c r="G32" s="102"/>
      <c r="H32" s="27"/>
      <c r="I32" s="27"/>
    </row>
    <row r="33" spans="1:9" ht="17.25" customHeight="1">
      <c r="A33" s="105"/>
      <c r="B33" s="2"/>
      <c r="C33" s="1"/>
      <c r="D33" s="1"/>
      <c r="F33" s="105"/>
      <c r="G33" s="2"/>
      <c r="H33" s="1"/>
      <c r="I33" s="1"/>
    </row>
    <row r="34" spans="1:10" ht="17.25" customHeight="1">
      <c r="A34" s="64" t="s">
        <v>644</v>
      </c>
      <c r="B34" s="1"/>
      <c r="C34" s="1"/>
      <c r="D34" s="1"/>
      <c r="E34" s="1"/>
      <c r="F34" s="64" t="s">
        <v>9</v>
      </c>
      <c r="G34" s="1"/>
      <c r="H34" s="1"/>
      <c r="I34" s="1"/>
      <c r="J34" s="1"/>
    </row>
    <row r="36" spans="1:9" ht="17.25" customHeight="1">
      <c r="A36" s="106"/>
      <c r="B36" s="73"/>
      <c r="C36" s="107"/>
      <c r="D36" s="107"/>
      <c r="F36" s="106"/>
      <c r="G36" s="73"/>
      <c r="H36" s="107"/>
      <c r="I36" s="107"/>
    </row>
    <row r="37" spans="1:9" ht="17.25" customHeight="1">
      <c r="A37" s="28"/>
      <c r="B37" s="2"/>
      <c r="C37" s="1"/>
      <c r="D37" s="1"/>
      <c r="F37" s="28"/>
      <c r="G37" s="2"/>
      <c r="H37" s="1"/>
      <c r="I37" s="1"/>
    </row>
    <row r="38" spans="1:9" ht="12.75">
      <c r="A38" s="28"/>
      <c r="B38" s="2"/>
      <c r="C38" s="24"/>
      <c r="D38" s="24"/>
      <c r="F38" s="24" t="s">
        <v>349</v>
      </c>
      <c r="G38" s="2"/>
      <c r="H38" s="24"/>
      <c r="I38" s="24"/>
    </row>
    <row r="39" spans="2:9" ht="12.75">
      <c r="B39" s="2"/>
      <c r="C39" s="1"/>
      <c r="D39" s="1"/>
      <c r="F39" s="24" t="s">
        <v>350</v>
      </c>
      <c r="G39" s="2"/>
      <c r="H39" s="1"/>
      <c r="I39" s="1"/>
    </row>
    <row r="40" ht="12.75"/>
  </sheetData>
  <mergeCells count="4">
    <mergeCell ref="A3:E3"/>
    <mergeCell ref="F3:J3"/>
    <mergeCell ref="A5:E5"/>
    <mergeCell ref="F5:J5"/>
  </mergeCells>
  <printOptions/>
  <pageMargins left="0.75" right="0.75" top="0.31" bottom="0.37" header="0.17" footer="0.1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H1">
      <selection activeCell="A2" sqref="A2:F2"/>
    </sheetView>
  </sheetViews>
  <sheetFormatPr defaultColWidth="9.140625" defaultRowHeight="17.25" customHeight="1"/>
  <cols>
    <col min="1" max="1" width="43.421875" style="0" hidden="1" customWidth="1"/>
    <col min="2" max="2" width="10.8515625" style="0" hidden="1" customWidth="1"/>
    <col min="3" max="3" width="10.28125" style="0" hidden="1" customWidth="1"/>
    <col min="4" max="4" width="11.00390625" style="0" hidden="1" customWidth="1"/>
    <col min="5" max="5" width="10.28125" style="0" hidden="1" customWidth="1"/>
    <col min="6" max="6" width="11.28125" style="0" hidden="1" customWidth="1"/>
    <col min="7" max="7" width="9.140625" style="0" hidden="1" customWidth="1"/>
    <col min="8" max="8" width="45.57421875" style="0" customWidth="1"/>
    <col min="9" max="9" width="11.00390625" style="0" customWidth="1"/>
    <col min="12" max="12" width="8.140625" style="0" customWidth="1"/>
    <col min="13" max="13" width="8.28125" style="0" customWidth="1"/>
  </cols>
  <sheetData>
    <row r="1" spans="6:13" ht="14.25" customHeight="1">
      <c r="F1" s="419" t="s">
        <v>840</v>
      </c>
      <c r="M1" s="419" t="s">
        <v>840</v>
      </c>
    </row>
    <row r="2" spans="1:13" ht="13.5" customHeight="1">
      <c r="A2" s="654" t="s">
        <v>312</v>
      </c>
      <c r="B2" s="654"/>
      <c r="C2" s="654"/>
      <c r="D2" s="654"/>
      <c r="E2" s="654"/>
      <c r="F2" s="654"/>
      <c r="H2" s="624" t="s">
        <v>312</v>
      </c>
      <c r="I2" s="624"/>
      <c r="J2" s="624"/>
      <c r="K2" s="624"/>
      <c r="L2" s="624"/>
      <c r="M2" s="624"/>
    </row>
    <row r="3" ht="12.75" customHeight="1"/>
    <row r="4" spans="1:13" ht="15" customHeight="1">
      <c r="A4" s="623" t="s">
        <v>841</v>
      </c>
      <c r="B4" s="623"/>
      <c r="C4" s="623"/>
      <c r="D4" s="623"/>
      <c r="E4" s="623"/>
      <c r="F4" s="623"/>
      <c r="H4" s="625" t="s">
        <v>841</v>
      </c>
      <c r="I4" s="625"/>
      <c r="J4" s="625"/>
      <c r="K4" s="625"/>
      <c r="L4" s="625"/>
      <c r="M4" s="625"/>
    </row>
    <row r="5" spans="1:12" ht="14.25" customHeight="1">
      <c r="A5" s="654" t="s">
        <v>842</v>
      </c>
      <c r="B5" s="654"/>
      <c r="C5" s="654"/>
      <c r="D5" s="654"/>
      <c r="E5" s="654"/>
      <c r="H5" s="624" t="s">
        <v>842</v>
      </c>
      <c r="I5" s="624"/>
      <c r="J5" s="624"/>
      <c r="K5" s="624"/>
      <c r="L5" s="624"/>
    </row>
    <row r="6" spans="6:13" ht="14.25" customHeight="1">
      <c r="F6" s="24" t="s">
        <v>317</v>
      </c>
      <c r="M6" s="24" t="s">
        <v>317</v>
      </c>
    </row>
    <row r="7" spans="1:13" ht="45">
      <c r="A7" s="34" t="s">
        <v>792</v>
      </c>
      <c r="B7" s="34" t="s">
        <v>403</v>
      </c>
      <c r="C7" s="420" t="s">
        <v>843</v>
      </c>
      <c r="D7" s="34" t="s">
        <v>404</v>
      </c>
      <c r="E7" s="34" t="s">
        <v>844</v>
      </c>
      <c r="F7" s="34" t="s">
        <v>601</v>
      </c>
      <c r="H7" s="34" t="s">
        <v>792</v>
      </c>
      <c r="I7" s="34" t="s">
        <v>403</v>
      </c>
      <c r="J7" s="420" t="s">
        <v>843</v>
      </c>
      <c r="K7" s="34" t="s">
        <v>404</v>
      </c>
      <c r="L7" s="34" t="s">
        <v>844</v>
      </c>
      <c r="M7" s="34" t="s">
        <v>601</v>
      </c>
    </row>
    <row r="8" spans="1:13" ht="13.5" customHeight="1">
      <c r="A8" s="11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H8" s="11">
        <v>1</v>
      </c>
      <c r="I8" s="111">
        <v>2</v>
      </c>
      <c r="J8" s="111">
        <v>3</v>
      </c>
      <c r="K8" s="111">
        <v>4</v>
      </c>
      <c r="L8" s="111">
        <v>5</v>
      </c>
      <c r="M8" s="111">
        <v>6</v>
      </c>
    </row>
    <row r="9" spans="1:13" ht="13.5" customHeight="1">
      <c r="A9" s="177" t="s">
        <v>845</v>
      </c>
      <c r="B9" s="421">
        <f>B10+B19+B36+B38</f>
        <v>795383031</v>
      </c>
      <c r="C9" s="311">
        <v>96.5</v>
      </c>
      <c r="D9" s="421">
        <f>D10+D19+D36+D38</f>
        <v>114086103.22999999</v>
      </c>
      <c r="E9" s="422">
        <f>IF(ISERROR(D9/B9)," ",(D9/B9))*100</f>
        <v>14.343542517692962</v>
      </c>
      <c r="F9" s="421">
        <f>F10+F19+F36+F38</f>
        <v>49620769.00999999</v>
      </c>
      <c r="H9" s="177" t="s">
        <v>845</v>
      </c>
      <c r="I9" s="185">
        <f aca="true" t="shared" si="0" ref="I9:I16">ROUND(B9/1000,0)</f>
        <v>795383</v>
      </c>
      <c r="J9" s="311">
        <f>C9</f>
        <v>96.5</v>
      </c>
      <c r="K9" s="185">
        <f aca="true" t="shared" si="1" ref="K9:K33">ROUND(D9/1000,0)</f>
        <v>114086</v>
      </c>
      <c r="L9" s="423">
        <f aca="true" t="shared" si="2" ref="L9:L16">E9</f>
        <v>14.343542517692962</v>
      </c>
      <c r="M9" s="185">
        <f>ROUND(F9/1000,0)</f>
        <v>49621</v>
      </c>
    </row>
    <row r="10" spans="1:13" ht="13.5" customHeight="1">
      <c r="A10" s="187" t="s">
        <v>846</v>
      </c>
      <c r="B10" s="421">
        <f>B11+B13</f>
        <v>611912797</v>
      </c>
      <c r="C10" s="311">
        <v>95.5</v>
      </c>
      <c r="D10" s="421">
        <f>D11+D13+D17</f>
        <v>89909488.28999999</v>
      </c>
      <c r="E10" s="422">
        <f>IF(ISERROR(D10/B10)," ",(D10/B10))*100</f>
        <v>14.693186468855627</v>
      </c>
      <c r="F10" s="421">
        <f>F11+F13+F17</f>
        <v>39212553.35</v>
      </c>
      <c r="H10" s="187" t="s">
        <v>846</v>
      </c>
      <c r="I10" s="185">
        <f t="shared" si="0"/>
        <v>611913</v>
      </c>
      <c r="J10" s="311">
        <f>C10</f>
        <v>95.5</v>
      </c>
      <c r="K10" s="185">
        <f>ROUND(D10/1000,0)-1</f>
        <v>89908</v>
      </c>
      <c r="L10" s="423">
        <f t="shared" si="2"/>
        <v>14.693186468855627</v>
      </c>
      <c r="M10" s="185">
        <f>ROUND(F10/1000,0)-2</f>
        <v>39211</v>
      </c>
    </row>
    <row r="11" spans="1:13" ht="13.5" customHeight="1">
      <c r="A11" s="187" t="s">
        <v>847</v>
      </c>
      <c r="B11" s="421">
        <f>B12</f>
        <v>98046000</v>
      </c>
      <c r="C11" s="311">
        <v>100</v>
      </c>
      <c r="D11" s="421">
        <f>D12</f>
        <v>13504254.5</v>
      </c>
      <c r="E11" s="422">
        <f>IF(ISERROR(D11/B11)," ",(D11/B11))*100</f>
        <v>13.773386471656163</v>
      </c>
      <c r="F11" s="421">
        <f>F12</f>
        <v>6628050.87</v>
      </c>
      <c r="H11" s="187" t="s">
        <v>847</v>
      </c>
      <c r="I11" s="185">
        <f t="shared" si="0"/>
        <v>98046</v>
      </c>
      <c r="J11" s="311">
        <f>C11</f>
        <v>100</v>
      </c>
      <c r="K11" s="185">
        <f t="shared" si="1"/>
        <v>13504</v>
      </c>
      <c r="L11" s="423">
        <f t="shared" si="2"/>
        <v>13.773386471656163</v>
      </c>
      <c r="M11" s="185">
        <f>ROUND(F11/1000,0)-1</f>
        <v>6627</v>
      </c>
    </row>
    <row r="12" spans="1:13" ht="13.5" customHeight="1">
      <c r="A12" s="81" t="s">
        <v>848</v>
      </c>
      <c r="B12" s="424">
        <v>98046000</v>
      </c>
      <c r="C12" s="425">
        <v>85.72</v>
      </c>
      <c r="D12" s="426">
        <v>13504254.5</v>
      </c>
      <c r="E12" s="427">
        <f aca="true" t="shared" si="3" ref="E12:E38">IF(ISERROR(D12/B12)," ",(D12/B12))*100</f>
        <v>13.773386471656163</v>
      </c>
      <c r="F12" s="426">
        <f>D12-'[12]Janvāris'!D12</f>
        <v>6628050.87</v>
      </c>
      <c r="H12" s="86" t="s">
        <v>848</v>
      </c>
      <c r="I12" s="396">
        <f t="shared" si="0"/>
        <v>98046</v>
      </c>
      <c r="J12" s="428">
        <f>C12</f>
        <v>85.72</v>
      </c>
      <c r="K12" s="396">
        <f t="shared" si="1"/>
        <v>13504</v>
      </c>
      <c r="L12" s="429">
        <f t="shared" si="2"/>
        <v>13.773386471656163</v>
      </c>
      <c r="M12" s="396">
        <f>ROUND(F12/1000,0)-1</f>
        <v>6627</v>
      </c>
    </row>
    <row r="13" spans="1:13" ht="13.5" customHeight="1">
      <c r="A13" s="187" t="s">
        <v>849</v>
      </c>
      <c r="B13" s="421">
        <f>B14+B15+B16</f>
        <v>513866797</v>
      </c>
      <c r="C13" s="311">
        <v>100</v>
      </c>
      <c r="D13" s="421">
        <f>D14+D15+D16</f>
        <v>72909870.83</v>
      </c>
      <c r="E13" s="422">
        <f t="shared" si="3"/>
        <v>14.1884767133534</v>
      </c>
      <c r="F13" s="426">
        <f>D13-'[12]Janvāris'!D13</f>
        <v>32033741.380000003</v>
      </c>
      <c r="H13" s="187" t="s">
        <v>849</v>
      </c>
      <c r="I13" s="185">
        <f t="shared" si="0"/>
        <v>513867</v>
      </c>
      <c r="J13" s="311">
        <v>100</v>
      </c>
      <c r="K13" s="185">
        <f>ROUND(D13/1000,0)-1</f>
        <v>72909</v>
      </c>
      <c r="L13" s="423">
        <f t="shared" si="2"/>
        <v>14.1884767133534</v>
      </c>
      <c r="M13" s="185">
        <f>ROUND(F13/1000,0)-1</f>
        <v>32033</v>
      </c>
    </row>
    <row r="14" spans="1:13" ht="13.5" customHeight="1">
      <c r="A14" s="81" t="s">
        <v>850</v>
      </c>
      <c r="B14" s="424">
        <v>368947657</v>
      </c>
      <c r="C14" s="430">
        <v>98.64</v>
      </c>
      <c r="D14" s="426">
        <v>52068093.9</v>
      </c>
      <c r="E14" s="427">
        <f t="shared" si="3"/>
        <v>14.112596438036196</v>
      </c>
      <c r="F14" s="426">
        <f>D14-'[12]Janvāris'!D14</f>
        <v>22180076.529999997</v>
      </c>
      <c r="H14" s="86" t="s">
        <v>850</v>
      </c>
      <c r="I14" s="396">
        <f t="shared" si="0"/>
        <v>368948</v>
      </c>
      <c r="J14" s="428">
        <f>C14</f>
        <v>98.64</v>
      </c>
      <c r="K14" s="396">
        <f t="shared" si="1"/>
        <v>52068</v>
      </c>
      <c r="L14" s="429">
        <f t="shared" si="2"/>
        <v>14.112596438036196</v>
      </c>
      <c r="M14" s="396">
        <f aca="true" t="shared" si="4" ref="M14:M33">ROUND(F14/1000,0)</f>
        <v>22180</v>
      </c>
    </row>
    <row r="15" spans="1:13" ht="13.5" customHeight="1">
      <c r="A15" s="81" t="s">
        <v>851</v>
      </c>
      <c r="B15" s="424">
        <v>132976140</v>
      </c>
      <c r="C15" s="430">
        <v>93.6</v>
      </c>
      <c r="D15" s="426">
        <v>18787430.21</v>
      </c>
      <c r="E15" s="427">
        <f t="shared" si="3"/>
        <v>14.128421993599755</v>
      </c>
      <c r="F15" s="426">
        <f>D15-'[12]Janvāris'!D15</f>
        <v>8830432.790000001</v>
      </c>
      <c r="H15" s="86" t="s">
        <v>851</v>
      </c>
      <c r="I15" s="396">
        <f t="shared" si="0"/>
        <v>132976</v>
      </c>
      <c r="J15" s="428">
        <f aca="true" t="shared" si="5" ref="J15:J38">C15</f>
        <v>93.6</v>
      </c>
      <c r="K15" s="396">
        <f t="shared" si="1"/>
        <v>18787</v>
      </c>
      <c r="L15" s="429">
        <f t="shared" si="2"/>
        <v>14.128421993599755</v>
      </c>
      <c r="M15" s="396">
        <f t="shared" si="4"/>
        <v>8830</v>
      </c>
    </row>
    <row r="16" spans="1:13" ht="13.5" customHeight="1">
      <c r="A16" s="217" t="s">
        <v>852</v>
      </c>
      <c r="B16" s="424">
        <v>11943000</v>
      </c>
      <c r="C16" s="430">
        <v>100</v>
      </c>
      <c r="D16" s="426">
        <v>2054346.72</v>
      </c>
      <c r="E16" s="427">
        <f t="shared" si="3"/>
        <v>17.20126199447375</v>
      </c>
      <c r="F16" s="426">
        <f>D16-'[12]Janvāris'!D16</f>
        <v>1023232.0599999999</v>
      </c>
      <c r="H16" s="369" t="s">
        <v>852</v>
      </c>
      <c r="I16" s="396">
        <f t="shared" si="0"/>
        <v>11943</v>
      </c>
      <c r="J16" s="428">
        <f t="shared" si="5"/>
        <v>100</v>
      </c>
      <c r="K16" s="396">
        <f>ROUND(D16/1000,0)</f>
        <v>2054</v>
      </c>
      <c r="L16" s="429">
        <f t="shared" si="2"/>
        <v>17.20126199447375</v>
      </c>
      <c r="M16" s="396">
        <f>ROUND(F16/1000,0)</f>
        <v>1023</v>
      </c>
    </row>
    <row r="17" spans="1:13" ht="13.5" customHeight="1">
      <c r="A17" s="187" t="s">
        <v>853</v>
      </c>
      <c r="B17" s="431" t="s">
        <v>360</v>
      </c>
      <c r="C17" s="432"/>
      <c r="D17" s="433">
        <v>3495362.96</v>
      </c>
      <c r="E17" s="427"/>
      <c r="F17" s="426">
        <f>D17-'[12]Janvāris'!D17</f>
        <v>550761.1000000001</v>
      </c>
      <c r="H17" s="187" t="s">
        <v>853</v>
      </c>
      <c r="I17" s="317" t="s">
        <v>360</v>
      </c>
      <c r="J17" s="428"/>
      <c r="K17" s="185">
        <f t="shared" si="1"/>
        <v>3495</v>
      </c>
      <c r="L17" s="423"/>
      <c r="M17" s="185">
        <f>ROUND(F17/1000,0)</f>
        <v>551</v>
      </c>
    </row>
    <row r="18" spans="1:13" ht="13.5" customHeight="1">
      <c r="A18" s="217" t="s">
        <v>854</v>
      </c>
      <c r="B18" s="259" t="s">
        <v>360</v>
      </c>
      <c r="C18" s="430"/>
      <c r="D18" s="426">
        <v>73051.06</v>
      </c>
      <c r="E18" s="427"/>
      <c r="F18" s="426">
        <f>D18-'[12]Janvāris'!D18</f>
        <v>470539.06</v>
      </c>
      <c r="H18" s="369" t="s">
        <v>854</v>
      </c>
      <c r="I18" s="346" t="s">
        <v>360</v>
      </c>
      <c r="J18" s="428"/>
      <c r="K18" s="400">
        <f t="shared" si="1"/>
        <v>73</v>
      </c>
      <c r="L18" s="400"/>
      <c r="M18" s="400">
        <f>ROUND(F18/1000,0)-1</f>
        <v>470</v>
      </c>
    </row>
    <row r="19" spans="1:13" ht="13.5" customHeight="1">
      <c r="A19" s="187" t="s">
        <v>855</v>
      </c>
      <c r="B19" s="421">
        <f>B20+B21+B22+B23+B24+B25+B29+B30</f>
        <v>66652153</v>
      </c>
      <c r="C19" s="311">
        <v>100</v>
      </c>
      <c r="D19" s="421">
        <f>D20+D21+D22+D23+D24+D25+D29+D30</f>
        <v>10857509.829999998</v>
      </c>
      <c r="E19" s="422">
        <f t="shared" si="3"/>
        <v>16.289811118329514</v>
      </c>
      <c r="F19" s="426">
        <f>D19-'[12]Janvāris'!D19</f>
        <v>4639299.2799999975</v>
      </c>
      <c r="H19" s="187" t="s">
        <v>855</v>
      </c>
      <c r="I19" s="185">
        <f aca="true" t="shared" si="6" ref="I19:I38">ROUND(B19/1000,0)</f>
        <v>66652</v>
      </c>
      <c r="J19" s="428">
        <f t="shared" si="5"/>
        <v>100</v>
      </c>
      <c r="K19" s="185">
        <f>ROUND(D19/1000,0)+1</f>
        <v>10859</v>
      </c>
      <c r="L19" s="423">
        <f aca="true" t="shared" si="7" ref="L19:L33">E19</f>
        <v>16.289811118329514</v>
      </c>
      <c r="M19" s="185">
        <f>ROUND(F19/1000,0)</f>
        <v>4639</v>
      </c>
    </row>
    <row r="20" spans="1:13" ht="13.5" customHeight="1">
      <c r="A20" s="89" t="s">
        <v>856</v>
      </c>
      <c r="B20" s="424">
        <v>1250000</v>
      </c>
      <c r="C20" s="430">
        <v>100</v>
      </c>
      <c r="D20" s="426">
        <v>181940.46</v>
      </c>
      <c r="E20" s="427">
        <f t="shared" si="3"/>
        <v>14.5552368</v>
      </c>
      <c r="F20" s="426">
        <f>D20-'[12]Janvāris'!D20</f>
        <v>178372.85</v>
      </c>
      <c r="H20" s="87" t="s">
        <v>856</v>
      </c>
      <c r="I20" s="396">
        <f t="shared" si="6"/>
        <v>1250</v>
      </c>
      <c r="J20" s="428">
        <f t="shared" si="5"/>
        <v>100</v>
      </c>
      <c r="K20" s="396">
        <f t="shared" si="1"/>
        <v>182</v>
      </c>
      <c r="L20" s="429">
        <f t="shared" si="7"/>
        <v>14.5552368</v>
      </c>
      <c r="M20" s="396">
        <f t="shared" si="4"/>
        <v>178</v>
      </c>
    </row>
    <row r="21" spans="1:13" ht="13.5" customHeight="1">
      <c r="A21" s="434" t="s">
        <v>857</v>
      </c>
      <c r="B21" s="424">
        <v>14528225</v>
      </c>
      <c r="C21" s="430">
        <v>100</v>
      </c>
      <c r="D21" s="426">
        <v>3093627.21</v>
      </c>
      <c r="E21" s="427">
        <f t="shared" si="3"/>
        <v>21.29391037101917</v>
      </c>
      <c r="F21" s="426">
        <f>D21-'[12]Janvāris'!D21</f>
        <v>736713.6699999999</v>
      </c>
      <c r="H21" s="435" t="s">
        <v>857</v>
      </c>
      <c r="I21" s="396">
        <f t="shared" si="6"/>
        <v>14528</v>
      </c>
      <c r="J21" s="428">
        <f t="shared" si="5"/>
        <v>100</v>
      </c>
      <c r="K21" s="396">
        <f t="shared" si="1"/>
        <v>3094</v>
      </c>
      <c r="L21" s="429">
        <f t="shared" si="7"/>
        <v>21.29391037101917</v>
      </c>
      <c r="M21" s="396">
        <f t="shared" si="4"/>
        <v>737</v>
      </c>
    </row>
    <row r="22" spans="1:13" ht="12" customHeight="1">
      <c r="A22" s="89" t="s">
        <v>858</v>
      </c>
      <c r="B22" s="424">
        <v>19729654</v>
      </c>
      <c r="C22" s="430">
        <v>100</v>
      </c>
      <c r="D22" s="426">
        <v>2457422.03</v>
      </c>
      <c r="E22" s="427">
        <f t="shared" si="3"/>
        <v>12.455474535944724</v>
      </c>
      <c r="F22" s="426">
        <f>D22-'[12]Janvāris'!D22</f>
        <v>1240154.4799999997</v>
      </c>
      <c r="H22" s="87" t="s">
        <v>858</v>
      </c>
      <c r="I22" s="396">
        <f t="shared" si="6"/>
        <v>19730</v>
      </c>
      <c r="J22" s="428">
        <f t="shared" si="5"/>
        <v>100</v>
      </c>
      <c r="K22" s="396">
        <f t="shared" si="1"/>
        <v>2457</v>
      </c>
      <c r="L22" s="429">
        <f t="shared" si="7"/>
        <v>12.455474535944724</v>
      </c>
      <c r="M22" s="396">
        <f t="shared" si="4"/>
        <v>1240</v>
      </c>
    </row>
    <row r="23" spans="1:13" ht="24.75" customHeight="1">
      <c r="A23" s="89" t="s">
        <v>859</v>
      </c>
      <c r="B23" s="424">
        <v>733720</v>
      </c>
      <c r="C23" s="430">
        <v>100</v>
      </c>
      <c r="D23" s="426">
        <v>79121.35</v>
      </c>
      <c r="E23" s="427">
        <f t="shared" si="3"/>
        <v>10.783589107561468</v>
      </c>
      <c r="F23" s="426">
        <f>D23-'[12]Janvāris'!D23</f>
        <v>38701.200000000004</v>
      </c>
      <c r="H23" s="87" t="s">
        <v>859</v>
      </c>
      <c r="I23" s="396">
        <f t="shared" si="6"/>
        <v>734</v>
      </c>
      <c r="J23" s="428">
        <f t="shared" si="5"/>
        <v>100</v>
      </c>
      <c r="K23" s="396">
        <f t="shared" si="1"/>
        <v>79</v>
      </c>
      <c r="L23" s="429">
        <f t="shared" si="7"/>
        <v>10.783589107561468</v>
      </c>
      <c r="M23" s="396">
        <f t="shared" si="4"/>
        <v>39</v>
      </c>
    </row>
    <row r="24" spans="1:13" ht="13.5" customHeight="1">
      <c r="A24" s="89" t="s">
        <v>860</v>
      </c>
      <c r="B24" s="424">
        <v>624000</v>
      </c>
      <c r="C24" s="430">
        <v>100</v>
      </c>
      <c r="D24" s="426">
        <v>139250.57</v>
      </c>
      <c r="E24" s="427">
        <f t="shared" si="3"/>
        <v>22.315796474358976</v>
      </c>
      <c r="F24" s="426">
        <f>D24-'[12]Janvāris'!D24</f>
        <v>83174.63</v>
      </c>
      <c r="H24" s="87" t="s">
        <v>860</v>
      </c>
      <c r="I24" s="396">
        <f t="shared" si="6"/>
        <v>624</v>
      </c>
      <c r="J24" s="428">
        <f t="shared" si="5"/>
        <v>100</v>
      </c>
      <c r="K24" s="396">
        <f t="shared" si="1"/>
        <v>139</v>
      </c>
      <c r="L24" s="429">
        <f t="shared" si="7"/>
        <v>22.315796474358976</v>
      </c>
      <c r="M24" s="396">
        <f t="shared" si="4"/>
        <v>83</v>
      </c>
    </row>
    <row r="25" spans="1:13" ht="13.5" customHeight="1">
      <c r="A25" s="371" t="s">
        <v>861</v>
      </c>
      <c r="B25" s="424">
        <v>6650000</v>
      </c>
      <c r="C25" s="430">
        <v>100</v>
      </c>
      <c r="D25" s="426">
        <v>1494637.6</v>
      </c>
      <c r="E25" s="427">
        <f t="shared" si="3"/>
        <v>22.47575338345865</v>
      </c>
      <c r="F25" s="426">
        <f>D25-'[12]Janvāris'!D25</f>
        <v>710984.8600000001</v>
      </c>
      <c r="H25" s="406" t="s">
        <v>861</v>
      </c>
      <c r="I25" s="396">
        <f t="shared" si="6"/>
        <v>6650</v>
      </c>
      <c r="J25" s="428">
        <f t="shared" si="5"/>
        <v>100</v>
      </c>
      <c r="K25" s="396">
        <f t="shared" si="1"/>
        <v>1495</v>
      </c>
      <c r="L25" s="429">
        <f t="shared" si="7"/>
        <v>22.47575338345865</v>
      </c>
      <c r="M25" s="396">
        <f>ROUND(F25/1000,0)-1</f>
        <v>710</v>
      </c>
    </row>
    <row r="26" spans="1:13" ht="24" customHeight="1">
      <c r="A26" s="436" t="s">
        <v>862</v>
      </c>
      <c r="B26" s="424">
        <v>2250000</v>
      </c>
      <c r="C26" s="430">
        <v>100</v>
      </c>
      <c r="D26" s="426">
        <v>446467.57</v>
      </c>
      <c r="E26" s="427">
        <f t="shared" si="3"/>
        <v>19.843003111111113</v>
      </c>
      <c r="F26" s="426">
        <f>D26-'[12]Janvāris'!D26</f>
        <v>243927.83000000002</v>
      </c>
      <c r="H26" s="437" t="s">
        <v>863</v>
      </c>
      <c r="I26" s="396">
        <f t="shared" si="6"/>
        <v>2250</v>
      </c>
      <c r="J26" s="428">
        <f t="shared" si="5"/>
        <v>100</v>
      </c>
      <c r="K26" s="396">
        <f t="shared" si="1"/>
        <v>446</v>
      </c>
      <c r="L26" s="429">
        <f t="shared" si="7"/>
        <v>19.843003111111113</v>
      </c>
      <c r="M26" s="396">
        <f>ROUND(F26/1000,0)-1</f>
        <v>243</v>
      </c>
    </row>
    <row r="27" spans="1:13" ht="25.5">
      <c r="A27" s="436" t="s">
        <v>864</v>
      </c>
      <c r="B27" s="438">
        <v>4200000</v>
      </c>
      <c r="C27" s="430">
        <v>100</v>
      </c>
      <c r="D27" s="426">
        <v>927137.16</v>
      </c>
      <c r="E27" s="427">
        <f t="shared" si="3"/>
        <v>22.074694285714287</v>
      </c>
      <c r="F27" s="426">
        <f>D27-'[12]Janvāris'!D27</f>
        <v>729654.72</v>
      </c>
      <c r="H27" s="437" t="s">
        <v>864</v>
      </c>
      <c r="I27" s="396">
        <f t="shared" si="6"/>
        <v>4200</v>
      </c>
      <c r="J27" s="428">
        <f t="shared" si="5"/>
        <v>100</v>
      </c>
      <c r="K27" s="396">
        <f t="shared" si="1"/>
        <v>927</v>
      </c>
      <c r="L27" s="429">
        <f t="shared" si="7"/>
        <v>22.074694285714287</v>
      </c>
      <c r="M27" s="396">
        <f>ROUND(F27/1000,0)-294</f>
        <v>436</v>
      </c>
    </row>
    <row r="28" spans="1:13" ht="14.25" customHeight="1">
      <c r="A28" s="436" t="s">
        <v>865</v>
      </c>
      <c r="B28" s="438">
        <v>200000</v>
      </c>
      <c r="C28" s="430">
        <v>100</v>
      </c>
      <c r="D28" s="426">
        <v>54395</v>
      </c>
      <c r="E28" s="427">
        <f t="shared" si="3"/>
        <v>27.1975</v>
      </c>
      <c r="F28" s="426">
        <f>D28-'[12]Janvāris'!D28</f>
        <v>1260</v>
      </c>
      <c r="H28" s="437" t="s">
        <v>865</v>
      </c>
      <c r="I28" s="396">
        <f t="shared" si="6"/>
        <v>200</v>
      </c>
      <c r="J28" s="428">
        <f t="shared" si="5"/>
        <v>100</v>
      </c>
      <c r="K28" s="396">
        <f t="shared" si="1"/>
        <v>54</v>
      </c>
      <c r="L28" s="429">
        <f t="shared" si="7"/>
        <v>27.1975</v>
      </c>
      <c r="M28" s="396">
        <f t="shared" si="4"/>
        <v>1</v>
      </c>
    </row>
    <row r="29" spans="1:13" ht="13.5" customHeight="1">
      <c r="A29" s="81" t="s">
        <v>866</v>
      </c>
      <c r="B29" s="424">
        <v>8594225</v>
      </c>
      <c r="C29" s="430">
        <v>100</v>
      </c>
      <c r="D29" s="426">
        <v>1196809.29</v>
      </c>
      <c r="E29" s="427">
        <f t="shared" si="3"/>
        <v>13.925738388278175</v>
      </c>
      <c r="F29" s="426">
        <f>D29-'[12]Janvāris'!D29</f>
        <v>551554.62</v>
      </c>
      <c r="H29" s="86" t="s">
        <v>866</v>
      </c>
      <c r="I29" s="396">
        <f t="shared" si="6"/>
        <v>8594</v>
      </c>
      <c r="J29" s="428">
        <f t="shared" si="5"/>
        <v>100</v>
      </c>
      <c r="K29" s="396">
        <f t="shared" si="1"/>
        <v>1197</v>
      </c>
      <c r="L29" s="429">
        <f t="shared" si="7"/>
        <v>13.925738388278175</v>
      </c>
      <c r="M29" s="396">
        <f t="shared" si="4"/>
        <v>552</v>
      </c>
    </row>
    <row r="30" spans="1:13" ht="13.5" customHeight="1">
      <c r="A30" s="81" t="s">
        <v>867</v>
      </c>
      <c r="B30" s="424">
        <v>14542329</v>
      </c>
      <c r="C30" s="430">
        <v>100</v>
      </c>
      <c r="D30" s="426">
        <v>2214701.32</v>
      </c>
      <c r="E30" s="427">
        <f t="shared" si="3"/>
        <v>15.229344075491621</v>
      </c>
      <c r="F30" s="426">
        <f>D30-'[12]Janvāris'!D30</f>
        <v>1099642.9699999997</v>
      </c>
      <c r="H30" s="86" t="s">
        <v>867</v>
      </c>
      <c r="I30" s="396">
        <f t="shared" si="6"/>
        <v>14542</v>
      </c>
      <c r="J30" s="428">
        <f t="shared" si="5"/>
        <v>100</v>
      </c>
      <c r="K30" s="396">
        <f>ROUND(D30/1000,0)+1</f>
        <v>2216</v>
      </c>
      <c r="L30" s="429">
        <f t="shared" si="7"/>
        <v>15.229344075491621</v>
      </c>
      <c r="M30" s="396">
        <f>ROUND(F30/1000,0)</f>
        <v>1100</v>
      </c>
    </row>
    <row r="31" spans="1:13" ht="27.75" customHeight="1">
      <c r="A31" s="439" t="s">
        <v>868</v>
      </c>
      <c r="B31" s="424">
        <v>1201200</v>
      </c>
      <c r="C31" s="430">
        <v>100</v>
      </c>
      <c r="D31" s="426">
        <v>200000</v>
      </c>
      <c r="E31" s="427">
        <f t="shared" si="3"/>
        <v>16.65001665001665</v>
      </c>
      <c r="F31" s="426">
        <f>D31-'[12]Janvāris'!D31</f>
        <v>99900</v>
      </c>
      <c r="H31" s="440" t="s">
        <v>868</v>
      </c>
      <c r="I31" s="396">
        <f t="shared" si="6"/>
        <v>1201</v>
      </c>
      <c r="J31" s="428">
        <f t="shared" si="5"/>
        <v>100</v>
      </c>
      <c r="K31" s="396">
        <f t="shared" si="1"/>
        <v>200</v>
      </c>
      <c r="L31" s="429">
        <f t="shared" si="7"/>
        <v>16.65001665001665</v>
      </c>
      <c r="M31" s="396">
        <f>ROUND(F31/1000,0)-1</f>
        <v>99</v>
      </c>
    </row>
    <row r="32" spans="1:13" ht="12.75">
      <c r="A32" s="320" t="s">
        <v>869</v>
      </c>
      <c r="B32" s="424">
        <v>8136610</v>
      </c>
      <c r="C32" s="430">
        <v>100</v>
      </c>
      <c r="D32" s="426">
        <v>1356000</v>
      </c>
      <c r="E32" s="427">
        <f t="shared" si="3"/>
        <v>16.665417170049935</v>
      </c>
      <c r="F32" s="426">
        <f>D32-'[12]Janvāris'!D32</f>
        <v>678000</v>
      </c>
      <c r="H32" s="412" t="s">
        <v>870</v>
      </c>
      <c r="I32" s="396">
        <f t="shared" si="6"/>
        <v>8137</v>
      </c>
      <c r="J32" s="428">
        <f t="shared" si="5"/>
        <v>100</v>
      </c>
      <c r="K32" s="396">
        <f t="shared" si="1"/>
        <v>1356</v>
      </c>
      <c r="L32" s="429">
        <f t="shared" si="7"/>
        <v>16.665417170049935</v>
      </c>
      <c r="M32" s="396">
        <f t="shared" si="4"/>
        <v>678</v>
      </c>
    </row>
    <row r="33" spans="1:13" ht="12.75">
      <c r="A33" s="320" t="s">
        <v>871</v>
      </c>
      <c r="B33" s="424">
        <v>239519</v>
      </c>
      <c r="C33" s="430">
        <v>100</v>
      </c>
      <c r="D33" s="426">
        <v>15934</v>
      </c>
      <c r="E33" s="427">
        <f t="shared" si="3"/>
        <v>6.652499384182466</v>
      </c>
      <c r="F33" s="426">
        <f>D33-'[12]Janvāris'!D33</f>
        <v>0</v>
      </c>
      <c r="H33" s="412" t="s">
        <v>872</v>
      </c>
      <c r="I33" s="396">
        <f t="shared" si="6"/>
        <v>240</v>
      </c>
      <c r="J33" s="428">
        <f t="shared" si="5"/>
        <v>100</v>
      </c>
      <c r="K33" s="396">
        <f t="shared" si="1"/>
        <v>16</v>
      </c>
      <c r="L33" s="429">
        <f t="shared" si="7"/>
        <v>6.652499384182466</v>
      </c>
      <c r="M33" s="396">
        <f t="shared" si="4"/>
        <v>0</v>
      </c>
    </row>
    <row r="34" spans="1:13" ht="24" customHeight="1">
      <c r="A34" s="436" t="s">
        <v>873</v>
      </c>
      <c r="B34" s="424">
        <v>100000</v>
      </c>
      <c r="C34" s="430"/>
      <c r="D34" s="426"/>
      <c r="E34" s="427"/>
      <c r="F34" s="426">
        <f>D34-'[12]Janvāris'!D34</f>
        <v>0</v>
      </c>
      <c r="H34" s="437" t="s">
        <v>873</v>
      </c>
      <c r="I34" s="396">
        <f t="shared" si="6"/>
        <v>100</v>
      </c>
      <c r="J34" s="428">
        <f t="shared" si="5"/>
        <v>0</v>
      </c>
      <c r="K34" s="396"/>
      <c r="L34" s="429"/>
      <c r="M34" s="396"/>
    </row>
    <row r="35" spans="1:13" ht="15" customHeight="1">
      <c r="A35" s="434" t="s">
        <v>874</v>
      </c>
      <c r="B35" s="441">
        <v>1140000</v>
      </c>
      <c r="C35" s="430"/>
      <c r="D35" s="426"/>
      <c r="E35" s="427"/>
      <c r="F35" s="426">
        <f>D35-'[12]Janvāris'!D35</f>
        <v>0</v>
      </c>
      <c r="H35" s="435" t="s">
        <v>874</v>
      </c>
      <c r="I35" s="396">
        <f t="shared" si="6"/>
        <v>1140</v>
      </c>
      <c r="J35" s="428">
        <f t="shared" si="5"/>
        <v>0</v>
      </c>
      <c r="K35" s="396"/>
      <c r="L35" s="429"/>
      <c r="M35" s="396"/>
    </row>
    <row r="36" spans="1:13" ht="12.75">
      <c r="A36" s="197" t="s">
        <v>875</v>
      </c>
      <c r="B36" s="442">
        <f>B37</f>
        <v>60659270</v>
      </c>
      <c r="C36" s="443">
        <v>100</v>
      </c>
      <c r="D36" s="442">
        <f>D37</f>
        <v>10472852</v>
      </c>
      <c r="E36" s="422">
        <f t="shared" si="3"/>
        <v>17.26504786490177</v>
      </c>
      <c r="F36" s="426">
        <f>D36-'[12]Janvāris'!D36</f>
        <v>5270948.27</v>
      </c>
      <c r="H36" s="197" t="s">
        <v>875</v>
      </c>
      <c r="I36" s="185">
        <f t="shared" si="6"/>
        <v>60659</v>
      </c>
      <c r="J36" s="428">
        <f t="shared" si="5"/>
        <v>100</v>
      </c>
      <c r="K36" s="400">
        <f>ROUND(D36/1000,0)</f>
        <v>10473</v>
      </c>
      <c r="L36" s="423">
        <f>E36</f>
        <v>17.26504786490177</v>
      </c>
      <c r="M36" s="444">
        <f>ROUND(F36/1000,0)</f>
        <v>5271</v>
      </c>
    </row>
    <row r="37" spans="1:13" ht="25.5">
      <c r="A37" s="201" t="s">
        <v>876</v>
      </c>
      <c r="B37" s="424">
        <v>60659270</v>
      </c>
      <c r="C37" s="430">
        <v>100</v>
      </c>
      <c r="D37" s="426">
        <v>10472852</v>
      </c>
      <c r="E37" s="427">
        <f t="shared" si="3"/>
        <v>17.26504786490177</v>
      </c>
      <c r="F37" s="426">
        <f>D37-'[12]Janvāris'!D37</f>
        <v>5270948.27</v>
      </c>
      <c r="H37" s="445" t="s">
        <v>876</v>
      </c>
      <c r="I37" s="396">
        <f t="shared" si="6"/>
        <v>60659</v>
      </c>
      <c r="J37" s="428">
        <f t="shared" si="5"/>
        <v>100</v>
      </c>
      <c r="K37" s="396">
        <f>ROUND(D37/1000,0)</f>
        <v>10473</v>
      </c>
      <c r="L37" s="429">
        <f>E37</f>
        <v>17.26504786490177</v>
      </c>
      <c r="M37" s="446">
        <f>ROUND(F37/1000,0)</f>
        <v>5271</v>
      </c>
    </row>
    <row r="38" spans="1:13" ht="12.75">
      <c r="A38" s="197" t="s">
        <v>877</v>
      </c>
      <c r="B38" s="442">
        <v>56158811</v>
      </c>
      <c r="C38" s="443">
        <v>100</v>
      </c>
      <c r="D38" s="433">
        <v>2846253.11</v>
      </c>
      <c r="E38" s="422">
        <f t="shared" si="3"/>
        <v>5.068221814738919</v>
      </c>
      <c r="F38" s="426">
        <f>D38-'[12]Janvāris'!D38</f>
        <v>497968.10999999987</v>
      </c>
      <c r="H38" s="197" t="s">
        <v>877</v>
      </c>
      <c r="I38" s="185">
        <f t="shared" si="6"/>
        <v>56159</v>
      </c>
      <c r="J38" s="428">
        <f t="shared" si="5"/>
        <v>100</v>
      </c>
      <c r="K38" s="185">
        <f>ROUND(D38/1000,0)</f>
        <v>2846</v>
      </c>
      <c r="L38" s="423">
        <f>E38</f>
        <v>5.068221814738919</v>
      </c>
      <c r="M38" s="446">
        <f>ROUND(F38/1000,0)</f>
        <v>498</v>
      </c>
    </row>
    <row r="39" spans="1:13" ht="17.25" customHeight="1">
      <c r="A39" s="131"/>
      <c r="B39" s="447"/>
      <c r="C39" s="322"/>
      <c r="D39" s="322"/>
      <c r="E39" s="322"/>
      <c r="F39" s="448"/>
      <c r="H39" s="131"/>
      <c r="I39" s="447"/>
      <c r="J39" s="322"/>
      <c r="K39" s="322"/>
      <c r="L39" s="322"/>
      <c r="M39" s="322"/>
    </row>
    <row r="40" spans="1:13" ht="17.25" customHeight="1">
      <c r="A40" s="449"/>
      <c r="B40" s="450"/>
      <c r="C40" s="322"/>
      <c r="D40" s="322"/>
      <c r="E40" s="322"/>
      <c r="F40" s="322"/>
      <c r="H40" s="449"/>
      <c r="I40" s="450"/>
      <c r="J40" s="322"/>
      <c r="K40" s="322"/>
      <c r="L40" s="322"/>
      <c r="M40" s="322"/>
    </row>
    <row r="41" spans="1:12" ht="15" customHeight="1">
      <c r="A41" s="64" t="s">
        <v>878</v>
      </c>
      <c r="B41" s="4"/>
      <c r="C41" s="4"/>
      <c r="D41" s="4" t="s">
        <v>348</v>
      </c>
      <c r="E41" s="28"/>
      <c r="H41" s="141" t="s">
        <v>642</v>
      </c>
      <c r="I41" s="32"/>
      <c r="J41" s="32"/>
      <c r="L41" s="32" t="s">
        <v>348</v>
      </c>
    </row>
    <row r="43" spans="9:12" ht="14.25" customHeight="1">
      <c r="I43" s="4"/>
      <c r="J43" s="4"/>
      <c r="K43" s="4"/>
      <c r="L43" s="28"/>
    </row>
    <row r="44" ht="15" customHeight="1"/>
    <row r="45" ht="12.75" customHeight="1"/>
    <row r="46" ht="15.75" customHeight="1"/>
    <row r="47" ht="15" customHeight="1"/>
    <row r="50" ht="17.25" customHeight="1">
      <c r="H50" s="28" t="s">
        <v>828</v>
      </c>
    </row>
    <row r="51" ht="17.25" customHeight="1">
      <c r="H51" s="28" t="s">
        <v>399</v>
      </c>
    </row>
    <row r="53" ht="15.75" customHeight="1"/>
    <row r="54" ht="15.75" customHeight="1"/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19" top="0.17" bottom="0.18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B7" sqref="B7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0.13671875" style="0" customWidth="1"/>
    <col min="5" max="5" width="30.00390625" style="0" customWidth="1"/>
    <col min="6" max="6" width="14.28125" style="0" customWidth="1"/>
    <col min="7" max="7" width="14.421875" style="0" customWidth="1"/>
    <col min="8" max="8" width="11.28125" style="0" customWidth="1"/>
  </cols>
  <sheetData>
    <row r="1" spans="2:206" s="1" customFormat="1" ht="12.75">
      <c r="B1" s="2"/>
      <c r="D1" s="3" t="s">
        <v>310</v>
      </c>
      <c r="F1" s="2"/>
      <c r="H1" s="3" t="s">
        <v>311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1" customFormat="1" ht="12.75">
      <c r="B2" s="2"/>
      <c r="D2" s="3"/>
      <c r="F2" s="2"/>
      <c r="H2" s="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1" customFormat="1" ht="12.75">
      <c r="A3" s="654" t="s">
        <v>312</v>
      </c>
      <c r="B3" s="654"/>
      <c r="C3" s="654"/>
      <c r="D3" s="654"/>
      <c r="E3" s="654" t="s">
        <v>312</v>
      </c>
      <c r="F3" s="654"/>
      <c r="G3" s="654"/>
      <c r="H3" s="65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1" customFormat="1" ht="12.75">
      <c r="B4" s="2"/>
      <c r="D4" s="3"/>
      <c r="F4" s="2"/>
      <c r="H4" s="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712" t="s">
        <v>313</v>
      </c>
      <c r="B5" s="712"/>
      <c r="C5" s="712"/>
      <c r="D5" s="712"/>
      <c r="E5" s="712" t="s">
        <v>313</v>
      </c>
      <c r="F5" s="712"/>
      <c r="G5" s="712"/>
      <c r="H5" s="712"/>
    </row>
    <row r="6" spans="1:8" ht="12.75">
      <c r="A6" s="671" t="s">
        <v>314</v>
      </c>
      <c r="B6" s="671"/>
      <c r="C6" s="671"/>
      <c r="D6" s="671"/>
      <c r="E6" s="654" t="s">
        <v>315</v>
      </c>
      <c r="F6" s="654"/>
      <c r="G6" s="654"/>
      <c r="H6" s="654"/>
    </row>
    <row r="7" spans="1:8" ht="12.75">
      <c r="A7" s="5"/>
      <c r="B7" s="5"/>
      <c r="C7" s="5"/>
      <c r="D7" s="5"/>
      <c r="E7" s="5"/>
      <c r="F7" s="5"/>
      <c r="G7" s="5"/>
      <c r="H7" s="5"/>
    </row>
    <row r="8" spans="4:8" ht="12.75">
      <c r="D8" s="6" t="s">
        <v>316</v>
      </c>
      <c r="H8" s="6" t="s">
        <v>317</v>
      </c>
    </row>
    <row r="9" spans="1:8" s="9" customFormat="1" ht="57" customHeight="1">
      <c r="A9" s="7" t="s">
        <v>318</v>
      </c>
      <c r="B9" s="8" t="s">
        <v>319</v>
      </c>
      <c r="C9" s="8" t="s">
        <v>320</v>
      </c>
      <c r="D9" s="8" t="s">
        <v>321</v>
      </c>
      <c r="E9" s="7" t="s">
        <v>318</v>
      </c>
      <c r="F9" s="8" t="s">
        <v>319</v>
      </c>
      <c r="G9" s="8" t="s">
        <v>320</v>
      </c>
      <c r="H9" s="8" t="s">
        <v>321</v>
      </c>
    </row>
    <row r="10" spans="1:8" s="12" customFormat="1" ht="11.25" customHeight="1">
      <c r="A10" s="10">
        <v>1</v>
      </c>
      <c r="B10" s="10">
        <v>2</v>
      </c>
      <c r="C10" s="11">
        <v>3</v>
      </c>
      <c r="D10" s="11" t="s">
        <v>322</v>
      </c>
      <c r="E10" s="10">
        <v>1</v>
      </c>
      <c r="F10" s="10">
        <v>2</v>
      </c>
      <c r="G10" s="11">
        <v>3</v>
      </c>
      <c r="H10" s="11" t="s">
        <v>322</v>
      </c>
    </row>
    <row r="11" spans="1:8" s="15" customFormat="1" ht="15">
      <c r="A11" s="13" t="s">
        <v>323</v>
      </c>
      <c r="B11" s="14">
        <f>B12+B35</f>
        <v>49536428</v>
      </c>
      <c r="C11" s="14">
        <f>C12+C35</f>
        <v>101663587</v>
      </c>
      <c r="D11" s="14">
        <f>C11-B11</f>
        <v>52127159</v>
      </c>
      <c r="E11" s="13" t="s">
        <v>323</v>
      </c>
      <c r="F11" s="14">
        <f>F12+F35</f>
        <v>49536</v>
      </c>
      <c r="G11" s="14">
        <f>G12+G35</f>
        <v>101664</v>
      </c>
      <c r="H11" s="14">
        <f>G11-F11</f>
        <v>52128</v>
      </c>
    </row>
    <row r="12" spans="1:8" s="18" customFormat="1" ht="12.75">
      <c r="A12" s="16" t="s">
        <v>324</v>
      </c>
      <c r="B12" s="17">
        <f>B13+B22</f>
        <v>47997878</v>
      </c>
      <c r="C12" s="17">
        <f>C13+C22</f>
        <v>100090519</v>
      </c>
      <c r="D12" s="17">
        <f aca="true" t="shared" si="0" ref="D12:D41">C12-B12</f>
        <v>52092641</v>
      </c>
      <c r="E12" s="16" t="s">
        <v>324</v>
      </c>
      <c r="F12" s="17">
        <f>F13+F22</f>
        <v>47998</v>
      </c>
      <c r="G12" s="17">
        <f>G13+G22</f>
        <v>100090</v>
      </c>
      <c r="H12" s="17">
        <f aca="true" t="shared" si="1" ref="H12:H41">G12-F12</f>
        <v>52092</v>
      </c>
    </row>
    <row r="13" spans="1:8" s="21" customFormat="1" ht="12">
      <c r="A13" s="19" t="s">
        <v>325</v>
      </c>
      <c r="B13" s="20">
        <f>SUM(B14:B21)</f>
        <v>23184031</v>
      </c>
      <c r="C13" s="20">
        <f>SUM(C14:C21)</f>
        <v>13526076</v>
      </c>
      <c r="D13" s="20">
        <f t="shared" si="0"/>
        <v>-9657955</v>
      </c>
      <c r="E13" s="19" t="s">
        <v>325</v>
      </c>
      <c r="F13" s="20">
        <f>SUM(F14:F21)</f>
        <v>23184</v>
      </c>
      <c r="G13" s="20">
        <f>SUM(G14:G21)</f>
        <v>13526</v>
      </c>
      <c r="H13" s="20">
        <f t="shared" si="1"/>
        <v>-9658</v>
      </c>
    </row>
    <row r="14" spans="1:8" s="24" customFormat="1" ht="11.25">
      <c r="A14" s="22" t="s">
        <v>326</v>
      </c>
      <c r="B14" s="23">
        <f>14016433+510425+4108678+2485298+344350</f>
        <v>21465184</v>
      </c>
      <c r="C14" s="23">
        <f>2899429+509990+4698338+3287993+348282</f>
        <v>11744032</v>
      </c>
      <c r="D14" s="23">
        <f t="shared" si="0"/>
        <v>-9721152</v>
      </c>
      <c r="E14" s="22" t="s">
        <v>326</v>
      </c>
      <c r="F14" s="23">
        <f>ROUND(B14/1000,0)</f>
        <v>21465</v>
      </c>
      <c r="G14" s="23">
        <f>ROUND(C14/1000,0)</f>
        <v>11744</v>
      </c>
      <c r="H14" s="23">
        <f t="shared" si="1"/>
        <v>-9721</v>
      </c>
    </row>
    <row r="15" spans="1:8" s="24" customFormat="1" ht="11.25">
      <c r="A15" s="22" t="s">
        <v>327</v>
      </c>
      <c r="B15" s="23">
        <f>1683+47151</f>
        <v>48834</v>
      </c>
      <c r="C15" s="23">
        <f>1703+58506</f>
        <v>60209</v>
      </c>
      <c r="D15" s="23">
        <f t="shared" si="0"/>
        <v>11375</v>
      </c>
      <c r="E15" s="22" t="s">
        <v>327</v>
      </c>
      <c r="F15" s="23">
        <f aca="true" t="shared" si="2" ref="F15:G30">ROUND(B15/1000,0)</f>
        <v>49</v>
      </c>
      <c r="G15" s="23">
        <f t="shared" si="2"/>
        <v>60</v>
      </c>
      <c r="H15" s="23">
        <f t="shared" si="1"/>
        <v>11</v>
      </c>
    </row>
    <row r="16" spans="1:8" s="24" customFormat="1" ht="11.25">
      <c r="A16" s="22" t="s">
        <v>328</v>
      </c>
      <c r="B16" s="23">
        <f>1051331+27952</f>
        <v>1079283</v>
      </c>
      <c r="C16" s="23">
        <f>1676941+19437</f>
        <v>1696378</v>
      </c>
      <c r="D16" s="23">
        <f t="shared" si="0"/>
        <v>617095</v>
      </c>
      <c r="E16" s="22" t="s">
        <v>328</v>
      </c>
      <c r="F16" s="23">
        <f t="shared" si="2"/>
        <v>1079</v>
      </c>
      <c r="G16" s="23">
        <f t="shared" si="2"/>
        <v>1696</v>
      </c>
      <c r="H16" s="23">
        <f t="shared" si="1"/>
        <v>617</v>
      </c>
    </row>
    <row r="17" spans="1:8" s="24" customFormat="1" ht="11.25">
      <c r="A17" s="22" t="s">
        <v>329</v>
      </c>
      <c r="B17" s="23">
        <v>11043</v>
      </c>
      <c r="C17" s="23">
        <v>19455</v>
      </c>
      <c r="D17" s="23">
        <f t="shared" si="0"/>
        <v>8412</v>
      </c>
      <c r="E17" s="22" t="s">
        <v>329</v>
      </c>
      <c r="F17" s="23">
        <f t="shared" si="2"/>
        <v>11</v>
      </c>
      <c r="G17" s="23">
        <f>ROUND(C17/1000,0)+1</f>
        <v>20</v>
      </c>
      <c r="H17" s="23">
        <f t="shared" si="1"/>
        <v>9</v>
      </c>
    </row>
    <row r="18" spans="1:8" s="24" customFormat="1" ht="11.25">
      <c r="A18" s="22" t="s">
        <v>330</v>
      </c>
      <c r="B18" s="23">
        <v>1284</v>
      </c>
      <c r="C18" s="23">
        <v>3171</v>
      </c>
      <c r="D18" s="23">
        <f t="shared" si="0"/>
        <v>1887</v>
      </c>
      <c r="E18" s="22" t="s">
        <v>331</v>
      </c>
      <c r="F18" s="23">
        <f t="shared" si="2"/>
        <v>1</v>
      </c>
      <c r="G18" s="23">
        <f t="shared" si="2"/>
        <v>3</v>
      </c>
      <c r="H18" s="23">
        <f t="shared" si="1"/>
        <v>2</v>
      </c>
    </row>
    <row r="19" spans="1:8" s="24" customFormat="1" ht="11.25">
      <c r="A19" s="22" t="s">
        <v>332</v>
      </c>
      <c r="B19" s="23"/>
      <c r="C19" s="23"/>
      <c r="D19" s="23">
        <f t="shared" si="0"/>
        <v>0</v>
      </c>
      <c r="E19" s="22" t="s">
        <v>332</v>
      </c>
      <c r="F19" s="23">
        <f t="shared" si="2"/>
        <v>0</v>
      </c>
      <c r="G19" s="23">
        <f t="shared" si="2"/>
        <v>0</v>
      </c>
      <c r="H19" s="23">
        <f t="shared" si="1"/>
        <v>0</v>
      </c>
    </row>
    <row r="20" spans="1:8" s="24" customFormat="1" ht="11.25">
      <c r="A20" s="22" t="s">
        <v>333</v>
      </c>
      <c r="B20" s="23">
        <v>42362</v>
      </c>
      <c r="C20" s="23">
        <v>2831</v>
      </c>
      <c r="D20" s="23">
        <f t="shared" si="0"/>
        <v>-39531</v>
      </c>
      <c r="E20" s="22" t="s">
        <v>333</v>
      </c>
      <c r="F20" s="23">
        <f>ROUND(B20/1000,0)+1</f>
        <v>43</v>
      </c>
      <c r="G20" s="23">
        <f t="shared" si="2"/>
        <v>3</v>
      </c>
      <c r="H20" s="23">
        <f t="shared" si="1"/>
        <v>-40</v>
      </c>
    </row>
    <row r="21" spans="1:8" s="24" customFormat="1" ht="11.25">
      <c r="A21" s="22" t="s">
        <v>334</v>
      </c>
      <c r="B21" s="23">
        <v>536041</v>
      </c>
      <c r="C21" s="23"/>
      <c r="D21" s="23">
        <f t="shared" si="0"/>
        <v>-536041</v>
      </c>
      <c r="E21" s="22" t="s">
        <v>334</v>
      </c>
      <c r="F21" s="23">
        <f t="shared" si="2"/>
        <v>536</v>
      </c>
      <c r="G21" s="23">
        <f t="shared" si="2"/>
        <v>0</v>
      </c>
      <c r="H21" s="23">
        <f t="shared" si="1"/>
        <v>-536</v>
      </c>
    </row>
    <row r="22" spans="1:8" s="21" customFormat="1" ht="12">
      <c r="A22" s="19" t="s">
        <v>335</v>
      </c>
      <c r="B22" s="20">
        <f>SUM(B23:B34)</f>
        <v>24813847</v>
      </c>
      <c r="C22" s="20">
        <f>SUM(C23:C34)</f>
        <v>86564443</v>
      </c>
      <c r="D22" s="20">
        <f t="shared" si="0"/>
        <v>61750596</v>
      </c>
      <c r="E22" s="19" t="s">
        <v>335</v>
      </c>
      <c r="F22" s="20">
        <f>SUM(F23:F34)</f>
        <v>24814</v>
      </c>
      <c r="G22" s="20">
        <f>SUM(G23:G34)</f>
        <v>86564</v>
      </c>
      <c r="H22" s="20">
        <f t="shared" si="1"/>
        <v>61750</v>
      </c>
    </row>
    <row r="23" spans="1:8" s="24" customFormat="1" ht="11.25">
      <c r="A23" s="22" t="s">
        <v>326</v>
      </c>
      <c r="B23" s="23">
        <f>11000000+13804509</f>
        <v>24804509</v>
      </c>
      <c r="C23" s="23">
        <f>48300000+3758096</f>
        <v>52058096</v>
      </c>
      <c r="D23" s="23">
        <f t="shared" si="0"/>
        <v>27253587</v>
      </c>
      <c r="E23" s="22" t="s">
        <v>326</v>
      </c>
      <c r="F23" s="23">
        <f t="shared" si="2"/>
        <v>24805</v>
      </c>
      <c r="G23" s="23">
        <f t="shared" si="2"/>
        <v>52058</v>
      </c>
      <c r="H23" s="23">
        <f t="shared" si="1"/>
        <v>27253</v>
      </c>
    </row>
    <row r="24" spans="1:8" s="24" customFormat="1" ht="11.25">
      <c r="A24" s="22" t="s">
        <v>327</v>
      </c>
      <c r="B24" s="23"/>
      <c r="C24" s="23">
        <v>5000000</v>
      </c>
      <c r="D24" s="23">
        <f t="shared" si="0"/>
        <v>5000000</v>
      </c>
      <c r="E24" s="22" t="s">
        <v>327</v>
      </c>
      <c r="F24" s="23">
        <f t="shared" si="2"/>
        <v>0</v>
      </c>
      <c r="G24" s="23">
        <f t="shared" si="2"/>
        <v>5000</v>
      </c>
      <c r="H24" s="23">
        <f t="shared" si="1"/>
        <v>5000</v>
      </c>
    </row>
    <row r="25" spans="1:8" s="24" customFormat="1" ht="11.25">
      <c r="A25" s="22" t="s">
        <v>328</v>
      </c>
      <c r="B25" s="23"/>
      <c r="C25" s="23">
        <v>13500000</v>
      </c>
      <c r="D25" s="23">
        <f t="shared" si="0"/>
        <v>13500000</v>
      </c>
      <c r="E25" s="22" t="s">
        <v>328</v>
      </c>
      <c r="F25" s="23">
        <f t="shared" si="2"/>
        <v>0</v>
      </c>
      <c r="G25" s="23">
        <f t="shared" si="2"/>
        <v>13500</v>
      </c>
      <c r="H25" s="23">
        <f t="shared" si="1"/>
        <v>13500</v>
      </c>
    </row>
    <row r="26" spans="1:8" s="24" customFormat="1" ht="11.25">
      <c r="A26" s="22" t="s">
        <v>336</v>
      </c>
      <c r="B26" s="23"/>
      <c r="C26" s="23"/>
      <c r="D26" s="23">
        <f t="shared" si="0"/>
        <v>0</v>
      </c>
      <c r="E26" s="22" t="s">
        <v>336</v>
      </c>
      <c r="F26" s="23">
        <f t="shared" si="2"/>
        <v>0</v>
      </c>
      <c r="G26" s="23">
        <f t="shared" si="2"/>
        <v>0</v>
      </c>
      <c r="H26" s="23">
        <f t="shared" si="1"/>
        <v>0</v>
      </c>
    </row>
    <row r="27" spans="1:8" s="24" customFormat="1" ht="11.25">
      <c r="A27" s="22" t="s">
        <v>329</v>
      </c>
      <c r="B27" s="23"/>
      <c r="C27" s="23">
        <v>3000000</v>
      </c>
      <c r="D27" s="23">
        <f t="shared" si="0"/>
        <v>3000000</v>
      </c>
      <c r="E27" s="22" t="s">
        <v>329</v>
      </c>
      <c r="F27" s="23">
        <f t="shared" si="2"/>
        <v>0</v>
      </c>
      <c r="G27" s="23">
        <f t="shared" si="2"/>
        <v>3000</v>
      </c>
      <c r="H27" s="23">
        <f t="shared" si="1"/>
        <v>3000</v>
      </c>
    </row>
    <row r="28" spans="1:8" s="24" customFormat="1" ht="11.25">
      <c r="A28" s="22" t="s">
        <v>337</v>
      </c>
      <c r="B28" s="23"/>
      <c r="C28" s="23">
        <v>4000000</v>
      </c>
      <c r="D28" s="23">
        <f t="shared" si="0"/>
        <v>4000000</v>
      </c>
      <c r="E28" s="22" t="s">
        <v>337</v>
      </c>
      <c r="F28" s="23">
        <f t="shared" si="2"/>
        <v>0</v>
      </c>
      <c r="G28" s="23">
        <f t="shared" si="2"/>
        <v>4000</v>
      </c>
      <c r="H28" s="23">
        <f t="shared" si="1"/>
        <v>4000</v>
      </c>
    </row>
    <row r="29" spans="1:8" s="24" customFormat="1" ht="11.25">
      <c r="A29" s="22" t="s">
        <v>332</v>
      </c>
      <c r="B29" s="23">
        <v>9338</v>
      </c>
      <c r="C29" s="23">
        <f>2000000+6347</f>
        <v>2006347</v>
      </c>
      <c r="D29" s="23">
        <f t="shared" si="0"/>
        <v>1997009</v>
      </c>
      <c r="E29" s="22" t="s">
        <v>332</v>
      </c>
      <c r="F29" s="23">
        <f t="shared" si="2"/>
        <v>9</v>
      </c>
      <c r="G29" s="23">
        <f t="shared" si="2"/>
        <v>2006</v>
      </c>
      <c r="H29" s="23">
        <f t="shared" si="1"/>
        <v>1997</v>
      </c>
    </row>
    <row r="30" spans="1:8" s="24" customFormat="1" ht="11.25">
      <c r="A30" s="22" t="s">
        <v>333</v>
      </c>
      <c r="B30" s="23"/>
      <c r="C30" s="23">
        <v>4000000</v>
      </c>
      <c r="D30" s="23">
        <f t="shared" si="0"/>
        <v>4000000</v>
      </c>
      <c r="E30" s="22" t="s">
        <v>333</v>
      </c>
      <c r="F30" s="23">
        <f t="shared" si="2"/>
        <v>0</v>
      </c>
      <c r="G30" s="23">
        <f t="shared" si="2"/>
        <v>4000</v>
      </c>
      <c r="H30" s="23">
        <f t="shared" si="1"/>
        <v>4000</v>
      </c>
    </row>
    <row r="31" spans="1:8" s="24" customFormat="1" ht="11.25">
      <c r="A31" s="22" t="s">
        <v>330</v>
      </c>
      <c r="B31" s="23"/>
      <c r="C31" s="23"/>
      <c r="D31" s="23">
        <f t="shared" si="0"/>
        <v>0</v>
      </c>
      <c r="E31" s="22" t="s">
        <v>331</v>
      </c>
      <c r="F31" s="23">
        <f aca="true" t="shared" si="3" ref="F31:G34">ROUND(B31/1000,0)</f>
        <v>0</v>
      </c>
      <c r="G31" s="23">
        <f t="shared" si="3"/>
        <v>0</v>
      </c>
      <c r="H31" s="23">
        <f t="shared" si="1"/>
        <v>0</v>
      </c>
    </row>
    <row r="32" spans="1:8" s="24" customFormat="1" ht="11.25">
      <c r="A32" s="22" t="s">
        <v>338</v>
      </c>
      <c r="B32" s="23"/>
      <c r="C32" s="23"/>
      <c r="D32" s="23">
        <f t="shared" si="0"/>
        <v>0</v>
      </c>
      <c r="E32" s="22" t="s">
        <v>338</v>
      </c>
      <c r="F32" s="23">
        <f t="shared" si="3"/>
        <v>0</v>
      </c>
      <c r="G32" s="23">
        <f t="shared" si="3"/>
        <v>0</v>
      </c>
      <c r="H32" s="23">
        <f t="shared" si="1"/>
        <v>0</v>
      </c>
    </row>
    <row r="33" spans="1:8" s="24" customFormat="1" ht="11.25">
      <c r="A33" s="22" t="s">
        <v>339</v>
      </c>
      <c r="B33" s="23"/>
      <c r="C33" s="23">
        <v>3000000</v>
      </c>
      <c r="D33" s="23">
        <f t="shared" si="0"/>
        <v>3000000</v>
      </c>
      <c r="E33" s="22" t="s">
        <v>339</v>
      </c>
      <c r="F33" s="23">
        <f t="shared" si="3"/>
        <v>0</v>
      </c>
      <c r="G33" s="23">
        <f t="shared" si="3"/>
        <v>3000</v>
      </c>
      <c r="H33" s="23">
        <f t="shared" si="1"/>
        <v>3000</v>
      </c>
    </row>
    <row r="34" spans="1:8" s="24" customFormat="1" ht="11.25">
      <c r="A34" s="22" t="s">
        <v>334</v>
      </c>
      <c r="B34" s="23"/>
      <c r="C34" s="23"/>
      <c r="D34" s="23">
        <f t="shared" si="0"/>
        <v>0</v>
      </c>
      <c r="E34" s="22" t="s">
        <v>334</v>
      </c>
      <c r="F34" s="23">
        <f t="shared" si="3"/>
        <v>0</v>
      </c>
      <c r="G34" s="23">
        <f t="shared" si="3"/>
        <v>0</v>
      </c>
      <c r="H34" s="23">
        <f t="shared" si="1"/>
        <v>0</v>
      </c>
    </row>
    <row r="35" spans="1:8" s="18" customFormat="1" ht="12.75">
      <c r="A35" s="16" t="s">
        <v>340</v>
      </c>
      <c r="B35" s="17">
        <f>B36</f>
        <v>1538550</v>
      </c>
      <c r="C35" s="17">
        <f>C36</f>
        <v>1573068</v>
      </c>
      <c r="D35" s="17">
        <f t="shared" si="0"/>
        <v>34518</v>
      </c>
      <c r="E35" s="16" t="s">
        <v>340</v>
      </c>
      <c r="F35" s="17">
        <f>F36</f>
        <v>1538</v>
      </c>
      <c r="G35" s="17">
        <f>G36</f>
        <v>1574</v>
      </c>
      <c r="H35" s="17">
        <f t="shared" si="1"/>
        <v>36</v>
      </c>
    </row>
    <row r="36" spans="1:8" s="21" customFormat="1" ht="12">
      <c r="A36" s="19" t="s">
        <v>341</v>
      </c>
      <c r="B36" s="20">
        <f>SUM(B37:B41)</f>
        <v>1538550</v>
      </c>
      <c r="C36" s="20">
        <f>SUM(C37:C41)</f>
        <v>1573068</v>
      </c>
      <c r="D36" s="20">
        <f t="shared" si="0"/>
        <v>34518</v>
      </c>
      <c r="E36" s="19" t="s">
        <v>341</v>
      </c>
      <c r="F36" s="20">
        <f>SUM(F37:F41)</f>
        <v>1538</v>
      </c>
      <c r="G36" s="20">
        <f>SUM(G37:G41)</f>
        <v>1574</v>
      </c>
      <c r="H36" s="20">
        <f t="shared" si="1"/>
        <v>36</v>
      </c>
    </row>
    <row r="37" spans="1:8" s="24" customFormat="1" ht="11.25">
      <c r="A37" s="22" t="s">
        <v>342</v>
      </c>
      <c r="B37" s="23">
        <v>158837</v>
      </c>
      <c r="C37" s="23">
        <v>116552</v>
      </c>
      <c r="D37" s="23">
        <f t="shared" si="0"/>
        <v>-42285</v>
      </c>
      <c r="E37" s="22" t="s">
        <v>342</v>
      </c>
      <c r="F37" s="23">
        <f aca="true" t="shared" si="4" ref="F37:G41">ROUND(B37/1000,0)</f>
        <v>159</v>
      </c>
      <c r="G37" s="23">
        <f>ROUND(C37/1000,0)-1</f>
        <v>116</v>
      </c>
      <c r="H37" s="23">
        <f t="shared" si="1"/>
        <v>-43</v>
      </c>
    </row>
    <row r="38" spans="1:8" s="24" customFormat="1" ht="11.25">
      <c r="A38" s="22" t="s">
        <v>343</v>
      </c>
      <c r="B38" s="23">
        <v>730798</v>
      </c>
      <c r="C38" s="23">
        <v>898690</v>
      </c>
      <c r="D38" s="23">
        <f t="shared" si="0"/>
        <v>167892</v>
      </c>
      <c r="E38" s="22" t="s">
        <v>343</v>
      </c>
      <c r="F38" s="23">
        <f t="shared" si="4"/>
        <v>731</v>
      </c>
      <c r="G38" s="23">
        <f t="shared" si="4"/>
        <v>899</v>
      </c>
      <c r="H38" s="23">
        <f t="shared" si="1"/>
        <v>168</v>
      </c>
    </row>
    <row r="39" spans="1:8" s="24" customFormat="1" ht="11.25">
      <c r="A39" s="22" t="s">
        <v>344</v>
      </c>
      <c r="B39" s="23">
        <v>120897</v>
      </c>
      <c r="C39" s="23">
        <v>109636</v>
      </c>
      <c r="D39" s="23">
        <f t="shared" si="0"/>
        <v>-11261</v>
      </c>
      <c r="E39" s="22" t="s">
        <v>344</v>
      </c>
      <c r="F39" s="23">
        <f t="shared" si="4"/>
        <v>121</v>
      </c>
      <c r="G39" s="23">
        <f>ROUND(C39/1000,0)</f>
        <v>110</v>
      </c>
      <c r="H39" s="23">
        <f t="shared" si="1"/>
        <v>-11</v>
      </c>
    </row>
    <row r="40" spans="1:8" s="24" customFormat="1" ht="11.25">
      <c r="A40" s="22" t="s">
        <v>345</v>
      </c>
      <c r="B40" s="23">
        <v>36564</v>
      </c>
      <c r="C40" s="23">
        <v>37570</v>
      </c>
      <c r="D40" s="23">
        <f t="shared" si="0"/>
        <v>1006</v>
      </c>
      <c r="E40" s="22" t="s">
        <v>345</v>
      </c>
      <c r="F40" s="23">
        <f>ROUND(B40/1000,0)-1</f>
        <v>36</v>
      </c>
      <c r="G40" s="23">
        <f t="shared" si="4"/>
        <v>38</v>
      </c>
      <c r="H40" s="23">
        <f t="shared" si="1"/>
        <v>2</v>
      </c>
    </row>
    <row r="41" spans="1:8" s="24" customFormat="1" ht="11.25">
      <c r="A41" s="22" t="s">
        <v>346</v>
      </c>
      <c r="B41" s="23">
        <v>491454</v>
      </c>
      <c r="C41" s="23">
        <v>410620</v>
      </c>
      <c r="D41" s="23">
        <f t="shared" si="0"/>
        <v>-80834</v>
      </c>
      <c r="E41" s="22" t="s">
        <v>346</v>
      </c>
      <c r="F41" s="23">
        <f t="shared" si="4"/>
        <v>491</v>
      </c>
      <c r="G41" s="23">
        <f t="shared" si="4"/>
        <v>411</v>
      </c>
      <c r="H41" s="23">
        <f t="shared" si="1"/>
        <v>-80</v>
      </c>
    </row>
    <row r="44" spans="1:8" s="1" customFormat="1" ht="12.75">
      <c r="A44" s="1" t="s">
        <v>347</v>
      </c>
      <c r="B44" s="25"/>
      <c r="C44" s="25"/>
      <c r="D44" s="26" t="s">
        <v>348</v>
      </c>
      <c r="E44" s="1" t="s">
        <v>347</v>
      </c>
      <c r="F44" s="27"/>
      <c r="G44" s="27"/>
      <c r="H44" s="26" t="s">
        <v>348</v>
      </c>
    </row>
    <row r="52" ht="12.75">
      <c r="E52" s="24" t="s">
        <v>349</v>
      </c>
    </row>
    <row r="53" ht="12.75">
      <c r="E53" s="24" t="s">
        <v>350</v>
      </c>
    </row>
  </sheetData>
  <mergeCells count="6">
    <mergeCell ref="A6:D6"/>
    <mergeCell ref="E6:H6"/>
    <mergeCell ref="A3:D3"/>
    <mergeCell ref="E3:H3"/>
    <mergeCell ref="A5:D5"/>
    <mergeCell ref="E5:H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1"/>
  <sheetViews>
    <sheetView workbookViewId="0" topLeftCell="I189">
      <selection activeCell="I221" sqref="I221"/>
    </sheetView>
  </sheetViews>
  <sheetFormatPr defaultColWidth="9.140625" defaultRowHeight="17.25" customHeight="1"/>
  <cols>
    <col min="1" max="1" width="37.7109375" style="341" hidden="1" customWidth="1"/>
    <col min="2" max="2" width="12.140625" style="341" hidden="1" customWidth="1"/>
    <col min="3" max="3" width="12.421875" style="341" hidden="1" customWidth="1"/>
    <col min="4" max="4" width="11.140625" style="341" hidden="1" customWidth="1"/>
    <col min="5" max="5" width="4.421875" style="341" hidden="1" customWidth="1"/>
    <col min="6" max="6" width="7.8515625" style="341" hidden="1" customWidth="1"/>
    <col min="7" max="7" width="11.421875" style="341" hidden="1" customWidth="1"/>
    <col min="8" max="8" width="2.8515625" style="341" hidden="1" customWidth="1"/>
    <col min="9" max="9" width="32.8515625" style="341" customWidth="1"/>
    <col min="10" max="10" width="11.7109375" style="341" customWidth="1"/>
    <col min="11" max="11" width="11.140625" style="341" customWidth="1"/>
    <col min="12" max="12" width="11.57421875" style="341" customWidth="1"/>
    <col min="13" max="13" width="9.28125" style="341" customWidth="1"/>
    <col min="14" max="14" width="10.140625" style="341" customWidth="1"/>
    <col min="15" max="15" width="8.57421875" style="341" customWidth="1"/>
    <col min="16" max="16384" width="11.421875" style="0" customWidth="1"/>
  </cols>
  <sheetData>
    <row r="1" spans="2:15" ht="17.25" customHeight="1">
      <c r="B1" s="373"/>
      <c r="C1" s="373"/>
      <c r="D1" s="373"/>
      <c r="E1" s="373"/>
      <c r="F1" s="373"/>
      <c r="G1" s="341" t="s">
        <v>830</v>
      </c>
      <c r="J1" s="373"/>
      <c r="K1" s="373"/>
      <c r="L1" s="373"/>
      <c r="M1" s="373"/>
      <c r="N1" s="373"/>
      <c r="O1" s="341" t="s">
        <v>830</v>
      </c>
    </row>
    <row r="2" spans="1:14" ht="17.25" customHeight="1">
      <c r="A2" s="373" t="s">
        <v>483</v>
      </c>
      <c r="B2" s="373"/>
      <c r="C2" s="373"/>
      <c r="D2" s="373"/>
      <c r="E2" s="373"/>
      <c r="F2" s="373"/>
      <c r="I2" s="373" t="s">
        <v>483</v>
      </c>
      <c r="J2" s="373"/>
      <c r="K2" s="373"/>
      <c r="L2" s="373"/>
      <c r="M2" s="373"/>
      <c r="N2" s="373"/>
    </row>
    <row r="3" spans="1:15" ht="33" customHeight="1">
      <c r="A3" s="374" t="s">
        <v>831</v>
      </c>
      <c r="B3" s="375"/>
      <c r="C3" s="375"/>
      <c r="D3" s="375"/>
      <c r="E3" s="375"/>
      <c r="F3" s="375"/>
      <c r="I3" s="579" t="s">
        <v>831</v>
      </c>
      <c r="J3" s="579"/>
      <c r="K3" s="579"/>
      <c r="L3" s="579"/>
      <c r="M3" s="579"/>
      <c r="N3" s="579"/>
      <c r="O3" s="579"/>
    </row>
    <row r="4" spans="1:15" ht="17.25" customHeight="1">
      <c r="A4" s="580" t="s">
        <v>832</v>
      </c>
      <c r="B4" s="580"/>
      <c r="C4" s="580"/>
      <c r="D4" s="580"/>
      <c r="E4" s="580"/>
      <c r="F4" s="580"/>
      <c r="I4" s="484" t="s">
        <v>527</v>
      </c>
      <c r="J4" s="484"/>
      <c r="K4" s="484"/>
      <c r="L4" s="484"/>
      <c r="M4" s="484"/>
      <c r="N4" s="484"/>
      <c r="O4" s="376"/>
    </row>
    <row r="5" spans="1:15" ht="17.25" customHeight="1">
      <c r="A5" s="626" t="s">
        <v>833</v>
      </c>
      <c r="B5" s="626"/>
      <c r="C5" s="626"/>
      <c r="D5" s="626"/>
      <c r="E5" s="626"/>
      <c r="F5" s="626"/>
      <c r="I5" s="485" t="s">
        <v>833</v>
      </c>
      <c r="J5" s="485"/>
      <c r="K5" s="485"/>
      <c r="L5" s="485"/>
      <c r="M5" s="485"/>
      <c r="N5" s="485"/>
      <c r="O5" s="376"/>
    </row>
    <row r="6" spans="1:14" ht="17.25" customHeight="1">
      <c r="A6" s="104"/>
      <c r="B6" s="104"/>
      <c r="C6" s="104"/>
      <c r="D6" s="104"/>
      <c r="E6" s="104"/>
      <c r="F6" s="104"/>
      <c r="I6" s="104"/>
      <c r="J6" s="104"/>
      <c r="K6" s="104"/>
      <c r="L6" s="104"/>
      <c r="M6" s="104"/>
      <c r="N6" s="104"/>
    </row>
    <row r="7" spans="1:15" ht="17.25" customHeight="1">
      <c r="A7" s="626"/>
      <c r="B7" s="626"/>
      <c r="C7" s="626"/>
      <c r="D7" s="626"/>
      <c r="E7" s="626"/>
      <c r="F7" s="626"/>
      <c r="G7" s="377" t="s">
        <v>599</v>
      </c>
      <c r="I7" s="606" t="s">
        <v>317</v>
      </c>
      <c r="J7" s="606"/>
      <c r="K7" s="606"/>
      <c r="L7" s="606"/>
      <c r="M7" s="606"/>
      <c r="N7" s="606"/>
      <c r="O7" s="606"/>
    </row>
    <row r="8" spans="1:15" ht="66.75" customHeight="1">
      <c r="A8" s="378" t="s">
        <v>318</v>
      </c>
      <c r="B8" s="379" t="s">
        <v>403</v>
      </c>
      <c r="C8" s="379" t="s">
        <v>490</v>
      </c>
      <c r="D8" s="379" t="s">
        <v>404</v>
      </c>
      <c r="E8" s="379" t="s">
        <v>491</v>
      </c>
      <c r="F8" s="379" t="s">
        <v>494</v>
      </c>
      <c r="G8" s="380" t="s">
        <v>707</v>
      </c>
      <c r="I8" s="378" t="s">
        <v>318</v>
      </c>
      <c r="J8" s="379" t="s">
        <v>403</v>
      </c>
      <c r="K8" s="379" t="s">
        <v>490</v>
      </c>
      <c r="L8" s="379" t="s">
        <v>404</v>
      </c>
      <c r="M8" s="379" t="s">
        <v>491</v>
      </c>
      <c r="N8" s="379" t="s">
        <v>494</v>
      </c>
      <c r="O8" s="380" t="s">
        <v>601</v>
      </c>
    </row>
    <row r="9" spans="1:15" ht="12.75">
      <c r="A9" s="378">
        <v>1</v>
      </c>
      <c r="B9" s="379">
        <v>2</v>
      </c>
      <c r="C9" s="379">
        <v>3</v>
      </c>
      <c r="D9" s="379">
        <v>4</v>
      </c>
      <c r="E9" s="379">
        <v>5</v>
      </c>
      <c r="F9" s="379">
        <v>6</v>
      </c>
      <c r="G9" s="381">
        <v>7</v>
      </c>
      <c r="I9" s="378">
        <v>1</v>
      </c>
      <c r="J9" s="379">
        <v>2</v>
      </c>
      <c r="K9" s="379">
        <v>3</v>
      </c>
      <c r="L9" s="379">
        <v>4</v>
      </c>
      <c r="M9" s="379">
        <v>5</v>
      </c>
      <c r="N9" s="379">
        <v>6</v>
      </c>
      <c r="O9" s="381">
        <v>7</v>
      </c>
    </row>
    <row r="10" spans="1:15" ht="17.25" customHeight="1">
      <c r="A10" s="382" t="s">
        <v>602</v>
      </c>
      <c r="B10" s="383">
        <v>795383031</v>
      </c>
      <c r="C10" s="384"/>
      <c r="D10" s="385"/>
      <c r="E10" s="386">
        <f aca="true" t="shared" si="0" ref="E10:E73">IF(ISERROR(D10/B10)," ",(D10/B10))*100</f>
        <v>0</v>
      </c>
      <c r="F10" s="387"/>
      <c r="G10" s="385"/>
      <c r="I10" s="388" t="s">
        <v>602</v>
      </c>
      <c r="J10" s="389">
        <v>795383</v>
      </c>
      <c r="K10" s="389"/>
      <c r="L10" s="389">
        <v>114086</v>
      </c>
      <c r="M10" s="390"/>
      <c r="N10" s="390"/>
      <c r="O10" s="389">
        <v>49621</v>
      </c>
    </row>
    <row r="11" spans="1:15" ht="12.75" customHeight="1">
      <c r="A11" s="391" t="s">
        <v>834</v>
      </c>
      <c r="B11" s="392">
        <f>B22+B28+B35+B43+B50+B57+B66+B77+B85+B94+B102+B110+B119+B127+B135+B143+B150+B158+B163+B170+B177+B183+B188+B193+B200+B205+B212+B220+B227+B233</f>
        <v>822566488</v>
      </c>
      <c r="C11" s="392">
        <f>C22+C28+C35+C43+C50+C57+C66+C77+C85+C94+C102+C110+C119+C127+C135+C143+C150+C158+C163+C170+C177+C183+C188+C193+C200+C205+C212+C220+C227+C233</f>
        <v>124629278</v>
      </c>
      <c r="D11" s="392">
        <f>SUM(D12:D15)</f>
        <v>121207767.59</v>
      </c>
      <c r="E11" s="387">
        <f t="shared" si="0"/>
        <v>14.735315546917832</v>
      </c>
      <c r="F11" s="387">
        <f aca="true" t="shared" si="1" ref="F11:F73">IF(ISERROR(D11/C11)," ",(D11/C11))*100</f>
        <v>97.25464957760568</v>
      </c>
      <c r="G11" s="392">
        <f>G22+G28+G35+G43+G50+G57+G66+G77+G85+G94+G102+G110+G119+G127+G135+G143+G150+G158+G163+G170+G177+G183+G188+G193+G200+G205+G212+G220+G227+G233</f>
        <v>60444336.160000004</v>
      </c>
      <c r="I11" s="393" t="s">
        <v>834</v>
      </c>
      <c r="J11" s="394">
        <f>SUM(J12:J15)</f>
        <v>822566</v>
      </c>
      <c r="K11" s="394">
        <f>SUM(K12:K15)</f>
        <v>124630</v>
      </c>
      <c r="L11" s="394">
        <f>SUM(L12:L15)</f>
        <v>121209</v>
      </c>
      <c r="M11" s="395">
        <f aca="true" t="shared" si="2" ref="M11:N18">E11</f>
        <v>14.735315546917832</v>
      </c>
      <c r="N11" s="395">
        <f t="shared" si="2"/>
        <v>97.25464957760568</v>
      </c>
      <c r="O11" s="394">
        <f>SUM(O12:O15)</f>
        <v>60446</v>
      </c>
    </row>
    <row r="12" spans="1:15" ht="12.75" customHeight="1">
      <c r="A12" s="391" t="s">
        <v>835</v>
      </c>
      <c r="B12" s="392">
        <f>B23+B29+B36+B44+B51+B58+B67+B78+B86+B95+B103+B111+B120+B128+B136+B144+B151+B159+B164+B171+B178+B184+B189+B194+B201+B206+B213+B228+B234</f>
        <v>702268383</v>
      </c>
      <c r="C12" s="392">
        <f>C23+C29+C36+C44+C51+C58+C67+C78+C86+C95+C103+C111+C120+C128+C136+C144+C151+C159+C164+C171+C178+C184+C189+C194+C201+C206+C213+C228+C234</f>
        <v>107639502</v>
      </c>
      <c r="D12" s="392">
        <f>D23+D29+D36+D44+D51+D58+D67+D78+D86+D95+D103+D111+D120+D128+D136+D144+D151+D159+D164+D171+D178+D184+D189+D194+D201+D206+D213+D228+D234</f>
        <v>107639502</v>
      </c>
      <c r="E12" s="387">
        <f t="shared" si="0"/>
        <v>15.327402543765094</v>
      </c>
      <c r="F12" s="387">
        <f t="shared" si="1"/>
        <v>100</v>
      </c>
      <c r="G12" s="392">
        <f>G23+G29+G36+G44+G51+G58+G67+G78+G86+G95+G103+G111+G120+G128+G136+G144+G151+G159+G164+G171+G178+G184+G189+G194+G201+G206+G213+G228+G234</f>
        <v>53035968</v>
      </c>
      <c r="I12" s="393" t="s">
        <v>835</v>
      </c>
      <c r="J12" s="396">
        <f>J23+J29+J36+J44+J51+J58+J67+J78+J86+J95+J103+J111+J120+J128+J136+J144+J151+J159+J164+J171+J178+J184+J189+J194+J201+J206+J213+J228+J234</f>
        <v>702268</v>
      </c>
      <c r="K12" s="396">
        <f>K23+K29+K36+K44+K51+K58+K67+K78+K86+K95+K103+K111+K120+K128+K136+K144+K151+K159+K164+K171+K178+K184+K189+K194+K201+K206+K213+K228+K234</f>
        <v>107640</v>
      </c>
      <c r="L12" s="396">
        <f>L23+L29+L36+L44+L51+L58+L67+L78+L86+L95+L103+L111+L120+L128+L136+L144+L151+L159+L164+L171+L178+L184+L189+L194+L201+L206+L213+L228+L234</f>
        <v>107640</v>
      </c>
      <c r="M12" s="395">
        <f t="shared" si="2"/>
        <v>15.327402543765094</v>
      </c>
      <c r="N12" s="395">
        <f t="shared" si="2"/>
        <v>100</v>
      </c>
      <c r="O12" s="396">
        <f>O23+O29+O36+O44+O51+O58+O67+O78+O86+O95+O103+O111+O120+O128+O136+O144+O151+O159+O164+O171+O178+O184+O189+O194+O201+O206+O213+O228+O234</f>
        <v>53036</v>
      </c>
    </row>
    <row r="13" spans="1:15" ht="12.75" customHeight="1">
      <c r="A13" s="391" t="s">
        <v>836</v>
      </c>
      <c r="B13" s="392">
        <f aca="true" t="shared" si="3" ref="B13:G13">B59+B68+B87+B112</f>
        <v>3480024</v>
      </c>
      <c r="C13" s="392">
        <f t="shared" si="3"/>
        <v>358339</v>
      </c>
      <c r="D13" s="392">
        <f t="shared" si="3"/>
        <v>146255.1</v>
      </c>
      <c r="E13" s="387">
        <f t="shared" si="0"/>
        <v>4.202703774456728</v>
      </c>
      <c r="F13" s="387">
        <f t="shared" si="1"/>
        <v>40.8147313019236</v>
      </c>
      <c r="G13" s="392">
        <f t="shared" si="3"/>
        <v>91327.61</v>
      </c>
      <c r="I13" s="393" t="s">
        <v>836</v>
      </c>
      <c r="J13" s="396">
        <f>J59+J68+J87+J112</f>
        <v>3480</v>
      </c>
      <c r="K13" s="396">
        <f>K59+K68+K87+K112</f>
        <v>358</v>
      </c>
      <c r="L13" s="396">
        <f>L59+L68+L87+L112</f>
        <v>146</v>
      </c>
      <c r="M13" s="395">
        <f t="shared" si="2"/>
        <v>4.202703774456728</v>
      </c>
      <c r="N13" s="395">
        <f t="shared" si="2"/>
        <v>40.8147313019236</v>
      </c>
      <c r="O13" s="396">
        <f>O59+O68+O87+O112</f>
        <v>91</v>
      </c>
    </row>
    <row r="14" spans="1:15" ht="12.75" customHeight="1">
      <c r="A14" s="391" t="s">
        <v>658</v>
      </c>
      <c r="B14" s="392">
        <f>B30+B37+B45+B52+B60+B69+B79+B88+B96+B104+B113+B121+B129+B137+B145+B152+B165+B172+B195+B221</f>
        <v>60659270</v>
      </c>
      <c r="C14" s="392">
        <f>C30+C37+C45+C52+C60+C69+C79+C88+C96+C104+C113+C121+C129+C137+C145+C152+C165+C172+C195+C221</f>
        <v>9879762</v>
      </c>
      <c r="D14" s="392">
        <f>D30+D37+D45+D52+D60+D69+D79+D88+D96+D104+D113+D121+D129+D137+D145+D152+D165+D172+D195+D221+D214+D221</f>
        <v>10472480.040000001</v>
      </c>
      <c r="E14" s="387">
        <f t="shared" si="0"/>
        <v>17.264434669259952</v>
      </c>
      <c r="F14" s="387">
        <f t="shared" si="1"/>
        <v>105.99931496325519</v>
      </c>
      <c r="G14" s="392">
        <f>G30+G37+G45+G52+G60+G69+G79+G88+G96+G104+G113+G121+G129+G137+G145+G152+G165+G172+G195+G221+G214</f>
        <v>5269959.680000001</v>
      </c>
      <c r="I14" s="393" t="s">
        <v>658</v>
      </c>
      <c r="J14" s="396">
        <f>J30+J37+J45+J52+J60+J69+J79+J88+J96+J104+J113+J121+J129+J137+J145+J152+J165+J172+J195+J214+J221</f>
        <v>60659</v>
      </c>
      <c r="K14" s="396">
        <f>K30+K37+K45+K52+K60+K69+K79+K88+K96+K104+K113+K121+K129+K137+K145+K152+K165+K172+K195+K214+K221</f>
        <v>9880</v>
      </c>
      <c r="L14" s="396">
        <f>L30+L37+L45+L52+L60+L69+L79+L88+L96+L104+L113+L121+L129+L137+L145+L152+L165+L172+L195+L214+L221</f>
        <v>10473</v>
      </c>
      <c r="M14" s="395">
        <f t="shared" si="2"/>
        <v>17.264434669259952</v>
      </c>
      <c r="N14" s="395">
        <f t="shared" si="2"/>
        <v>105.99931496325519</v>
      </c>
      <c r="O14" s="396">
        <f>O30+O37+O45+O52+O60+O69+O79+O88+O96+O104+O113+O121+O129+O137+O145+O152+O165+O172+O195+O214+O221</f>
        <v>5271</v>
      </c>
    </row>
    <row r="15" spans="1:15" ht="12.75" customHeight="1">
      <c r="A15" s="391" t="s">
        <v>496</v>
      </c>
      <c r="B15" s="392">
        <f>B38+B61+B70+B80+B89+B97+B105+B114+B122+B130+B138+B153+B207+B215</f>
        <v>56158811</v>
      </c>
      <c r="C15" s="392">
        <f>C38+C61+C70+C80+C89+C97+C105+C114+C122+C130+C138+C153+C207+C215</f>
        <v>6751675</v>
      </c>
      <c r="D15" s="392">
        <f>D38+D61+D70+D80+D89+D97+D105+D114+D122+D130+D138+D153+D207+D215</f>
        <v>2949530.45</v>
      </c>
      <c r="E15" s="387">
        <f t="shared" si="0"/>
        <v>5.252124105690201</v>
      </c>
      <c r="F15" s="387">
        <f t="shared" si="1"/>
        <v>43.685906830527244</v>
      </c>
      <c r="G15" s="392">
        <f>G38+G61+G70+G80+G89+G97+G105+G114+G122+G130+G138+G153+G207+G215</f>
        <v>2047080.8699999999</v>
      </c>
      <c r="I15" s="393" t="s">
        <v>496</v>
      </c>
      <c r="J15" s="396">
        <f>J38+J61+J70+J80+J89+J97+J105+J114+J122+J130+J138+J153+J207+J215</f>
        <v>56159</v>
      </c>
      <c r="K15" s="396">
        <f>K38+K61+K70+K80+K89+K97+K105+K114+K122+K130+K138+K153+K207+K215</f>
        <v>6752</v>
      </c>
      <c r="L15" s="396">
        <f>L38+L61+L70+L80+L89+L97+L105+L114+L122+L130+L138+L153+L207+L215</f>
        <v>2950</v>
      </c>
      <c r="M15" s="395">
        <f t="shared" si="2"/>
        <v>5.252124105690201</v>
      </c>
      <c r="N15" s="395">
        <f t="shared" si="2"/>
        <v>43.685906830527244</v>
      </c>
      <c r="O15" s="396">
        <f>O38+O61+O70+O80+O89+O97+O105+O114+O122+O130+O138+O153+O207+O215</f>
        <v>2048</v>
      </c>
    </row>
    <row r="16" spans="1:15" ht="12.75" customHeight="1">
      <c r="A16" s="397" t="s">
        <v>609</v>
      </c>
      <c r="B16" s="398">
        <f>B24+B31+B39+B46+B53+B62+B71+B81+B90+B98+B106+B115+B123+B131+B139+B146+B154+B160+B166+B173+B179+B185+B190+B196+B202+B208+B216+B222+B229+B235</f>
        <v>822563488</v>
      </c>
      <c r="C16" s="398">
        <f>C24+C31+C39+C46+C53+C62+C71+C81+C90+C98+C106+C115+C123+C131+C139+C146+C154+C160+C166+C173+C179+C185+C190+C196+C202+C208+C216+C222+C229+C235</f>
        <v>124587338</v>
      </c>
      <c r="D16" s="398">
        <f>D24+D31+D39+D46+D53+D62+D71+D81+D90+D98+D106+D115+D123+D131+D139+D146+D154+D160+D166+D173+D179+D185+D190+D196+D202+D208+D216+D222+D229+D235</f>
        <v>112027397.99000001</v>
      </c>
      <c r="E16" s="387">
        <f t="shared" si="0"/>
        <v>13.619301078192278</v>
      </c>
      <c r="F16" s="387">
        <f t="shared" si="1"/>
        <v>89.91876685735112</v>
      </c>
      <c r="G16" s="398">
        <f>G24+G31+G39+G46+G53+G62+G71+G81+G90+G98+G106+G115+G123+G131+G139+G146+G154+G160+G166+G173+G179+G185+G190+G196+G202+G208+G216+G222+G229+G235</f>
        <v>56493986.99</v>
      </c>
      <c r="I16" s="399" t="s">
        <v>609</v>
      </c>
      <c r="J16" s="400">
        <f>J17+J18</f>
        <v>822563</v>
      </c>
      <c r="K16" s="400">
        <f>K17+K18</f>
        <v>124587</v>
      </c>
      <c r="L16" s="400">
        <f>L17+L18</f>
        <v>112027</v>
      </c>
      <c r="M16" s="390">
        <f t="shared" si="2"/>
        <v>13.619301078192278</v>
      </c>
      <c r="N16" s="390">
        <f t="shared" si="2"/>
        <v>89.91876685735112</v>
      </c>
      <c r="O16" s="400">
        <f>O17+O18</f>
        <v>56494</v>
      </c>
    </row>
    <row r="17" spans="1:15" ht="12.75" customHeight="1">
      <c r="A17" s="401" t="s">
        <v>604</v>
      </c>
      <c r="B17" s="402">
        <f>B25+B32+B40+B47+B54+B63+B72+B82+B91+B99+B107+B116+B124+B132+B140+B147+B155+B161+B174+B180+B186+B191+B197+B203+B209+B217+B223+B230+B236+B167</f>
        <v>743343379</v>
      </c>
      <c r="C17" s="402">
        <f>C25+C32+C40+C47+C54+C63+C72+C82+C91+C99+C107+C116+C124+C132+C140+C147+C155+C161+C174+C180+C186+C191+C197+C203+C209+C217+C223+C230+C236+C167</f>
        <v>116252164</v>
      </c>
      <c r="D17" s="402">
        <f>D25+D32+D40+D47+D54+D63+D72+D82+D91+D99+D107+D116+D124+D132+D140+D147+D155+D161+D174+D180+D186+D191+D197+D203+D209+D217+D223+D230+D236+D167</f>
        <v>107105595.20000002</v>
      </c>
      <c r="E17" s="387">
        <f t="shared" si="0"/>
        <v>14.408629743105578</v>
      </c>
      <c r="F17" s="387">
        <f t="shared" si="1"/>
        <v>92.13213028877469</v>
      </c>
      <c r="G17" s="402">
        <f>G25+G32+G40+G47+G54+G63+G72+G82+G91+G99+G107+G116+G124+G132+G140+G147+G155+G161+G174+G180+G186+G191+G197+G203+G209+G217+G223+G230+G236+G167</f>
        <v>53730526.199999996</v>
      </c>
      <c r="I17" s="403" t="s">
        <v>604</v>
      </c>
      <c r="J17" s="404">
        <f>J25+J32+J40+J47+J54+J63+J72+J82+J91+J99+J107+J116+J124+J132+J140+J147+J155+J161+J174+J180+J186+J191+J197+J203+J209+J217+J223+J230+J236+J167</f>
        <v>743343</v>
      </c>
      <c r="K17" s="404">
        <f>K25+K32+K40+K47+K54+K63+K72+K82+K91+K99+K107+K116+K124+K132+K140+K147+K155+K161+K174+K180+K186+K191+K197+K203+K209+K217+K223+K230+K236+K167</f>
        <v>116252</v>
      </c>
      <c r="L17" s="404">
        <f>L25+L32+L40+L47+L54+L63+L72+L82+L91+L99+L107+L116+L124+L132+L140+L147+L155+L161+L174+L180+L186+L191+L197+L203+L209+L217+L223+L230+L236+L167</f>
        <v>107105</v>
      </c>
      <c r="M17" s="395">
        <f t="shared" si="2"/>
        <v>14.408629743105578</v>
      </c>
      <c r="N17" s="395">
        <f t="shared" si="2"/>
        <v>92.13213028877469</v>
      </c>
      <c r="O17" s="402">
        <f>O25+O32+O40+O47+O54+O63+O72+O82+O91+O99+O107+O116+O124+O132+O140+O147+O155+O161+O174+O180+O186+O191+O197+O203+O209+O217+O223+O230+O236+O167</f>
        <v>53730</v>
      </c>
    </row>
    <row r="18" spans="1:15" ht="12.75" customHeight="1">
      <c r="A18" s="401" t="s">
        <v>605</v>
      </c>
      <c r="B18" s="402">
        <f>B26+B33+B41+B48+B55+B64+B73+B83+B92+B100+B108+B117+B125+B133+B141+B148+B156+B168+B175+B181+B198+B210+B218+B224+B231</f>
        <v>79220109</v>
      </c>
      <c r="C18" s="402">
        <f>C26+C33+C41+C48+C55+C64+C73+C83+C92+C100+C108+C117+C125+C133+C141+C148+C156+C168+C175+C181+C198+C210+C218+C224+C231</f>
        <v>8335174</v>
      </c>
      <c r="D18" s="402">
        <f>D26+D33+D41+D48+D55+D64+D73+D83+D92+D100+D108+D117+D125+D133+D141+D148+D156+D168+D175+D181+D198+D210+D218+D224+D231</f>
        <v>4921802.789999999</v>
      </c>
      <c r="E18" s="387">
        <f t="shared" si="0"/>
        <v>6.212820017705352</v>
      </c>
      <c r="F18" s="387">
        <f t="shared" si="1"/>
        <v>59.04859082725806</v>
      </c>
      <c r="G18" s="402">
        <f>G26+G33+G41+G48+G55+G64+G73+G83+G92+G100+G108+G117+G125+G133+G141+G148+G156+G168+G175+G181+G198+G210+G218+G224+G231</f>
        <v>2763460.7899999996</v>
      </c>
      <c r="I18" s="403" t="s">
        <v>605</v>
      </c>
      <c r="J18" s="404">
        <f>J26+J33+J41+J48+J55+J64+J73+J83+J92+J100+J108+J117+J125+J133+J141+J148+J156+J168+J175+J181+J198+J210+J218+J224+J231</f>
        <v>79220</v>
      </c>
      <c r="K18" s="404">
        <f>K26+K33+K41+K48+K55+K64+K73+K83+K92+K100+K108+K117+K125+K133+K141+K148+K156+K168+K175+K181+K198+K210+K218+K224+K231</f>
        <v>8335</v>
      </c>
      <c r="L18" s="404">
        <f>L26+L33+L41+L48+L55+L64+L73+L83+L92+L100+L108+L117+L125+L133+L141+L148+L156+L168+L175+L181+L198+L210+L218+L224+L231</f>
        <v>4922</v>
      </c>
      <c r="M18" s="395">
        <f t="shared" si="2"/>
        <v>6.212820017705352</v>
      </c>
      <c r="N18" s="395">
        <f t="shared" si="2"/>
        <v>59.04859082725806</v>
      </c>
      <c r="O18" s="404">
        <f>O26+O33+O41+O48+O55+O64+O73+O83+O92+O100+O108+O117+O125+O133+O141+O148+O156+O168+O175+O181+O198+O210+O218+O224+O231</f>
        <v>2764</v>
      </c>
    </row>
    <row r="19" spans="1:15" ht="12.75" customHeight="1">
      <c r="A19" s="371" t="s">
        <v>712</v>
      </c>
      <c r="B19" s="405">
        <f>B74</f>
        <v>48898920</v>
      </c>
      <c r="C19" s="405"/>
      <c r="D19" s="405"/>
      <c r="E19" s="387"/>
      <c r="F19" s="387"/>
      <c r="G19" s="405"/>
      <c r="I19" s="406" t="s">
        <v>712</v>
      </c>
      <c r="J19" s="394">
        <f>ROUND(B19/1000,0)</f>
        <v>48899</v>
      </c>
      <c r="K19" s="394"/>
      <c r="L19" s="396">
        <v>13590</v>
      </c>
      <c r="M19" s="395"/>
      <c r="N19" s="395"/>
      <c r="O19" s="394">
        <v>5684</v>
      </c>
    </row>
    <row r="20" spans="1:15" ht="12.75" customHeight="1">
      <c r="A20" s="371" t="s">
        <v>713</v>
      </c>
      <c r="B20" s="405">
        <f>B10-B16-B19</f>
        <v>-76079377</v>
      </c>
      <c r="C20" s="405"/>
      <c r="D20" s="405"/>
      <c r="E20" s="387"/>
      <c r="F20" s="387"/>
      <c r="G20" s="405"/>
      <c r="I20" s="406" t="s">
        <v>713</v>
      </c>
      <c r="J20" s="394">
        <f>ROUND(B20/1000,0)</f>
        <v>-76079</v>
      </c>
      <c r="K20" s="394"/>
      <c r="L20" s="396">
        <v>-11531</v>
      </c>
      <c r="M20" s="395"/>
      <c r="N20" s="395"/>
      <c r="O20" s="394">
        <v>-12557</v>
      </c>
    </row>
    <row r="21" spans="1:15" ht="12.75" customHeight="1">
      <c r="A21" s="220" t="s">
        <v>606</v>
      </c>
      <c r="B21" s="407"/>
      <c r="C21" s="407"/>
      <c r="D21" s="407"/>
      <c r="E21" s="407"/>
      <c r="F21" s="407"/>
      <c r="G21" s="407"/>
      <c r="I21" s="408" t="s">
        <v>606</v>
      </c>
      <c r="J21" s="407"/>
      <c r="K21" s="407"/>
      <c r="L21" s="407"/>
      <c r="M21" s="409"/>
      <c r="N21" s="409"/>
      <c r="O21" s="407"/>
    </row>
    <row r="22" spans="1:15" ht="12.75" customHeight="1">
      <c r="A22" s="391" t="s">
        <v>834</v>
      </c>
      <c r="B22" s="405">
        <f aca="true" t="shared" si="4" ref="B22:G22">B23</f>
        <v>1179112</v>
      </c>
      <c r="C22" s="405">
        <f t="shared" si="4"/>
        <v>146268</v>
      </c>
      <c r="D22" s="405">
        <f t="shared" si="4"/>
        <v>146268</v>
      </c>
      <c r="E22" s="387">
        <f t="shared" si="0"/>
        <v>12.404928454633657</v>
      </c>
      <c r="F22" s="387">
        <f t="shared" si="1"/>
        <v>100</v>
      </c>
      <c r="G22" s="405">
        <f t="shared" si="4"/>
        <v>61415</v>
      </c>
      <c r="I22" s="393" t="s">
        <v>834</v>
      </c>
      <c r="J22" s="394">
        <f>ROUND(B22/1000,0)</f>
        <v>1179</v>
      </c>
      <c r="K22" s="394">
        <f>K23</f>
        <v>146</v>
      </c>
      <c r="L22" s="394">
        <f>L23</f>
        <v>146</v>
      </c>
      <c r="M22" s="395">
        <f aca="true" t="shared" si="5" ref="M22:N26">E22</f>
        <v>12.404928454633657</v>
      </c>
      <c r="N22" s="395">
        <f t="shared" si="5"/>
        <v>100</v>
      </c>
      <c r="O22" s="394">
        <f>O23</f>
        <v>61</v>
      </c>
    </row>
    <row r="23" spans="1:15" ht="12.75" customHeight="1">
      <c r="A23" s="391" t="s">
        <v>835</v>
      </c>
      <c r="B23" s="405">
        <v>1179112</v>
      </c>
      <c r="C23" s="405">
        <v>146268</v>
      </c>
      <c r="D23" s="405">
        <v>146268</v>
      </c>
      <c r="E23" s="387">
        <f t="shared" si="0"/>
        <v>12.404928454633657</v>
      </c>
      <c r="F23" s="387">
        <f t="shared" si="1"/>
        <v>100</v>
      </c>
      <c r="G23" s="405">
        <f>D23-84853</f>
        <v>61415</v>
      </c>
      <c r="I23" s="393" t="s">
        <v>835</v>
      </c>
      <c r="J23" s="394">
        <f>ROUND(B23/1000,0)</f>
        <v>1179</v>
      </c>
      <c r="K23" s="394">
        <f>ROUND(C23/1000,0)</f>
        <v>146</v>
      </c>
      <c r="L23" s="394">
        <f>ROUND(D23/1000,0)</f>
        <v>146</v>
      </c>
      <c r="M23" s="395">
        <f t="shared" si="5"/>
        <v>12.404928454633657</v>
      </c>
      <c r="N23" s="395">
        <f t="shared" si="5"/>
        <v>100</v>
      </c>
      <c r="O23" s="394">
        <f>ROUND(G23/1000,0)</f>
        <v>61</v>
      </c>
    </row>
    <row r="24" spans="1:15" ht="12.75" customHeight="1">
      <c r="A24" s="397" t="s">
        <v>533</v>
      </c>
      <c r="B24" s="407">
        <f aca="true" t="shared" si="6" ref="B24:G24">SUM(B25:B26)</f>
        <v>1179112</v>
      </c>
      <c r="C24" s="407">
        <f t="shared" si="6"/>
        <v>146268</v>
      </c>
      <c r="D24" s="407">
        <f t="shared" si="6"/>
        <v>146015.77</v>
      </c>
      <c r="E24" s="386">
        <f t="shared" si="0"/>
        <v>12.3835369328783</v>
      </c>
      <c r="F24" s="386">
        <f t="shared" si="1"/>
        <v>99.82755626657915</v>
      </c>
      <c r="G24" s="407">
        <f t="shared" si="6"/>
        <v>61175.77</v>
      </c>
      <c r="I24" s="399" t="s">
        <v>533</v>
      </c>
      <c r="J24" s="389">
        <f>J25+J26</f>
        <v>1179</v>
      </c>
      <c r="K24" s="389">
        <f>K25+K26</f>
        <v>146</v>
      </c>
      <c r="L24" s="389">
        <f>L25+L26</f>
        <v>146</v>
      </c>
      <c r="M24" s="390">
        <f t="shared" si="5"/>
        <v>12.3835369328783</v>
      </c>
      <c r="N24" s="390">
        <f t="shared" si="5"/>
        <v>99.82755626657915</v>
      </c>
      <c r="O24" s="389">
        <f>O25+O26</f>
        <v>62</v>
      </c>
    </row>
    <row r="25" spans="1:15" ht="12.75" customHeight="1">
      <c r="A25" s="401" t="s">
        <v>604</v>
      </c>
      <c r="B25" s="405">
        <v>1123212</v>
      </c>
      <c r="C25" s="405">
        <v>144801</v>
      </c>
      <c r="D25" s="405">
        <v>144559.18</v>
      </c>
      <c r="E25" s="387">
        <f t="shared" si="0"/>
        <v>12.870159862964424</v>
      </c>
      <c r="F25" s="387">
        <f t="shared" si="1"/>
        <v>99.83299839089509</v>
      </c>
      <c r="G25" s="405">
        <v>60510.77</v>
      </c>
      <c r="I25" s="403" t="s">
        <v>604</v>
      </c>
      <c r="J25" s="394">
        <f aca="true" t="shared" si="7" ref="J25:L26">ROUND(B25/1000,0)</f>
        <v>1123</v>
      </c>
      <c r="K25" s="394">
        <f t="shared" si="7"/>
        <v>145</v>
      </c>
      <c r="L25" s="394">
        <f t="shared" si="7"/>
        <v>145</v>
      </c>
      <c r="M25" s="395">
        <f t="shared" si="5"/>
        <v>12.870159862964424</v>
      </c>
      <c r="N25" s="395">
        <f t="shared" si="5"/>
        <v>99.83299839089509</v>
      </c>
      <c r="O25" s="394">
        <f>ROUND(G25/1000,0)</f>
        <v>61</v>
      </c>
    </row>
    <row r="26" spans="1:15" ht="12.75" customHeight="1">
      <c r="A26" s="401" t="s">
        <v>605</v>
      </c>
      <c r="B26" s="405">
        <v>55900</v>
      </c>
      <c r="C26" s="405">
        <v>1467</v>
      </c>
      <c r="D26" s="405">
        <v>1456.59</v>
      </c>
      <c r="E26" s="387">
        <f t="shared" si="0"/>
        <v>2.6057066189624325</v>
      </c>
      <c r="F26" s="387">
        <f t="shared" si="1"/>
        <v>99.29038854805725</v>
      </c>
      <c r="G26" s="405">
        <v>665</v>
      </c>
      <c r="I26" s="403" t="s">
        <v>605</v>
      </c>
      <c r="J26" s="394">
        <f t="shared" si="7"/>
        <v>56</v>
      </c>
      <c r="K26" s="394">
        <f t="shared" si="7"/>
        <v>1</v>
      </c>
      <c r="L26" s="394">
        <f t="shared" si="7"/>
        <v>1</v>
      </c>
      <c r="M26" s="395">
        <f t="shared" si="5"/>
        <v>2.6057066189624325</v>
      </c>
      <c r="N26" s="410">
        <f>IF(ISERROR(L26/K26)," ",(L26/K26))*100</f>
        <v>100</v>
      </c>
      <c r="O26" s="394">
        <f>ROUND(G26/1000,0)</f>
        <v>1</v>
      </c>
    </row>
    <row r="27" spans="1:15" ht="12.75" customHeight="1">
      <c r="A27" s="397" t="s">
        <v>500</v>
      </c>
      <c r="B27" s="407"/>
      <c r="C27" s="407"/>
      <c r="D27" s="407"/>
      <c r="E27" s="407"/>
      <c r="F27" s="407"/>
      <c r="G27" s="405"/>
      <c r="I27" s="399" t="s">
        <v>500</v>
      </c>
      <c r="J27" s="407"/>
      <c r="K27" s="407"/>
      <c r="L27" s="407"/>
      <c r="M27" s="409"/>
      <c r="N27" s="409"/>
      <c r="O27" s="407"/>
    </row>
    <row r="28" spans="1:15" ht="12.75" customHeight="1">
      <c r="A28" s="391" t="s">
        <v>834</v>
      </c>
      <c r="B28" s="405">
        <f>SUM(B29:B30)</f>
        <v>7212591</v>
      </c>
      <c r="C28" s="405">
        <f>SUM(C29:C30)</f>
        <v>1045380</v>
      </c>
      <c r="D28" s="405">
        <f>SUM(D29:D30)</f>
        <v>1053425.88</v>
      </c>
      <c r="E28" s="387">
        <f t="shared" si="0"/>
        <v>14.60537385247548</v>
      </c>
      <c r="F28" s="387">
        <f t="shared" si="1"/>
        <v>100.76966079320438</v>
      </c>
      <c r="G28" s="405">
        <f>G29+G30</f>
        <v>518552.9</v>
      </c>
      <c r="I28" s="393" t="s">
        <v>834</v>
      </c>
      <c r="J28" s="394">
        <f>ROUND(B28/1000,0)</f>
        <v>7213</v>
      </c>
      <c r="K28" s="394">
        <f>K29+K30</f>
        <v>1046</v>
      </c>
      <c r="L28" s="394">
        <f>L29+L30</f>
        <v>1054</v>
      </c>
      <c r="M28" s="395">
        <f aca="true" t="shared" si="8" ref="M28:N33">E28</f>
        <v>14.60537385247548</v>
      </c>
      <c r="N28" s="395">
        <f t="shared" si="8"/>
        <v>100.76966079320438</v>
      </c>
      <c r="O28" s="394">
        <f>O29+O30</f>
        <v>518</v>
      </c>
    </row>
    <row r="29" spans="1:15" ht="12.75" customHeight="1">
      <c r="A29" s="391" t="s">
        <v>835</v>
      </c>
      <c r="B29" s="405">
        <v>6972591</v>
      </c>
      <c r="C29" s="405">
        <v>988714</v>
      </c>
      <c r="D29" s="405">
        <v>988714</v>
      </c>
      <c r="E29" s="387">
        <f t="shared" si="0"/>
        <v>14.180008550623436</v>
      </c>
      <c r="F29" s="387">
        <f t="shared" si="1"/>
        <v>100</v>
      </c>
      <c r="G29" s="405">
        <f>D29-499238</f>
        <v>489476</v>
      </c>
      <c r="I29" s="393" t="s">
        <v>835</v>
      </c>
      <c r="J29" s="394">
        <f>ROUND(B29/1000,0)</f>
        <v>6973</v>
      </c>
      <c r="K29" s="394">
        <f>ROUND(C29/1000,0)</f>
        <v>989</v>
      </c>
      <c r="L29" s="394">
        <f>ROUND(D29/1000,0)</f>
        <v>989</v>
      </c>
      <c r="M29" s="395">
        <f t="shared" si="8"/>
        <v>14.180008550623436</v>
      </c>
      <c r="N29" s="395">
        <f t="shared" si="8"/>
        <v>100</v>
      </c>
      <c r="O29" s="394">
        <f>ROUND(G29/1000,0)</f>
        <v>489</v>
      </c>
    </row>
    <row r="30" spans="1:15" ht="12.75" customHeight="1">
      <c r="A30" s="391" t="s">
        <v>658</v>
      </c>
      <c r="B30" s="405">
        <v>240000</v>
      </c>
      <c r="C30" s="405">
        <v>56666</v>
      </c>
      <c r="D30" s="405">
        <v>64711.88</v>
      </c>
      <c r="E30" s="387">
        <f t="shared" si="0"/>
        <v>26.963283333333333</v>
      </c>
      <c r="F30" s="387">
        <f t="shared" si="1"/>
        <v>114.19877880916245</v>
      </c>
      <c r="G30" s="405">
        <v>29076.9</v>
      </c>
      <c r="I30" s="393" t="s">
        <v>658</v>
      </c>
      <c r="J30" s="394">
        <f>ROUND(B30/1000,0)</f>
        <v>240</v>
      </c>
      <c r="K30" s="394">
        <f>ROUND(C30/1000,0)</f>
        <v>57</v>
      </c>
      <c r="L30" s="394">
        <f>ROUND(D30/1000,0)</f>
        <v>65</v>
      </c>
      <c r="M30" s="395">
        <f t="shared" si="8"/>
        <v>26.963283333333333</v>
      </c>
      <c r="N30" s="395">
        <f t="shared" si="8"/>
        <v>114.19877880916245</v>
      </c>
      <c r="O30" s="394">
        <f>ROUND(G30/1000,0)</f>
        <v>29</v>
      </c>
    </row>
    <row r="31" spans="1:15" ht="12.75" customHeight="1">
      <c r="A31" s="397" t="s">
        <v>609</v>
      </c>
      <c r="B31" s="407">
        <f aca="true" t="shared" si="9" ref="B31:G31">SUM(B32:B33)</f>
        <v>7212591</v>
      </c>
      <c r="C31" s="407">
        <f t="shared" si="9"/>
        <v>1045380</v>
      </c>
      <c r="D31" s="407">
        <f t="shared" si="9"/>
        <v>990646.0700000001</v>
      </c>
      <c r="E31" s="386">
        <f t="shared" si="0"/>
        <v>13.734954193298915</v>
      </c>
      <c r="F31" s="386">
        <f t="shared" si="1"/>
        <v>94.76420727390997</v>
      </c>
      <c r="G31" s="407">
        <f t="shared" si="9"/>
        <v>605748.12</v>
      </c>
      <c r="I31" s="399" t="s">
        <v>609</v>
      </c>
      <c r="J31" s="389">
        <f>J32+J33</f>
        <v>7213</v>
      </c>
      <c r="K31" s="389">
        <f>K32+K33</f>
        <v>1045</v>
      </c>
      <c r="L31" s="389">
        <f>L32+L33</f>
        <v>991</v>
      </c>
      <c r="M31" s="390">
        <f t="shared" si="8"/>
        <v>13.734954193298915</v>
      </c>
      <c r="N31" s="390">
        <f t="shared" si="8"/>
        <v>94.76420727390997</v>
      </c>
      <c r="O31" s="389">
        <f>O32+O33</f>
        <v>606</v>
      </c>
    </row>
    <row r="32" spans="1:15" ht="12.75" customHeight="1">
      <c r="A32" s="401" t="s">
        <v>604</v>
      </c>
      <c r="B32" s="405">
        <v>5998635</v>
      </c>
      <c r="C32" s="405">
        <v>857216</v>
      </c>
      <c r="D32" s="405">
        <v>812723.5</v>
      </c>
      <c r="E32" s="387">
        <f t="shared" si="0"/>
        <v>13.548473944489036</v>
      </c>
      <c r="F32" s="387">
        <f t="shared" si="1"/>
        <v>94.80965124309392</v>
      </c>
      <c r="G32" s="405">
        <v>432089.17</v>
      </c>
      <c r="I32" s="403" t="s">
        <v>604</v>
      </c>
      <c r="J32" s="394">
        <f aca="true" t="shared" si="10" ref="J32:L33">ROUND(B32/1000,0)</f>
        <v>5999</v>
      </c>
      <c r="K32" s="394">
        <f t="shared" si="10"/>
        <v>857</v>
      </c>
      <c r="L32" s="394">
        <f t="shared" si="10"/>
        <v>813</v>
      </c>
      <c r="M32" s="395">
        <f t="shared" si="8"/>
        <v>13.548473944489036</v>
      </c>
      <c r="N32" s="395">
        <f t="shared" si="8"/>
        <v>94.80965124309392</v>
      </c>
      <c r="O32" s="394">
        <f>ROUND(G32/1000,0)</f>
        <v>432</v>
      </c>
    </row>
    <row r="33" spans="1:15" ht="12.75" customHeight="1">
      <c r="A33" s="401" t="s">
        <v>605</v>
      </c>
      <c r="B33" s="405">
        <v>1213956</v>
      </c>
      <c r="C33" s="405">
        <v>188164</v>
      </c>
      <c r="D33" s="405">
        <v>177922.57</v>
      </c>
      <c r="E33" s="387">
        <f t="shared" si="0"/>
        <v>14.656426592067588</v>
      </c>
      <c r="F33" s="387">
        <f t="shared" si="1"/>
        <v>94.55717884398716</v>
      </c>
      <c r="G33" s="405">
        <v>173658.95</v>
      </c>
      <c r="I33" s="403" t="s">
        <v>605</v>
      </c>
      <c r="J33" s="394">
        <f t="shared" si="10"/>
        <v>1214</v>
      </c>
      <c r="K33" s="394">
        <f t="shared" si="10"/>
        <v>188</v>
      </c>
      <c r="L33" s="394">
        <f t="shared" si="10"/>
        <v>178</v>
      </c>
      <c r="M33" s="395">
        <f t="shared" si="8"/>
        <v>14.656426592067588</v>
      </c>
      <c r="N33" s="395">
        <f t="shared" si="8"/>
        <v>94.55717884398716</v>
      </c>
      <c r="O33" s="394">
        <f>ROUND(G33/1000,0)</f>
        <v>174</v>
      </c>
    </row>
    <row r="34" spans="1:15" ht="12.75" customHeight="1">
      <c r="A34" s="397" t="s">
        <v>502</v>
      </c>
      <c r="B34" s="405"/>
      <c r="C34" s="405"/>
      <c r="D34" s="405"/>
      <c r="E34" s="405"/>
      <c r="F34" s="405"/>
      <c r="G34" s="405"/>
      <c r="I34" s="399" t="s">
        <v>502</v>
      </c>
      <c r="J34" s="405"/>
      <c r="K34" s="405"/>
      <c r="L34" s="405"/>
      <c r="M34" s="411"/>
      <c r="N34" s="411"/>
      <c r="O34" s="405"/>
    </row>
    <row r="35" spans="1:15" ht="12.75" customHeight="1">
      <c r="A35" s="391" t="s">
        <v>834</v>
      </c>
      <c r="B35" s="405">
        <f aca="true" t="shared" si="11" ref="B35:G35">SUM(B36:B38)</f>
        <v>3622702</v>
      </c>
      <c r="C35" s="405">
        <f t="shared" si="11"/>
        <v>749722</v>
      </c>
      <c r="D35" s="405">
        <f t="shared" si="11"/>
        <v>476831.46</v>
      </c>
      <c r="E35" s="387">
        <f t="shared" si="0"/>
        <v>13.162315310505807</v>
      </c>
      <c r="F35" s="387">
        <f t="shared" si="1"/>
        <v>63.601102808774456</v>
      </c>
      <c r="G35" s="405">
        <f t="shared" si="11"/>
        <v>258022.06</v>
      </c>
      <c r="I35" s="393" t="s">
        <v>834</v>
      </c>
      <c r="J35" s="394">
        <f>ROUND(B35/1000,0)</f>
        <v>3623</v>
      </c>
      <c r="K35" s="394">
        <f>K36+K37+K38</f>
        <v>749</v>
      </c>
      <c r="L35" s="394">
        <f>L36+L37+L38</f>
        <v>477</v>
      </c>
      <c r="M35" s="395">
        <f aca="true" t="shared" si="12" ref="M35:N41">E35</f>
        <v>13.162315310505807</v>
      </c>
      <c r="N35" s="395">
        <f t="shared" si="12"/>
        <v>63.601102808774456</v>
      </c>
      <c r="O35" s="394">
        <f>O36+O37+O38</f>
        <v>258</v>
      </c>
    </row>
    <row r="36" spans="1:15" ht="12.75" customHeight="1">
      <c r="A36" s="391" t="s">
        <v>835</v>
      </c>
      <c r="B36" s="405">
        <v>3048776</v>
      </c>
      <c r="C36" s="405">
        <v>432316</v>
      </c>
      <c r="D36" s="405">
        <v>432316</v>
      </c>
      <c r="E36" s="387">
        <f t="shared" si="0"/>
        <v>14.17998567293891</v>
      </c>
      <c r="F36" s="387">
        <f t="shared" si="1"/>
        <v>100</v>
      </c>
      <c r="G36" s="405">
        <f>D36-218292</f>
        <v>214024</v>
      </c>
      <c r="I36" s="393" t="s">
        <v>835</v>
      </c>
      <c r="J36" s="394">
        <f>ROUND(B36/1000,0)</f>
        <v>3049</v>
      </c>
      <c r="K36" s="394">
        <f>ROUND(C36/1000,0)</f>
        <v>432</v>
      </c>
      <c r="L36" s="394">
        <f>ROUND(D36/1000,0)</f>
        <v>432</v>
      </c>
      <c r="M36" s="395">
        <f t="shared" si="12"/>
        <v>14.17998567293891</v>
      </c>
      <c r="N36" s="395">
        <f t="shared" si="12"/>
        <v>100</v>
      </c>
      <c r="O36" s="394">
        <f>ROUND(G36/1000,0)</f>
        <v>214</v>
      </c>
    </row>
    <row r="37" spans="1:15" ht="12.75" customHeight="1">
      <c r="A37" s="391" t="s">
        <v>658</v>
      </c>
      <c r="B37" s="405">
        <v>312000</v>
      </c>
      <c r="C37" s="405">
        <v>55480</v>
      </c>
      <c r="D37" s="405">
        <v>44515.46</v>
      </c>
      <c r="E37" s="387">
        <f t="shared" si="0"/>
        <v>14.26777564102564</v>
      </c>
      <c r="F37" s="387">
        <f t="shared" si="1"/>
        <v>80.23695025234319</v>
      </c>
      <c r="G37" s="405">
        <v>43998.06</v>
      </c>
      <c r="I37" s="393" t="s">
        <v>658</v>
      </c>
      <c r="J37" s="394">
        <f>ROUND(B37/1000,0)</f>
        <v>312</v>
      </c>
      <c r="K37" s="394">
        <v>55</v>
      </c>
      <c r="L37" s="394">
        <f>ROUND(D37/1000,0)</f>
        <v>45</v>
      </c>
      <c r="M37" s="395">
        <f t="shared" si="12"/>
        <v>14.26777564102564</v>
      </c>
      <c r="N37" s="395">
        <f t="shared" si="12"/>
        <v>80.23695025234319</v>
      </c>
      <c r="O37" s="394">
        <f>ROUND(G37/1000,0)</f>
        <v>44</v>
      </c>
    </row>
    <row r="38" spans="1:15" ht="12.75" customHeight="1">
      <c r="A38" s="391" t="s">
        <v>496</v>
      </c>
      <c r="B38" s="405">
        <v>261926</v>
      </c>
      <c r="C38" s="405">
        <v>261926</v>
      </c>
      <c r="D38" s="405"/>
      <c r="E38" s="387">
        <f t="shared" si="0"/>
        <v>0</v>
      </c>
      <c r="F38" s="387">
        <f t="shared" si="1"/>
        <v>0</v>
      </c>
      <c r="G38" s="405"/>
      <c r="I38" s="393" t="s">
        <v>496</v>
      </c>
      <c r="J38" s="394">
        <f>ROUND(B38/1000,0)</f>
        <v>262</v>
      </c>
      <c r="K38" s="394">
        <f>ROUND(C38/1000,0)</f>
        <v>262</v>
      </c>
      <c r="L38" s="394">
        <f>ROUND(D38/1000,0)</f>
        <v>0</v>
      </c>
      <c r="M38" s="395">
        <f t="shared" si="12"/>
        <v>0</v>
      </c>
      <c r="N38" s="395">
        <f t="shared" si="12"/>
        <v>0</v>
      </c>
      <c r="O38" s="394">
        <f>ROUND(G38/1000,0)</f>
        <v>0</v>
      </c>
    </row>
    <row r="39" spans="1:15" ht="12.75" customHeight="1">
      <c r="A39" s="397" t="s">
        <v>609</v>
      </c>
      <c r="B39" s="407">
        <f aca="true" t="shared" si="13" ref="B39:G39">SUM(B40:B41)</f>
        <v>3622702</v>
      </c>
      <c r="C39" s="407">
        <f t="shared" si="13"/>
        <v>749722</v>
      </c>
      <c r="D39" s="407">
        <f t="shared" si="13"/>
        <v>438917.05</v>
      </c>
      <c r="E39" s="387">
        <f t="shared" si="0"/>
        <v>12.115737093473324</v>
      </c>
      <c r="F39" s="387">
        <f t="shared" si="1"/>
        <v>58.543973632893255</v>
      </c>
      <c r="G39" s="407">
        <f t="shared" si="13"/>
        <v>221304.37</v>
      </c>
      <c r="I39" s="399" t="s">
        <v>609</v>
      </c>
      <c r="J39" s="389">
        <f>J40+J41</f>
        <v>3622</v>
      </c>
      <c r="K39" s="389">
        <f>K40+K41</f>
        <v>750</v>
      </c>
      <c r="L39" s="389">
        <f>L40+L41</f>
        <v>439</v>
      </c>
      <c r="M39" s="390">
        <f t="shared" si="12"/>
        <v>12.115737093473324</v>
      </c>
      <c r="N39" s="390">
        <f t="shared" si="12"/>
        <v>58.543973632893255</v>
      </c>
      <c r="O39" s="389">
        <f>O40+O41</f>
        <v>221</v>
      </c>
    </row>
    <row r="40" spans="1:15" ht="12.75" customHeight="1">
      <c r="A40" s="401" t="s">
        <v>604</v>
      </c>
      <c r="B40" s="405">
        <v>3494402</v>
      </c>
      <c r="C40" s="405">
        <v>729722</v>
      </c>
      <c r="D40" s="405">
        <v>426997.85</v>
      </c>
      <c r="E40" s="387">
        <f t="shared" si="0"/>
        <v>12.219482761285049</v>
      </c>
      <c r="F40" s="387">
        <f t="shared" si="1"/>
        <v>58.51514001222383</v>
      </c>
      <c r="G40" s="405">
        <v>214081.18</v>
      </c>
      <c r="I40" s="403" t="s">
        <v>604</v>
      </c>
      <c r="J40" s="394">
        <f aca="true" t="shared" si="14" ref="J40:L41">ROUND(B40/1000,0)</f>
        <v>3494</v>
      </c>
      <c r="K40" s="394">
        <f t="shared" si="14"/>
        <v>730</v>
      </c>
      <c r="L40" s="394">
        <f t="shared" si="14"/>
        <v>427</v>
      </c>
      <c r="M40" s="395">
        <f t="shared" si="12"/>
        <v>12.219482761285049</v>
      </c>
      <c r="N40" s="395">
        <f t="shared" si="12"/>
        <v>58.51514001222383</v>
      </c>
      <c r="O40" s="394">
        <f>ROUND(G40/1000,0)</f>
        <v>214</v>
      </c>
    </row>
    <row r="41" spans="1:15" ht="12.75" customHeight="1">
      <c r="A41" s="401" t="s">
        <v>605</v>
      </c>
      <c r="B41" s="405">
        <v>128300</v>
      </c>
      <c r="C41" s="405">
        <v>20000</v>
      </c>
      <c r="D41" s="405">
        <v>11919.2</v>
      </c>
      <c r="E41" s="387">
        <f t="shared" si="0"/>
        <v>9.290101325019485</v>
      </c>
      <c r="F41" s="387">
        <f t="shared" si="1"/>
        <v>59.596000000000004</v>
      </c>
      <c r="G41" s="405">
        <v>7223.19</v>
      </c>
      <c r="I41" s="403" t="s">
        <v>605</v>
      </c>
      <c r="J41" s="394">
        <f t="shared" si="14"/>
        <v>128</v>
      </c>
      <c r="K41" s="394">
        <f t="shared" si="14"/>
        <v>20</v>
      </c>
      <c r="L41" s="394">
        <f t="shared" si="14"/>
        <v>12</v>
      </c>
      <c r="M41" s="395">
        <f t="shared" si="12"/>
        <v>9.290101325019485</v>
      </c>
      <c r="N41" s="395">
        <f t="shared" si="12"/>
        <v>59.596000000000004</v>
      </c>
      <c r="O41" s="394">
        <f>ROUND(G41/1000,0)</f>
        <v>7</v>
      </c>
    </row>
    <row r="42" spans="1:15" ht="12.75" customHeight="1">
      <c r="A42" s="397" t="s">
        <v>608</v>
      </c>
      <c r="B42" s="405"/>
      <c r="C42" s="405"/>
      <c r="D42" s="405"/>
      <c r="E42" s="405"/>
      <c r="F42" s="405"/>
      <c r="G42" s="405"/>
      <c r="I42" s="399" t="s">
        <v>608</v>
      </c>
      <c r="J42" s="405"/>
      <c r="K42" s="405"/>
      <c r="L42" s="405"/>
      <c r="M42" s="411"/>
      <c r="N42" s="411"/>
      <c r="O42" s="405"/>
    </row>
    <row r="43" spans="1:15" ht="12.75" customHeight="1">
      <c r="A43" s="391" t="s">
        <v>834</v>
      </c>
      <c r="B43" s="405">
        <f aca="true" t="shared" si="15" ref="B43:G43">SUM(B44:B45)</f>
        <v>48424727</v>
      </c>
      <c r="C43" s="405">
        <f t="shared" si="15"/>
        <v>7820683</v>
      </c>
      <c r="D43" s="405">
        <f t="shared" si="15"/>
        <v>7751493.16</v>
      </c>
      <c r="E43" s="387">
        <f t="shared" si="0"/>
        <v>16.007303789239742</v>
      </c>
      <c r="F43" s="387">
        <f t="shared" si="1"/>
        <v>99.11529670746148</v>
      </c>
      <c r="G43" s="405">
        <f t="shared" si="15"/>
        <v>4070270</v>
      </c>
      <c r="I43" s="393" t="s">
        <v>834</v>
      </c>
      <c r="J43" s="394">
        <f>ROUND(B43/1000,0)</f>
        <v>48425</v>
      </c>
      <c r="K43" s="394">
        <f>K44+K45</f>
        <v>7820</v>
      </c>
      <c r="L43" s="394">
        <f>L44+L45</f>
        <v>7751</v>
      </c>
      <c r="M43" s="395">
        <f>E43</f>
        <v>16.007303789239742</v>
      </c>
      <c r="N43" s="395">
        <f>F43</f>
        <v>99.11529670746148</v>
      </c>
      <c r="O43" s="394">
        <f>O44+O45</f>
        <v>4070</v>
      </c>
    </row>
    <row r="44" spans="1:15" ht="12.75" customHeight="1">
      <c r="A44" s="391" t="s">
        <v>835</v>
      </c>
      <c r="B44" s="405">
        <v>46214691</v>
      </c>
      <c r="C44" s="405">
        <v>7477537</v>
      </c>
      <c r="D44" s="405">
        <v>7477537</v>
      </c>
      <c r="E44" s="387">
        <f t="shared" si="0"/>
        <v>16.179999991777507</v>
      </c>
      <c r="F44" s="387">
        <f t="shared" si="1"/>
        <v>100</v>
      </c>
      <c r="G44" s="405">
        <f>D44-3549288</f>
        <v>3928249</v>
      </c>
      <c r="I44" s="393" t="s">
        <v>835</v>
      </c>
      <c r="J44" s="394">
        <f>ROUND(B44/1000,0)</f>
        <v>46215</v>
      </c>
      <c r="K44" s="394">
        <v>7477</v>
      </c>
      <c r="L44" s="394">
        <v>7477</v>
      </c>
      <c r="M44" s="395">
        <f aca="true" t="shared" si="16" ref="M44:N108">E44</f>
        <v>16.179999991777507</v>
      </c>
      <c r="N44" s="395">
        <f t="shared" si="16"/>
        <v>100</v>
      </c>
      <c r="O44" s="394">
        <f>ROUND(G44/1000,0)</f>
        <v>3928</v>
      </c>
    </row>
    <row r="45" spans="1:15" ht="12.75" customHeight="1">
      <c r="A45" s="391" t="s">
        <v>658</v>
      </c>
      <c r="B45" s="405">
        <v>2210036</v>
      </c>
      <c r="C45" s="405">
        <v>343146</v>
      </c>
      <c r="D45" s="405">
        <v>273956.16</v>
      </c>
      <c r="E45" s="387">
        <f t="shared" si="0"/>
        <v>12.396004408977952</v>
      </c>
      <c r="F45" s="387">
        <f t="shared" si="1"/>
        <v>79.83661764963018</v>
      </c>
      <c r="G45" s="405">
        <v>142021</v>
      </c>
      <c r="I45" s="393" t="s">
        <v>658</v>
      </c>
      <c r="J45" s="394">
        <f>ROUND(B45/1000,0)</f>
        <v>2210</v>
      </c>
      <c r="K45" s="394">
        <f>ROUND(C45/1000,0)</f>
        <v>343</v>
      </c>
      <c r="L45" s="394">
        <f>ROUND(D45/1000,0)</f>
        <v>274</v>
      </c>
      <c r="M45" s="395">
        <f t="shared" si="16"/>
        <v>12.396004408977952</v>
      </c>
      <c r="N45" s="395">
        <f t="shared" si="16"/>
        <v>79.83661764963018</v>
      </c>
      <c r="O45" s="394">
        <f>ROUND(G45/1000,0)</f>
        <v>142</v>
      </c>
    </row>
    <row r="46" spans="1:15" ht="12.75" customHeight="1">
      <c r="A46" s="397" t="s">
        <v>609</v>
      </c>
      <c r="B46" s="407">
        <f aca="true" t="shared" si="17" ref="B46:G46">SUM(B47:B48)</f>
        <v>48424727</v>
      </c>
      <c r="C46" s="407">
        <f t="shared" si="17"/>
        <v>7820683</v>
      </c>
      <c r="D46" s="407">
        <f t="shared" si="17"/>
        <v>6637715.83</v>
      </c>
      <c r="E46" s="387">
        <f t="shared" si="0"/>
        <v>13.707286011132288</v>
      </c>
      <c r="F46" s="387">
        <f t="shared" si="1"/>
        <v>84.8738637021856</v>
      </c>
      <c r="G46" s="407">
        <f t="shared" si="17"/>
        <v>3709087.5</v>
      </c>
      <c r="I46" s="399" t="s">
        <v>609</v>
      </c>
      <c r="J46" s="389">
        <f>J47+J48</f>
        <v>48425</v>
      </c>
      <c r="K46" s="389">
        <f>K47+K48</f>
        <v>7821</v>
      </c>
      <c r="L46" s="389">
        <f>L47+L48</f>
        <v>6638</v>
      </c>
      <c r="M46" s="390">
        <f t="shared" si="16"/>
        <v>13.707286011132288</v>
      </c>
      <c r="N46" s="390">
        <f t="shared" si="16"/>
        <v>84.8738637021856</v>
      </c>
      <c r="O46" s="389">
        <f>O47+O48</f>
        <v>3710</v>
      </c>
    </row>
    <row r="47" spans="1:15" ht="12.75" customHeight="1">
      <c r="A47" s="320" t="s">
        <v>604</v>
      </c>
      <c r="B47" s="405">
        <v>43901860</v>
      </c>
      <c r="C47" s="405">
        <v>7208665</v>
      </c>
      <c r="D47" s="405">
        <v>6228577.42</v>
      </c>
      <c r="E47" s="387">
        <f t="shared" si="0"/>
        <v>14.187502351836573</v>
      </c>
      <c r="F47" s="387">
        <f t="shared" si="1"/>
        <v>86.40403486637263</v>
      </c>
      <c r="G47" s="405">
        <v>3422600.62</v>
      </c>
      <c r="I47" s="412" t="s">
        <v>604</v>
      </c>
      <c r="J47" s="394">
        <f aca="true" t="shared" si="18" ref="J47:L48">ROUND(B47/1000,0)</f>
        <v>43902</v>
      </c>
      <c r="K47" s="394">
        <f t="shared" si="18"/>
        <v>7209</v>
      </c>
      <c r="L47" s="394">
        <f t="shared" si="18"/>
        <v>6229</v>
      </c>
      <c r="M47" s="395">
        <f t="shared" si="16"/>
        <v>14.187502351836573</v>
      </c>
      <c r="N47" s="395">
        <f t="shared" si="16"/>
        <v>86.40403486637263</v>
      </c>
      <c r="O47" s="394">
        <f>ROUND(G47/1000,0)</f>
        <v>3423</v>
      </c>
    </row>
    <row r="48" spans="1:15" ht="12.75" customHeight="1">
      <c r="A48" s="320" t="s">
        <v>605</v>
      </c>
      <c r="B48" s="405">
        <v>4522867</v>
      </c>
      <c r="C48" s="405">
        <v>612018</v>
      </c>
      <c r="D48" s="405">
        <v>409138.41</v>
      </c>
      <c r="E48" s="387">
        <f t="shared" si="0"/>
        <v>9.04599693070789</v>
      </c>
      <c r="F48" s="387">
        <f t="shared" si="1"/>
        <v>66.85071517504386</v>
      </c>
      <c r="G48" s="405">
        <v>286486.88</v>
      </c>
      <c r="I48" s="412" t="s">
        <v>605</v>
      </c>
      <c r="J48" s="394">
        <f t="shared" si="18"/>
        <v>4523</v>
      </c>
      <c r="K48" s="394">
        <f t="shared" si="18"/>
        <v>612</v>
      </c>
      <c r="L48" s="394">
        <f t="shared" si="18"/>
        <v>409</v>
      </c>
      <c r="M48" s="395">
        <f t="shared" si="16"/>
        <v>9.04599693070789</v>
      </c>
      <c r="N48" s="395">
        <f t="shared" si="16"/>
        <v>66.85071517504386</v>
      </c>
      <c r="O48" s="394">
        <v>287</v>
      </c>
    </row>
    <row r="49" spans="1:15" ht="12.75" customHeight="1">
      <c r="A49" s="397" t="s">
        <v>504</v>
      </c>
      <c r="B49" s="405"/>
      <c r="C49" s="405"/>
      <c r="D49" s="405"/>
      <c r="E49" s="387"/>
      <c r="F49" s="405"/>
      <c r="G49" s="405"/>
      <c r="I49" s="399" t="s">
        <v>504</v>
      </c>
      <c r="J49" s="405"/>
      <c r="K49" s="405"/>
      <c r="L49" s="405"/>
      <c r="M49" s="411"/>
      <c r="N49" s="411"/>
      <c r="O49" s="405"/>
    </row>
    <row r="50" spans="1:15" ht="12.75" customHeight="1">
      <c r="A50" s="391" t="s">
        <v>834</v>
      </c>
      <c r="B50" s="405">
        <f aca="true" t="shared" si="19" ref="B50:G50">SUM(B51:B52)</f>
        <v>11043968</v>
      </c>
      <c r="C50" s="405">
        <f t="shared" si="19"/>
        <v>1935033</v>
      </c>
      <c r="D50" s="405">
        <f t="shared" si="19"/>
        <v>1942300.01</v>
      </c>
      <c r="E50" s="387">
        <f t="shared" si="0"/>
        <v>17.58697607599008</v>
      </c>
      <c r="F50" s="387">
        <f t="shared" si="1"/>
        <v>100.3755496676284</v>
      </c>
      <c r="G50" s="405">
        <f t="shared" si="19"/>
        <v>914808.51</v>
      </c>
      <c r="I50" s="393" t="s">
        <v>834</v>
      </c>
      <c r="J50" s="394">
        <f>ROUND(B50/1000,0)</f>
        <v>11044</v>
      </c>
      <c r="K50" s="394">
        <f>K51+K52</f>
        <v>1935</v>
      </c>
      <c r="L50" s="394">
        <f>L51+L52</f>
        <v>1942</v>
      </c>
      <c r="M50" s="395">
        <f t="shared" si="16"/>
        <v>17.58697607599008</v>
      </c>
      <c r="N50" s="395">
        <f t="shared" si="16"/>
        <v>100.3755496676284</v>
      </c>
      <c r="O50" s="394">
        <f>O51+O52</f>
        <v>915</v>
      </c>
    </row>
    <row r="51" spans="1:15" ht="12.75" customHeight="1">
      <c r="A51" s="391" t="s">
        <v>835</v>
      </c>
      <c r="B51" s="405">
        <v>10847968</v>
      </c>
      <c r="C51" s="405">
        <v>1906533</v>
      </c>
      <c r="D51" s="405">
        <v>1906533</v>
      </c>
      <c r="E51" s="387">
        <f t="shared" si="0"/>
        <v>17.575024188861914</v>
      </c>
      <c r="F51" s="387">
        <f t="shared" si="1"/>
        <v>100</v>
      </c>
      <c r="G51" s="405">
        <f>D51-1027280</f>
        <v>879253</v>
      </c>
      <c r="I51" s="393" t="s">
        <v>835</v>
      </c>
      <c r="J51" s="394">
        <f>ROUND(B51/1000,0)</f>
        <v>10848</v>
      </c>
      <c r="K51" s="394">
        <v>1906</v>
      </c>
      <c r="L51" s="394">
        <v>1906</v>
      </c>
      <c r="M51" s="395">
        <f t="shared" si="16"/>
        <v>17.575024188861914</v>
      </c>
      <c r="N51" s="395">
        <f t="shared" si="16"/>
        <v>100</v>
      </c>
      <c r="O51" s="394">
        <f>ROUND(G51/1000,0)</f>
        <v>879</v>
      </c>
    </row>
    <row r="52" spans="1:15" ht="12.75" customHeight="1">
      <c r="A52" s="391" t="s">
        <v>658</v>
      </c>
      <c r="B52" s="405">
        <v>196000</v>
      </c>
      <c r="C52" s="405">
        <v>28500</v>
      </c>
      <c r="D52" s="405">
        <v>35767.01</v>
      </c>
      <c r="E52" s="387">
        <f t="shared" si="0"/>
        <v>18.248474489795917</v>
      </c>
      <c r="F52" s="387">
        <f t="shared" si="1"/>
        <v>125.4982807017544</v>
      </c>
      <c r="G52" s="405">
        <v>35555.51</v>
      </c>
      <c r="I52" s="393" t="s">
        <v>658</v>
      </c>
      <c r="J52" s="394">
        <f>ROUND(B52/1000,0)</f>
        <v>196</v>
      </c>
      <c r="K52" s="394">
        <f>ROUND(C52/1000,0)</f>
        <v>29</v>
      </c>
      <c r="L52" s="394">
        <f>ROUND(D52/1000,0)</f>
        <v>36</v>
      </c>
      <c r="M52" s="395">
        <f t="shared" si="16"/>
        <v>18.248474489795917</v>
      </c>
      <c r="N52" s="395">
        <f t="shared" si="16"/>
        <v>125.4982807017544</v>
      </c>
      <c r="O52" s="394">
        <f>ROUND(G52/1000,0)</f>
        <v>36</v>
      </c>
    </row>
    <row r="53" spans="1:15" ht="12.75" customHeight="1">
      <c r="A53" s="397" t="s">
        <v>609</v>
      </c>
      <c r="B53" s="407">
        <f aca="true" t="shared" si="20" ref="B53:G53">SUM(B54:B55)</f>
        <v>11043968</v>
      </c>
      <c r="C53" s="407">
        <f t="shared" si="20"/>
        <v>1935033</v>
      </c>
      <c r="D53" s="407">
        <f t="shared" si="20"/>
        <v>1785010.12</v>
      </c>
      <c r="E53" s="387">
        <f t="shared" si="0"/>
        <v>16.16276070339936</v>
      </c>
      <c r="F53" s="387">
        <f t="shared" si="1"/>
        <v>92.24701180806736</v>
      </c>
      <c r="G53" s="407">
        <f t="shared" si="20"/>
        <v>804088.1499999999</v>
      </c>
      <c r="I53" s="399" t="s">
        <v>609</v>
      </c>
      <c r="J53" s="389">
        <f>J54+J55</f>
        <v>11044</v>
      </c>
      <c r="K53" s="389">
        <f>K54+K55</f>
        <v>1935</v>
      </c>
      <c r="L53" s="389">
        <f>L54+L55</f>
        <v>1785</v>
      </c>
      <c r="M53" s="390">
        <f t="shared" si="16"/>
        <v>16.16276070339936</v>
      </c>
      <c r="N53" s="390">
        <f t="shared" si="16"/>
        <v>92.24701180806736</v>
      </c>
      <c r="O53" s="389">
        <f>O54+O55</f>
        <v>804</v>
      </c>
    </row>
    <row r="54" spans="1:15" ht="12.75" customHeight="1">
      <c r="A54" s="320" t="s">
        <v>604</v>
      </c>
      <c r="B54" s="405">
        <v>10475758</v>
      </c>
      <c r="C54" s="405">
        <v>1844031</v>
      </c>
      <c r="D54" s="405">
        <v>1741929.09</v>
      </c>
      <c r="E54" s="387">
        <f t="shared" si="0"/>
        <v>16.628191391973736</v>
      </c>
      <c r="F54" s="387">
        <f t="shared" si="1"/>
        <v>94.46311314723017</v>
      </c>
      <c r="G54" s="405">
        <v>784394.08</v>
      </c>
      <c r="I54" s="412" t="s">
        <v>604</v>
      </c>
      <c r="J54" s="394">
        <f aca="true" t="shared" si="21" ref="J54:L55">ROUND(B54/1000,0)</f>
        <v>10476</v>
      </c>
      <c r="K54" s="394">
        <f t="shared" si="21"/>
        <v>1844</v>
      </c>
      <c r="L54" s="394">
        <f t="shared" si="21"/>
        <v>1742</v>
      </c>
      <c r="M54" s="395">
        <f t="shared" si="16"/>
        <v>16.628191391973736</v>
      </c>
      <c r="N54" s="395">
        <f t="shared" si="16"/>
        <v>94.46311314723017</v>
      </c>
      <c r="O54" s="394">
        <f>ROUND(G54/1000,0)</f>
        <v>784</v>
      </c>
    </row>
    <row r="55" spans="1:15" ht="12.75" customHeight="1">
      <c r="A55" s="320" t="s">
        <v>605</v>
      </c>
      <c r="B55" s="405">
        <v>568210</v>
      </c>
      <c r="C55" s="405">
        <v>91002</v>
      </c>
      <c r="D55" s="405">
        <v>43081.03</v>
      </c>
      <c r="E55" s="387">
        <f t="shared" si="0"/>
        <v>7.581885218493163</v>
      </c>
      <c r="F55" s="387">
        <f t="shared" si="1"/>
        <v>47.340750752730706</v>
      </c>
      <c r="G55" s="405">
        <v>19694.07</v>
      </c>
      <c r="I55" s="412" t="s">
        <v>605</v>
      </c>
      <c r="J55" s="394">
        <f t="shared" si="21"/>
        <v>568</v>
      </c>
      <c r="K55" s="394">
        <f t="shared" si="21"/>
        <v>91</v>
      </c>
      <c r="L55" s="394">
        <f t="shared" si="21"/>
        <v>43</v>
      </c>
      <c r="M55" s="395">
        <f t="shared" si="16"/>
        <v>7.581885218493163</v>
      </c>
      <c r="N55" s="395">
        <f t="shared" si="16"/>
        <v>47.340750752730706</v>
      </c>
      <c r="O55" s="394">
        <f>ROUND(G55/1000,0)</f>
        <v>20</v>
      </c>
    </row>
    <row r="56" spans="1:15" ht="12.75" customHeight="1">
      <c r="A56" s="397" t="s">
        <v>505</v>
      </c>
      <c r="B56" s="405"/>
      <c r="C56" s="405"/>
      <c r="D56" s="405"/>
      <c r="E56" s="405"/>
      <c r="F56" s="405"/>
      <c r="G56" s="405"/>
      <c r="I56" s="399" t="s">
        <v>505</v>
      </c>
      <c r="J56" s="405"/>
      <c r="K56" s="405"/>
      <c r="L56" s="405"/>
      <c r="M56" s="411"/>
      <c r="N56" s="411"/>
      <c r="O56" s="405"/>
    </row>
    <row r="57" spans="1:15" ht="12.75" customHeight="1">
      <c r="A57" s="391" t="s">
        <v>834</v>
      </c>
      <c r="B57" s="405">
        <f aca="true" t="shared" si="22" ref="B57:G57">SUM(B58:B61)</f>
        <v>11189389</v>
      </c>
      <c r="C57" s="405">
        <f t="shared" si="22"/>
        <v>1361652</v>
      </c>
      <c r="D57" s="405">
        <f t="shared" si="22"/>
        <v>847804.99</v>
      </c>
      <c r="E57" s="387">
        <f t="shared" si="0"/>
        <v>7.576865814567713</v>
      </c>
      <c r="F57" s="387">
        <f t="shared" si="1"/>
        <v>62.26297100874526</v>
      </c>
      <c r="G57" s="405">
        <f t="shared" si="22"/>
        <v>423868.44999999995</v>
      </c>
      <c r="I57" s="393" t="s">
        <v>834</v>
      </c>
      <c r="J57" s="394">
        <f>ROUND(B57/1000,0)</f>
        <v>11189</v>
      </c>
      <c r="K57" s="394">
        <f>K58+K59+K60+K61</f>
        <v>1361</v>
      </c>
      <c r="L57" s="394">
        <f>L58+L59+L60+L61</f>
        <v>848</v>
      </c>
      <c r="M57" s="395">
        <f t="shared" si="16"/>
        <v>7.576865814567713</v>
      </c>
      <c r="N57" s="395">
        <f t="shared" si="16"/>
        <v>62.26297100874526</v>
      </c>
      <c r="O57" s="394">
        <f>O58+O59+O60+O61</f>
        <v>423</v>
      </c>
    </row>
    <row r="58" spans="1:15" ht="12.75" customHeight="1">
      <c r="A58" s="391" t="s">
        <v>835</v>
      </c>
      <c r="B58" s="405">
        <v>4712447</v>
      </c>
      <c r="C58" s="405">
        <v>711536</v>
      </c>
      <c r="D58" s="405">
        <v>711536</v>
      </c>
      <c r="E58" s="387">
        <f t="shared" si="0"/>
        <v>15.099076976356447</v>
      </c>
      <c r="F58" s="387">
        <f t="shared" si="1"/>
        <v>100</v>
      </c>
      <c r="G58" s="405">
        <f>D58-357082</f>
        <v>354454</v>
      </c>
      <c r="I58" s="393" t="s">
        <v>835</v>
      </c>
      <c r="J58" s="394">
        <f>ROUND(B58/1000,0)</f>
        <v>4712</v>
      </c>
      <c r="K58" s="394">
        <f>ROUND(C58/1000,0)</f>
        <v>712</v>
      </c>
      <c r="L58" s="394">
        <f>ROUND(D58/1000,0)</f>
        <v>712</v>
      </c>
      <c r="M58" s="395">
        <f t="shared" si="16"/>
        <v>15.099076976356447</v>
      </c>
      <c r="N58" s="395">
        <f t="shared" si="16"/>
        <v>100</v>
      </c>
      <c r="O58" s="394">
        <f>ROUND(G58/1000,0)</f>
        <v>354</v>
      </c>
    </row>
    <row r="59" spans="1:15" ht="12.75" customHeight="1">
      <c r="A59" s="391" t="s">
        <v>836</v>
      </c>
      <c r="B59" s="405">
        <v>12122</v>
      </c>
      <c r="C59" s="405">
        <v>6060</v>
      </c>
      <c r="D59" s="405">
        <f>10501.46</f>
        <v>10501.46</v>
      </c>
      <c r="E59" s="387">
        <f t="shared" si="0"/>
        <v>86.63141395809272</v>
      </c>
      <c r="F59" s="387">
        <f t="shared" si="1"/>
        <v>173.29141914191416</v>
      </c>
      <c r="G59" s="405">
        <v>10501</v>
      </c>
      <c r="I59" s="393" t="s">
        <v>836</v>
      </c>
      <c r="J59" s="394">
        <f>ROUND(B59/1000,0)</f>
        <v>12</v>
      </c>
      <c r="K59" s="394">
        <f>ROUND(C59/1000,0)</f>
        <v>6</v>
      </c>
      <c r="L59" s="394">
        <v>10</v>
      </c>
      <c r="M59" s="395">
        <f t="shared" si="16"/>
        <v>86.63141395809272</v>
      </c>
      <c r="N59" s="395">
        <f t="shared" si="16"/>
        <v>173.29141914191416</v>
      </c>
      <c r="O59" s="394">
        <v>10</v>
      </c>
    </row>
    <row r="60" spans="1:15" ht="12.75" customHeight="1">
      <c r="A60" s="391" t="s">
        <v>658</v>
      </c>
      <c r="B60" s="405">
        <v>437781</v>
      </c>
      <c r="C60" s="405">
        <v>90546</v>
      </c>
      <c r="D60" s="405">
        <v>106054.37</v>
      </c>
      <c r="E60" s="387">
        <f t="shared" si="0"/>
        <v>24.225439203620073</v>
      </c>
      <c r="F60" s="387">
        <f t="shared" si="1"/>
        <v>117.12761469308417</v>
      </c>
      <c r="G60" s="405">
        <v>39200.29</v>
      </c>
      <c r="I60" s="393" t="s">
        <v>658</v>
      </c>
      <c r="J60" s="394">
        <f>ROUND(B60/1000,0)</f>
        <v>438</v>
      </c>
      <c r="K60" s="394">
        <v>90</v>
      </c>
      <c r="L60" s="394">
        <f>ROUND(D60/1000,0)</f>
        <v>106</v>
      </c>
      <c r="M60" s="395">
        <f t="shared" si="16"/>
        <v>24.225439203620073</v>
      </c>
      <c r="N60" s="395">
        <f t="shared" si="16"/>
        <v>117.12761469308417</v>
      </c>
      <c r="O60" s="394">
        <f>ROUND(G60/1000,0)</f>
        <v>39</v>
      </c>
    </row>
    <row r="61" spans="1:15" ht="12.75" customHeight="1">
      <c r="A61" s="391" t="s">
        <v>496</v>
      </c>
      <c r="B61" s="405">
        <v>6027039</v>
      </c>
      <c r="C61" s="405">
        <v>553510</v>
      </c>
      <c r="D61" s="405">
        <v>19713.16</v>
      </c>
      <c r="E61" s="387">
        <f t="shared" si="0"/>
        <v>0.3270786865656585</v>
      </c>
      <c r="F61" s="387">
        <f t="shared" si="1"/>
        <v>3.5614821773771026</v>
      </c>
      <c r="G61" s="405">
        <v>19713.16</v>
      </c>
      <c r="I61" s="393" t="s">
        <v>496</v>
      </c>
      <c r="J61" s="394">
        <f>ROUND(B61/1000,0)</f>
        <v>6027</v>
      </c>
      <c r="K61" s="394">
        <v>553</v>
      </c>
      <c r="L61" s="394">
        <f>ROUND(D61/1000,0)</f>
        <v>20</v>
      </c>
      <c r="M61" s="395">
        <f t="shared" si="16"/>
        <v>0.3270786865656585</v>
      </c>
      <c r="N61" s="395">
        <f t="shared" si="16"/>
        <v>3.5614821773771026</v>
      </c>
      <c r="O61" s="394">
        <f>ROUND(G61/1000,0)</f>
        <v>20</v>
      </c>
    </row>
    <row r="62" spans="1:15" ht="12.75" customHeight="1">
      <c r="A62" s="397" t="s">
        <v>609</v>
      </c>
      <c r="B62" s="407">
        <f aca="true" t="shared" si="23" ref="B62:G62">SUM(B63:B64)</f>
        <v>11189389</v>
      </c>
      <c r="C62" s="407">
        <f t="shared" si="23"/>
        <v>1361652</v>
      </c>
      <c r="D62" s="407">
        <f t="shared" si="23"/>
        <v>798834.99</v>
      </c>
      <c r="E62" s="387">
        <f t="shared" si="0"/>
        <v>7.139219040467715</v>
      </c>
      <c r="F62" s="387">
        <f t="shared" si="1"/>
        <v>58.66660424249368</v>
      </c>
      <c r="G62" s="407">
        <f t="shared" si="23"/>
        <v>430704.83999999997</v>
      </c>
      <c r="I62" s="399" t="s">
        <v>609</v>
      </c>
      <c r="J62" s="389">
        <f>J63+J64</f>
        <v>11189</v>
      </c>
      <c r="K62" s="389">
        <f>K63+K64</f>
        <v>1362</v>
      </c>
      <c r="L62" s="389">
        <f>L63+L64</f>
        <v>799</v>
      </c>
      <c r="M62" s="390">
        <f t="shared" si="16"/>
        <v>7.139219040467715</v>
      </c>
      <c r="N62" s="390">
        <f t="shared" si="16"/>
        <v>58.66660424249368</v>
      </c>
      <c r="O62" s="389">
        <f>O63+O64</f>
        <v>431</v>
      </c>
    </row>
    <row r="63" spans="1:15" ht="12.75" customHeight="1">
      <c r="A63" s="401" t="s">
        <v>604</v>
      </c>
      <c r="B63" s="405">
        <v>10781923</v>
      </c>
      <c r="C63" s="405">
        <v>1358652</v>
      </c>
      <c r="D63" s="405">
        <v>795866.58</v>
      </c>
      <c r="E63" s="387">
        <f t="shared" si="0"/>
        <v>7.3814901108086195</v>
      </c>
      <c r="F63" s="387">
        <f t="shared" si="1"/>
        <v>58.57766227113345</v>
      </c>
      <c r="G63" s="405">
        <v>427736.43</v>
      </c>
      <c r="I63" s="403" t="s">
        <v>604</v>
      </c>
      <c r="J63" s="394">
        <f>ROUND(B63/1000,0)</f>
        <v>10782</v>
      </c>
      <c r="K63" s="394">
        <f>ROUND(C63/1000,0)</f>
        <v>1359</v>
      </c>
      <c r="L63" s="394">
        <f>ROUND(D63/1000,0)</f>
        <v>796</v>
      </c>
      <c r="M63" s="395">
        <f t="shared" si="16"/>
        <v>7.3814901108086195</v>
      </c>
      <c r="N63" s="395">
        <f t="shared" si="16"/>
        <v>58.57766227113345</v>
      </c>
      <c r="O63" s="394">
        <f>ROUND(G63/1000,0)</f>
        <v>428</v>
      </c>
    </row>
    <row r="64" spans="1:15" ht="12.75" customHeight="1">
      <c r="A64" s="401" t="s">
        <v>605</v>
      </c>
      <c r="B64" s="405">
        <v>407466</v>
      </c>
      <c r="C64" s="405">
        <v>3000</v>
      </c>
      <c r="D64" s="405">
        <v>2968.41</v>
      </c>
      <c r="E64" s="387"/>
      <c r="F64" s="387"/>
      <c r="G64" s="405">
        <v>2968.41</v>
      </c>
      <c r="I64" s="403" t="s">
        <v>605</v>
      </c>
      <c r="J64" s="394">
        <f>ROUND(B64/1000,0)</f>
        <v>407</v>
      </c>
      <c r="K64" s="394">
        <v>3</v>
      </c>
      <c r="L64" s="394">
        <f>ROUND(D64/1000,0)</f>
        <v>3</v>
      </c>
      <c r="M64" s="395"/>
      <c r="N64" s="395"/>
      <c r="O64" s="394">
        <v>3</v>
      </c>
    </row>
    <row r="65" spans="1:15" ht="12.75" customHeight="1">
      <c r="A65" s="397" t="s">
        <v>506</v>
      </c>
      <c r="B65" s="405"/>
      <c r="C65" s="405"/>
      <c r="D65" s="405"/>
      <c r="E65" s="405"/>
      <c r="F65" s="405"/>
      <c r="G65" s="405"/>
      <c r="I65" s="399" t="s">
        <v>506</v>
      </c>
      <c r="J65" s="405"/>
      <c r="K65" s="405"/>
      <c r="L65" s="405"/>
      <c r="M65" s="411"/>
      <c r="N65" s="411"/>
      <c r="O65" s="405"/>
    </row>
    <row r="66" spans="1:15" ht="12.75" customHeight="1">
      <c r="A66" s="391" t="s">
        <v>834</v>
      </c>
      <c r="B66" s="405">
        <f aca="true" t="shared" si="24" ref="B66:G66">SUM(B67:B70)</f>
        <v>95465330</v>
      </c>
      <c r="C66" s="405">
        <f t="shared" si="24"/>
        <v>12416087</v>
      </c>
      <c r="D66" s="405">
        <f t="shared" si="24"/>
        <v>12268606.27</v>
      </c>
      <c r="E66" s="387">
        <f t="shared" si="0"/>
        <v>12.851373655755443</v>
      </c>
      <c r="F66" s="387">
        <f t="shared" si="1"/>
        <v>98.81218027869811</v>
      </c>
      <c r="G66" s="405">
        <f t="shared" si="24"/>
        <v>5838851.369999999</v>
      </c>
      <c r="I66" s="393" t="s">
        <v>834</v>
      </c>
      <c r="J66" s="394">
        <f aca="true" t="shared" si="25" ref="J66:L75">ROUND(B66/1000,0)</f>
        <v>95465</v>
      </c>
      <c r="K66" s="394">
        <f>K67+K68+K69+K70</f>
        <v>12416</v>
      </c>
      <c r="L66" s="394">
        <f>L67+L68+L69+L70</f>
        <v>12269</v>
      </c>
      <c r="M66" s="395">
        <f t="shared" si="16"/>
        <v>12.851373655755443</v>
      </c>
      <c r="N66" s="395">
        <f t="shared" si="16"/>
        <v>98.81218027869811</v>
      </c>
      <c r="O66" s="394">
        <f>O67+O68+O69+O70</f>
        <v>5840</v>
      </c>
    </row>
    <row r="67" spans="1:15" ht="12.75" customHeight="1">
      <c r="A67" s="391" t="s">
        <v>835</v>
      </c>
      <c r="B67" s="405">
        <v>87453160</v>
      </c>
      <c r="C67" s="405">
        <v>10925490</v>
      </c>
      <c r="D67" s="405">
        <v>10925490</v>
      </c>
      <c r="E67" s="387">
        <f t="shared" si="0"/>
        <v>12.492961946715248</v>
      </c>
      <c r="F67" s="387">
        <f t="shared" si="1"/>
        <v>100</v>
      </c>
      <c r="G67" s="405">
        <f>D67-5925982</f>
        <v>4999508</v>
      </c>
      <c r="I67" s="393" t="s">
        <v>835</v>
      </c>
      <c r="J67" s="394">
        <f t="shared" si="25"/>
        <v>87453</v>
      </c>
      <c r="K67" s="394">
        <v>10926</v>
      </c>
      <c r="L67" s="394">
        <v>10926</v>
      </c>
      <c r="M67" s="395">
        <f t="shared" si="16"/>
        <v>12.492961946715248</v>
      </c>
      <c r="N67" s="395">
        <f t="shared" si="16"/>
        <v>100</v>
      </c>
      <c r="O67" s="394">
        <f aca="true" t="shared" si="26" ref="O67:O73">ROUND(G67/1000,0)</f>
        <v>5000</v>
      </c>
    </row>
    <row r="68" spans="1:15" ht="12.75" customHeight="1">
      <c r="A68" s="391" t="s">
        <v>836</v>
      </c>
      <c r="B68" s="405">
        <v>1033000</v>
      </c>
      <c r="C68" s="405">
        <v>193279</v>
      </c>
      <c r="D68" s="405">
        <v>67245.67</v>
      </c>
      <c r="E68" s="387">
        <f t="shared" si="0"/>
        <v>6.509745401742498</v>
      </c>
      <c r="F68" s="387">
        <f t="shared" si="1"/>
        <v>34.792020861035084</v>
      </c>
      <c r="G68" s="405">
        <v>24688.56</v>
      </c>
      <c r="I68" s="393" t="s">
        <v>836</v>
      </c>
      <c r="J68" s="394">
        <f t="shared" si="25"/>
        <v>1033</v>
      </c>
      <c r="K68" s="394">
        <f t="shared" si="25"/>
        <v>193</v>
      </c>
      <c r="L68" s="394">
        <f t="shared" si="25"/>
        <v>67</v>
      </c>
      <c r="M68" s="395">
        <f t="shared" si="16"/>
        <v>6.509745401742498</v>
      </c>
      <c r="N68" s="395">
        <f t="shared" si="16"/>
        <v>34.792020861035084</v>
      </c>
      <c r="O68" s="394">
        <f t="shared" si="26"/>
        <v>25</v>
      </c>
    </row>
    <row r="69" spans="1:15" ht="12.75" customHeight="1">
      <c r="A69" s="391" t="s">
        <v>658</v>
      </c>
      <c r="B69" s="405">
        <v>4138590</v>
      </c>
      <c r="C69" s="405">
        <v>710986</v>
      </c>
      <c r="D69" s="405">
        <v>797745.6</v>
      </c>
      <c r="E69" s="387">
        <f t="shared" si="0"/>
        <v>19.27578233166368</v>
      </c>
      <c r="F69" s="387">
        <f t="shared" si="1"/>
        <v>112.20271566528737</v>
      </c>
      <c r="G69" s="405">
        <v>395044.81</v>
      </c>
      <c r="I69" s="393" t="s">
        <v>658</v>
      </c>
      <c r="J69" s="394">
        <v>4138</v>
      </c>
      <c r="K69" s="394">
        <f t="shared" si="25"/>
        <v>711</v>
      </c>
      <c r="L69" s="394">
        <f t="shared" si="25"/>
        <v>798</v>
      </c>
      <c r="M69" s="395">
        <f t="shared" si="16"/>
        <v>19.27578233166368</v>
      </c>
      <c r="N69" s="395">
        <f t="shared" si="16"/>
        <v>112.20271566528737</v>
      </c>
      <c r="O69" s="394">
        <f t="shared" si="26"/>
        <v>395</v>
      </c>
    </row>
    <row r="70" spans="1:15" ht="12.75" customHeight="1">
      <c r="A70" s="391" t="s">
        <v>496</v>
      </c>
      <c r="B70" s="405">
        <v>2840580</v>
      </c>
      <c r="C70" s="405">
        <v>586332</v>
      </c>
      <c r="D70" s="405">
        <v>478125</v>
      </c>
      <c r="E70" s="387">
        <f t="shared" si="0"/>
        <v>16.831949813066345</v>
      </c>
      <c r="F70" s="387">
        <f t="shared" si="1"/>
        <v>81.5450973168785</v>
      </c>
      <c r="G70" s="405">
        <v>419610</v>
      </c>
      <c r="I70" s="393" t="s">
        <v>496</v>
      </c>
      <c r="J70" s="394">
        <f t="shared" si="25"/>
        <v>2841</v>
      </c>
      <c r="K70" s="394">
        <f t="shared" si="25"/>
        <v>586</v>
      </c>
      <c r="L70" s="394">
        <f t="shared" si="25"/>
        <v>478</v>
      </c>
      <c r="M70" s="395">
        <f t="shared" si="16"/>
        <v>16.831949813066345</v>
      </c>
      <c r="N70" s="395">
        <f t="shared" si="16"/>
        <v>81.5450973168785</v>
      </c>
      <c r="O70" s="394">
        <f t="shared" si="26"/>
        <v>420</v>
      </c>
    </row>
    <row r="71" spans="1:15" ht="12.75" customHeight="1">
      <c r="A71" s="397" t="s">
        <v>609</v>
      </c>
      <c r="B71" s="407">
        <f aca="true" t="shared" si="27" ref="B71:G71">SUM(B72:B73)</f>
        <v>95562330</v>
      </c>
      <c r="C71" s="407">
        <f t="shared" si="27"/>
        <v>12374147</v>
      </c>
      <c r="D71" s="407">
        <f t="shared" si="27"/>
        <v>11027787.15</v>
      </c>
      <c r="E71" s="387">
        <f t="shared" si="0"/>
        <v>11.539889358076556</v>
      </c>
      <c r="F71" s="387">
        <f t="shared" si="1"/>
        <v>89.1195744644055</v>
      </c>
      <c r="G71" s="407">
        <f t="shared" si="27"/>
        <v>5057590.57</v>
      </c>
      <c r="I71" s="399" t="s">
        <v>609</v>
      </c>
      <c r="J71" s="389">
        <f>J72+J73</f>
        <v>95563</v>
      </c>
      <c r="K71" s="389">
        <f>K72+K73</f>
        <v>12374</v>
      </c>
      <c r="L71" s="389">
        <f>L72+L73</f>
        <v>11028</v>
      </c>
      <c r="M71" s="390">
        <f t="shared" si="16"/>
        <v>11.539889358076556</v>
      </c>
      <c r="N71" s="390">
        <f t="shared" si="16"/>
        <v>89.1195744644055</v>
      </c>
      <c r="O71" s="389">
        <f>O72+O73</f>
        <v>5058</v>
      </c>
    </row>
    <row r="72" spans="1:15" ht="12.75" customHeight="1">
      <c r="A72" s="401" t="s">
        <v>604</v>
      </c>
      <c r="B72" s="405">
        <v>88541740</v>
      </c>
      <c r="C72" s="405">
        <v>11137772</v>
      </c>
      <c r="D72" s="405">
        <v>10101313.63</v>
      </c>
      <c r="E72" s="387">
        <f t="shared" si="0"/>
        <v>11.408533003756196</v>
      </c>
      <c r="F72" s="387">
        <f t="shared" si="1"/>
        <v>90.69420374200514</v>
      </c>
      <c r="G72" s="405">
        <v>4542726.04</v>
      </c>
      <c r="I72" s="403" t="s">
        <v>604</v>
      </c>
      <c r="J72" s="394">
        <f t="shared" si="25"/>
        <v>88542</v>
      </c>
      <c r="K72" s="394">
        <f t="shared" si="25"/>
        <v>11138</v>
      </c>
      <c r="L72" s="394">
        <f t="shared" si="25"/>
        <v>10101</v>
      </c>
      <c r="M72" s="395">
        <f t="shared" si="16"/>
        <v>11.408533003756196</v>
      </c>
      <c r="N72" s="395">
        <f t="shared" si="16"/>
        <v>90.69420374200514</v>
      </c>
      <c r="O72" s="394">
        <f t="shared" si="26"/>
        <v>4543</v>
      </c>
    </row>
    <row r="73" spans="1:15" ht="12.75" customHeight="1">
      <c r="A73" s="401" t="s">
        <v>605</v>
      </c>
      <c r="B73" s="405">
        <v>7020590</v>
      </c>
      <c r="C73" s="405">
        <v>1236375</v>
      </c>
      <c r="D73" s="405">
        <v>926473.52</v>
      </c>
      <c r="E73" s="387">
        <f t="shared" si="0"/>
        <v>13.196519380849757</v>
      </c>
      <c r="F73" s="387">
        <f t="shared" si="1"/>
        <v>74.934669497523</v>
      </c>
      <c r="G73" s="405">
        <v>514864.53</v>
      </c>
      <c r="I73" s="403" t="s">
        <v>605</v>
      </c>
      <c r="J73" s="394">
        <f t="shared" si="25"/>
        <v>7021</v>
      </c>
      <c r="K73" s="394">
        <f t="shared" si="25"/>
        <v>1236</v>
      </c>
      <c r="L73" s="394">
        <v>927</v>
      </c>
      <c r="M73" s="395">
        <f t="shared" si="16"/>
        <v>13.196519380849757</v>
      </c>
      <c r="N73" s="395">
        <f t="shared" si="16"/>
        <v>74.934669497523</v>
      </c>
      <c r="O73" s="394">
        <f t="shared" si="26"/>
        <v>515</v>
      </c>
    </row>
    <row r="74" spans="1:15" ht="12.75" customHeight="1">
      <c r="A74" s="371" t="s">
        <v>712</v>
      </c>
      <c r="B74" s="405">
        <v>48898920</v>
      </c>
      <c r="C74" s="405"/>
      <c r="D74" s="405"/>
      <c r="E74" s="387"/>
      <c r="F74" s="387"/>
      <c r="G74" s="405"/>
      <c r="I74" s="406" t="s">
        <v>712</v>
      </c>
      <c r="J74" s="394">
        <f t="shared" si="25"/>
        <v>48899</v>
      </c>
      <c r="K74" s="394"/>
      <c r="L74" s="394"/>
      <c r="M74" s="395"/>
      <c r="N74" s="395"/>
      <c r="O74" s="394"/>
    </row>
    <row r="75" spans="1:15" ht="12.75" customHeight="1">
      <c r="A75" s="371" t="s">
        <v>713</v>
      </c>
      <c r="B75" s="405">
        <v>-48995920</v>
      </c>
      <c r="C75" s="405"/>
      <c r="D75" s="405"/>
      <c r="E75" s="387"/>
      <c r="F75" s="405"/>
      <c r="G75" s="405"/>
      <c r="I75" s="406" t="s">
        <v>713</v>
      </c>
      <c r="J75" s="394">
        <f t="shared" si="25"/>
        <v>-48996</v>
      </c>
      <c r="K75" s="394"/>
      <c r="L75" s="394"/>
      <c r="M75" s="395"/>
      <c r="N75" s="395"/>
      <c r="O75" s="394"/>
    </row>
    <row r="76" spans="1:15" ht="12.75" customHeight="1">
      <c r="A76" s="397" t="s">
        <v>507</v>
      </c>
      <c r="B76" s="405"/>
      <c r="C76" s="405"/>
      <c r="D76" s="405"/>
      <c r="E76" s="405"/>
      <c r="F76" s="405"/>
      <c r="G76" s="405"/>
      <c r="I76" s="399" t="s">
        <v>507</v>
      </c>
      <c r="J76" s="405"/>
      <c r="K76" s="405"/>
      <c r="L76" s="405"/>
      <c r="M76" s="411"/>
      <c r="N76" s="411"/>
      <c r="O76" s="405"/>
    </row>
    <row r="77" spans="1:15" ht="12.75" customHeight="1">
      <c r="A77" s="391" t="s">
        <v>834</v>
      </c>
      <c r="B77" s="405">
        <f>SUM(B78:B80)</f>
        <v>88411691</v>
      </c>
      <c r="C77" s="405">
        <f>SUM(C78:C80)</f>
        <v>13343788</v>
      </c>
      <c r="D77" s="405">
        <f>SUM(D78:D80)</f>
        <v>12659728.860000001</v>
      </c>
      <c r="E77" s="387">
        <f aca="true" t="shared" si="28" ref="E77:E140">IF(ISERROR(D77/B77)," ",(D77/B77))*100</f>
        <v>14.319066536121339</v>
      </c>
      <c r="F77" s="387">
        <f aca="true" t="shared" si="29" ref="F77:F83">IF(ISERROR(D77/C77)," ",(D77/C77))*100</f>
        <v>94.87357607899646</v>
      </c>
      <c r="G77" s="405">
        <f>SUM(G78:G80)</f>
        <v>6323513.86</v>
      </c>
      <c r="I77" s="393" t="s">
        <v>834</v>
      </c>
      <c r="J77" s="394">
        <f>ROUND(B77/1000,0)</f>
        <v>88412</v>
      </c>
      <c r="K77" s="394">
        <f>K78+K79+K80</f>
        <v>13344</v>
      </c>
      <c r="L77" s="394">
        <f>L78+L79+L80</f>
        <v>12659</v>
      </c>
      <c r="M77" s="395">
        <f t="shared" si="16"/>
        <v>14.319066536121339</v>
      </c>
      <c r="N77" s="395">
        <f t="shared" si="16"/>
        <v>94.87357607899646</v>
      </c>
      <c r="O77" s="394">
        <f>O78+O79+O80</f>
        <v>6323</v>
      </c>
    </row>
    <row r="78" spans="1:15" ht="12.75" customHeight="1">
      <c r="A78" s="391" t="s">
        <v>835</v>
      </c>
      <c r="B78" s="405">
        <v>77270929</v>
      </c>
      <c r="C78" s="405">
        <v>11561232</v>
      </c>
      <c r="D78" s="405">
        <v>11561232</v>
      </c>
      <c r="E78" s="387">
        <f t="shared" si="28"/>
        <v>14.961942543747597</v>
      </c>
      <c r="F78" s="387">
        <f t="shared" si="29"/>
        <v>100</v>
      </c>
      <c r="G78" s="405">
        <f>D78-5775444</f>
        <v>5785788</v>
      </c>
      <c r="I78" s="393" t="s">
        <v>835</v>
      </c>
      <c r="J78" s="394">
        <f>ROUND(B78/1000,0)</f>
        <v>77271</v>
      </c>
      <c r="K78" s="394">
        <f aca="true" t="shared" si="30" ref="K78:L80">ROUND(C78/1000,0)</f>
        <v>11561</v>
      </c>
      <c r="L78" s="394">
        <f t="shared" si="30"/>
        <v>11561</v>
      </c>
      <c r="M78" s="395">
        <f t="shared" si="16"/>
        <v>14.961942543747597</v>
      </c>
      <c r="N78" s="395">
        <f t="shared" si="16"/>
        <v>100</v>
      </c>
      <c r="O78" s="394">
        <f>ROUND(G78/1000,0)</f>
        <v>5786</v>
      </c>
    </row>
    <row r="79" spans="1:15" ht="12.75" customHeight="1">
      <c r="A79" s="391" t="s">
        <v>658</v>
      </c>
      <c r="B79" s="405">
        <v>7779610</v>
      </c>
      <c r="C79" s="405">
        <v>1415724</v>
      </c>
      <c r="D79" s="405">
        <v>1082147.21</v>
      </c>
      <c r="E79" s="387">
        <f t="shared" si="28"/>
        <v>13.910044462383075</v>
      </c>
      <c r="F79" s="387">
        <f t="shared" si="29"/>
        <v>76.43772444346497</v>
      </c>
      <c r="G79" s="405">
        <v>521376.21</v>
      </c>
      <c r="I79" s="393" t="s">
        <v>658</v>
      </c>
      <c r="J79" s="394">
        <f>ROUND(B79/1000,0)</f>
        <v>7780</v>
      </c>
      <c r="K79" s="394">
        <f t="shared" si="30"/>
        <v>1416</v>
      </c>
      <c r="L79" s="394">
        <f t="shared" si="30"/>
        <v>1082</v>
      </c>
      <c r="M79" s="395">
        <f t="shared" si="16"/>
        <v>13.910044462383075</v>
      </c>
      <c r="N79" s="395">
        <f t="shared" si="16"/>
        <v>76.43772444346497</v>
      </c>
      <c r="O79" s="394">
        <f>ROUND(G79/1000,0)</f>
        <v>521</v>
      </c>
    </row>
    <row r="80" spans="1:15" ht="12.75" customHeight="1">
      <c r="A80" s="391" t="s">
        <v>496</v>
      </c>
      <c r="B80" s="405">
        <v>3361152</v>
      </c>
      <c r="C80" s="405">
        <v>366832</v>
      </c>
      <c r="D80" s="405">
        <v>16349.65</v>
      </c>
      <c r="E80" s="387">
        <f t="shared" si="28"/>
        <v>0.4864299502075479</v>
      </c>
      <c r="F80" s="387">
        <f t="shared" si="29"/>
        <v>4.456985759148601</v>
      </c>
      <c r="G80" s="405">
        <f>16349.65</f>
        <v>16349.65</v>
      </c>
      <c r="I80" s="393" t="s">
        <v>496</v>
      </c>
      <c r="J80" s="394">
        <f>ROUND(B80/1000,0)</f>
        <v>3361</v>
      </c>
      <c r="K80" s="394">
        <f t="shared" si="30"/>
        <v>367</v>
      </c>
      <c r="L80" s="394">
        <f t="shared" si="30"/>
        <v>16</v>
      </c>
      <c r="M80" s="395">
        <f t="shared" si="16"/>
        <v>0.4864299502075479</v>
      </c>
      <c r="N80" s="395">
        <f t="shared" si="16"/>
        <v>4.456985759148601</v>
      </c>
      <c r="O80" s="394">
        <f>ROUND(G80/1000,0)</f>
        <v>16</v>
      </c>
    </row>
    <row r="81" spans="1:15" ht="12.75" customHeight="1">
      <c r="A81" s="397" t="s">
        <v>609</v>
      </c>
      <c r="B81" s="407">
        <f aca="true" t="shared" si="31" ref="B81:G81">SUM(B82:B83)</f>
        <v>88411691</v>
      </c>
      <c r="C81" s="407">
        <f t="shared" si="31"/>
        <v>13343788</v>
      </c>
      <c r="D81" s="407">
        <f t="shared" si="31"/>
        <v>12616158.54</v>
      </c>
      <c r="E81" s="387">
        <f t="shared" si="28"/>
        <v>14.269785361304763</v>
      </c>
      <c r="F81" s="387">
        <f t="shared" si="29"/>
        <v>94.54705470440626</v>
      </c>
      <c r="G81" s="407">
        <f t="shared" si="31"/>
        <v>6375098.57</v>
      </c>
      <c r="I81" s="399" t="s">
        <v>609</v>
      </c>
      <c r="J81" s="389">
        <f>J82+J83</f>
        <v>88411</v>
      </c>
      <c r="K81" s="389">
        <f>K82+K83</f>
        <v>13343</v>
      </c>
      <c r="L81" s="389">
        <f>L82+L83</f>
        <v>12617</v>
      </c>
      <c r="M81" s="390">
        <f t="shared" si="16"/>
        <v>14.269785361304763</v>
      </c>
      <c r="N81" s="390">
        <f t="shared" si="16"/>
        <v>94.54705470440626</v>
      </c>
      <c r="O81" s="389">
        <f>O82+O83</f>
        <v>6375</v>
      </c>
    </row>
    <row r="82" spans="1:15" ht="12.75" customHeight="1">
      <c r="A82" s="401" t="s">
        <v>604</v>
      </c>
      <c r="B82" s="405">
        <v>74053323</v>
      </c>
      <c r="C82" s="405">
        <v>12199586</v>
      </c>
      <c r="D82" s="405">
        <v>11892539.43</v>
      </c>
      <c r="E82" s="387">
        <f t="shared" si="28"/>
        <v>16.059427110380987</v>
      </c>
      <c r="F82" s="387">
        <f t="shared" si="29"/>
        <v>97.48313942784615</v>
      </c>
      <c r="G82" s="405">
        <v>5991917.65</v>
      </c>
      <c r="I82" s="403" t="s">
        <v>604</v>
      </c>
      <c r="J82" s="394">
        <f>ROUND(B82/1000,0)</f>
        <v>74053</v>
      </c>
      <c r="K82" s="394">
        <v>12199</v>
      </c>
      <c r="L82" s="394">
        <f>ROUND(D82/1000,0)</f>
        <v>11893</v>
      </c>
      <c r="M82" s="395">
        <f t="shared" si="16"/>
        <v>16.059427110380987</v>
      </c>
      <c r="N82" s="395">
        <f t="shared" si="16"/>
        <v>97.48313942784615</v>
      </c>
      <c r="O82" s="394">
        <f>ROUND(G82/1000,0)</f>
        <v>5992</v>
      </c>
    </row>
    <row r="83" spans="1:15" ht="12.75" customHeight="1">
      <c r="A83" s="401" t="s">
        <v>605</v>
      </c>
      <c r="B83" s="405">
        <v>14358368</v>
      </c>
      <c r="C83" s="405">
        <v>1144202</v>
      </c>
      <c r="D83" s="405">
        <v>723619.11</v>
      </c>
      <c r="E83" s="387">
        <f t="shared" si="28"/>
        <v>5.039703049817361</v>
      </c>
      <c r="F83" s="387">
        <f t="shared" si="29"/>
        <v>63.242251805188246</v>
      </c>
      <c r="G83" s="405">
        <v>383180.92</v>
      </c>
      <c r="I83" s="403" t="s">
        <v>605</v>
      </c>
      <c r="J83" s="394">
        <f>ROUND(B83/1000,0)</f>
        <v>14358</v>
      </c>
      <c r="K83" s="394">
        <f>ROUND(C83/1000,0)</f>
        <v>1144</v>
      </c>
      <c r="L83" s="394">
        <f>ROUND(D83/1000,0)</f>
        <v>724</v>
      </c>
      <c r="M83" s="395">
        <f t="shared" si="16"/>
        <v>5.039703049817361</v>
      </c>
      <c r="N83" s="395">
        <f t="shared" si="16"/>
        <v>63.242251805188246</v>
      </c>
      <c r="O83" s="394">
        <f>ROUND(G83/1000,0)</f>
        <v>383</v>
      </c>
    </row>
    <row r="84" spans="1:15" ht="12.75" customHeight="1">
      <c r="A84" s="220" t="s">
        <v>508</v>
      </c>
      <c r="B84" s="405"/>
      <c r="C84" s="405"/>
      <c r="D84" s="405"/>
      <c r="E84" s="387"/>
      <c r="F84" s="405"/>
      <c r="G84" s="405"/>
      <c r="I84" s="408" t="s">
        <v>508</v>
      </c>
      <c r="J84" s="405"/>
      <c r="K84" s="405"/>
      <c r="L84" s="405"/>
      <c r="M84" s="411"/>
      <c r="N84" s="411"/>
      <c r="O84" s="405"/>
    </row>
    <row r="85" spans="1:15" ht="12.75" customHeight="1">
      <c r="A85" s="391" t="s">
        <v>834</v>
      </c>
      <c r="B85" s="405">
        <f aca="true" t="shared" si="32" ref="B85:G85">SUM(B86:B89)</f>
        <v>79799585</v>
      </c>
      <c r="C85" s="405">
        <f t="shared" si="32"/>
        <v>14599942</v>
      </c>
      <c r="D85" s="405">
        <f t="shared" si="32"/>
        <v>14912623.98</v>
      </c>
      <c r="E85" s="387">
        <f t="shared" si="28"/>
        <v>18.687595906670442</v>
      </c>
      <c r="F85" s="387">
        <f aca="true" t="shared" si="33" ref="F85:F92">IF(ISERROR(D85/C85)," ",(D85/C85))*100</f>
        <v>102.14166590524812</v>
      </c>
      <c r="G85" s="405">
        <f t="shared" si="32"/>
        <v>8422595.57</v>
      </c>
      <c r="I85" s="393" t="s">
        <v>834</v>
      </c>
      <c r="J85" s="394">
        <f>ROUND(B85/1000,0)</f>
        <v>79800</v>
      </c>
      <c r="K85" s="394">
        <f>K86+K87+K88+K89</f>
        <v>14600</v>
      </c>
      <c r="L85" s="394">
        <f>L86+L87+L88+L89</f>
        <v>14913</v>
      </c>
      <c r="M85" s="395">
        <f t="shared" si="16"/>
        <v>18.687595906670442</v>
      </c>
      <c r="N85" s="395">
        <f t="shared" si="16"/>
        <v>102.14166590524812</v>
      </c>
      <c r="O85" s="394">
        <f>O86+O87+O88+O89</f>
        <v>8423</v>
      </c>
    </row>
    <row r="86" spans="1:15" ht="12.75" customHeight="1">
      <c r="A86" s="391" t="s">
        <v>835</v>
      </c>
      <c r="B86" s="405">
        <v>56294148</v>
      </c>
      <c r="C86" s="405">
        <v>9541007</v>
      </c>
      <c r="D86" s="405">
        <v>9541007</v>
      </c>
      <c r="E86" s="387">
        <f t="shared" si="28"/>
        <v>16.948488144806813</v>
      </c>
      <c r="F86" s="387">
        <f t="shared" si="33"/>
        <v>100</v>
      </c>
      <c r="G86" s="405">
        <f>D86-4377012</f>
        <v>5163995</v>
      </c>
      <c r="I86" s="393" t="s">
        <v>835</v>
      </c>
      <c r="J86" s="394">
        <f>ROUND(B86/1000,0)</f>
        <v>56294</v>
      </c>
      <c r="K86" s="394">
        <f aca="true" t="shared" si="34" ref="K86:L89">ROUND(C86/1000,0)</f>
        <v>9541</v>
      </c>
      <c r="L86" s="394">
        <f t="shared" si="34"/>
        <v>9541</v>
      </c>
      <c r="M86" s="395">
        <f t="shared" si="16"/>
        <v>16.948488144806813</v>
      </c>
      <c r="N86" s="395">
        <f t="shared" si="16"/>
        <v>100</v>
      </c>
      <c r="O86" s="394">
        <f>ROUND(G86/1000,0)</f>
        <v>5164</v>
      </c>
    </row>
    <row r="87" spans="1:15" ht="12.75" customHeight="1">
      <c r="A87" s="391" t="s">
        <v>836</v>
      </c>
      <c r="B87" s="405">
        <v>2311000</v>
      </c>
      <c r="C87" s="405">
        <v>159000</v>
      </c>
      <c r="D87" s="405">
        <v>68507.97</v>
      </c>
      <c r="E87" s="387">
        <f t="shared" si="28"/>
        <v>2.9644296841194286</v>
      </c>
      <c r="F87" s="387">
        <f t="shared" si="33"/>
        <v>43.086773584905664</v>
      </c>
      <c r="G87" s="405">
        <v>56138.05</v>
      </c>
      <c r="I87" s="393" t="s">
        <v>836</v>
      </c>
      <c r="J87" s="394">
        <f>ROUND(B87/1000,0)</f>
        <v>2311</v>
      </c>
      <c r="K87" s="394">
        <f t="shared" si="34"/>
        <v>159</v>
      </c>
      <c r="L87" s="394">
        <f t="shared" si="34"/>
        <v>69</v>
      </c>
      <c r="M87" s="395">
        <f t="shared" si="16"/>
        <v>2.9644296841194286</v>
      </c>
      <c r="N87" s="395">
        <f t="shared" si="16"/>
        <v>43.086773584905664</v>
      </c>
      <c r="O87" s="394">
        <f>ROUND(G87/1000,0)</f>
        <v>56</v>
      </c>
    </row>
    <row r="88" spans="1:15" ht="12.75" customHeight="1">
      <c r="A88" s="391" t="s">
        <v>658</v>
      </c>
      <c r="B88" s="405">
        <v>18428228</v>
      </c>
      <c r="C88" s="405">
        <v>2934306</v>
      </c>
      <c r="D88" s="405">
        <v>4100105.01</v>
      </c>
      <c r="E88" s="387">
        <f t="shared" si="28"/>
        <v>22.249046462850362</v>
      </c>
      <c r="F88" s="387">
        <f t="shared" si="33"/>
        <v>139.72997396999494</v>
      </c>
      <c r="G88" s="405">
        <v>1999458.52</v>
      </c>
      <c r="I88" s="393" t="s">
        <v>658</v>
      </c>
      <c r="J88" s="394">
        <f>ROUND(B88/1000,0)</f>
        <v>18428</v>
      </c>
      <c r="K88" s="394">
        <f t="shared" si="34"/>
        <v>2934</v>
      </c>
      <c r="L88" s="394">
        <f t="shared" si="34"/>
        <v>4100</v>
      </c>
      <c r="M88" s="395">
        <f t="shared" si="16"/>
        <v>22.249046462850362</v>
      </c>
      <c r="N88" s="395">
        <f t="shared" si="16"/>
        <v>139.72997396999494</v>
      </c>
      <c r="O88" s="394">
        <v>2000</v>
      </c>
    </row>
    <row r="89" spans="1:15" ht="12.75" customHeight="1">
      <c r="A89" s="391" t="s">
        <v>496</v>
      </c>
      <c r="B89" s="405">
        <v>2766209</v>
      </c>
      <c r="C89" s="405">
        <v>1965629</v>
      </c>
      <c r="D89" s="405">
        <v>1203004</v>
      </c>
      <c r="E89" s="387">
        <f t="shared" si="28"/>
        <v>43.48926635695278</v>
      </c>
      <c r="F89" s="387">
        <f t="shared" si="33"/>
        <v>61.20198674317483</v>
      </c>
      <c r="G89" s="405">
        <v>1203004</v>
      </c>
      <c r="I89" s="393" t="s">
        <v>496</v>
      </c>
      <c r="J89" s="394">
        <f>ROUND(B89/1000,0)</f>
        <v>2766</v>
      </c>
      <c r="K89" s="394">
        <f t="shared" si="34"/>
        <v>1966</v>
      </c>
      <c r="L89" s="394">
        <f t="shared" si="34"/>
        <v>1203</v>
      </c>
      <c r="M89" s="395">
        <f t="shared" si="16"/>
        <v>43.48926635695278</v>
      </c>
      <c r="N89" s="395">
        <f t="shared" si="16"/>
        <v>61.20198674317483</v>
      </c>
      <c r="O89" s="394">
        <f>ROUND(G89/1000,0)</f>
        <v>1203</v>
      </c>
    </row>
    <row r="90" spans="1:15" ht="12.75" customHeight="1">
      <c r="A90" s="397" t="s">
        <v>609</v>
      </c>
      <c r="B90" s="407">
        <f aca="true" t="shared" si="35" ref="B90:G90">SUM(B91:B92)</f>
        <v>79799585</v>
      </c>
      <c r="C90" s="407">
        <f t="shared" si="35"/>
        <v>14599942</v>
      </c>
      <c r="D90" s="407">
        <f t="shared" si="35"/>
        <v>11487372.81</v>
      </c>
      <c r="E90" s="387">
        <f t="shared" si="28"/>
        <v>14.395278885222274</v>
      </c>
      <c r="F90" s="387">
        <f t="shared" si="33"/>
        <v>78.68094825308211</v>
      </c>
      <c r="G90" s="407">
        <f t="shared" si="35"/>
        <v>6831594.66</v>
      </c>
      <c r="I90" s="399" t="s">
        <v>609</v>
      </c>
      <c r="J90" s="389">
        <f>J91+J92</f>
        <v>79800</v>
      </c>
      <c r="K90" s="389">
        <f>K91+K92</f>
        <v>14600</v>
      </c>
      <c r="L90" s="389">
        <f>L91+L92</f>
        <v>11487</v>
      </c>
      <c r="M90" s="390">
        <f t="shared" si="16"/>
        <v>14.395278885222274</v>
      </c>
      <c r="N90" s="390">
        <f t="shared" si="16"/>
        <v>78.68094825308211</v>
      </c>
      <c r="O90" s="389">
        <f>O91+O92</f>
        <v>6832</v>
      </c>
    </row>
    <row r="91" spans="1:15" ht="12.75" customHeight="1">
      <c r="A91" s="401" t="s">
        <v>604</v>
      </c>
      <c r="B91" s="405">
        <v>73110630</v>
      </c>
      <c r="C91" s="405">
        <v>13946465</v>
      </c>
      <c r="D91" s="405">
        <v>11239389.46</v>
      </c>
      <c r="E91" s="387">
        <f t="shared" si="28"/>
        <v>15.373126260846066</v>
      </c>
      <c r="F91" s="387">
        <f t="shared" si="33"/>
        <v>80.58952186091601</v>
      </c>
      <c r="G91" s="405">
        <v>6663761.66</v>
      </c>
      <c r="I91" s="403" t="s">
        <v>604</v>
      </c>
      <c r="J91" s="394">
        <f>ROUND(B91/1000,0)</f>
        <v>73111</v>
      </c>
      <c r="K91" s="394">
        <f>ROUND(C91/1000,0)</f>
        <v>13946</v>
      </c>
      <c r="L91" s="394">
        <f>ROUND(D91/1000,0)</f>
        <v>11239</v>
      </c>
      <c r="M91" s="395">
        <f t="shared" si="16"/>
        <v>15.373126260846066</v>
      </c>
      <c r="N91" s="395">
        <f t="shared" si="16"/>
        <v>80.58952186091601</v>
      </c>
      <c r="O91" s="394">
        <f>ROUND(G91/1000,0)</f>
        <v>6664</v>
      </c>
    </row>
    <row r="92" spans="1:15" ht="12.75" customHeight="1">
      <c r="A92" s="401" t="s">
        <v>605</v>
      </c>
      <c r="B92" s="405">
        <v>6688955</v>
      </c>
      <c r="C92" s="405">
        <v>653477</v>
      </c>
      <c r="D92" s="405">
        <v>247983.35</v>
      </c>
      <c r="E92" s="387">
        <f t="shared" si="28"/>
        <v>3.70735563327904</v>
      </c>
      <c r="F92" s="387">
        <f t="shared" si="33"/>
        <v>37.94829045245663</v>
      </c>
      <c r="G92" s="405">
        <v>167833</v>
      </c>
      <c r="I92" s="403" t="s">
        <v>605</v>
      </c>
      <c r="J92" s="394">
        <f>ROUND(B92/1000,0)</f>
        <v>6689</v>
      </c>
      <c r="K92" s="394">
        <v>654</v>
      </c>
      <c r="L92" s="394">
        <f>ROUND(D92/1000,0)</f>
        <v>248</v>
      </c>
      <c r="M92" s="395">
        <f t="shared" si="16"/>
        <v>3.70735563327904</v>
      </c>
      <c r="N92" s="395">
        <f t="shared" si="16"/>
        <v>37.94829045245663</v>
      </c>
      <c r="O92" s="394">
        <f>ROUND(G92/1000,0)</f>
        <v>168</v>
      </c>
    </row>
    <row r="93" spans="1:15" ht="12.75" customHeight="1">
      <c r="A93" s="397" t="s">
        <v>509</v>
      </c>
      <c r="B93" s="405"/>
      <c r="C93" s="405"/>
      <c r="D93" s="405"/>
      <c r="E93" s="405"/>
      <c r="F93" s="405"/>
      <c r="G93" s="405"/>
      <c r="I93" s="399" t="s">
        <v>509</v>
      </c>
      <c r="J93" s="405"/>
      <c r="K93" s="405"/>
      <c r="L93" s="405"/>
      <c r="M93" s="411"/>
      <c r="N93" s="411"/>
      <c r="O93" s="405"/>
    </row>
    <row r="94" spans="1:15" ht="12.75" customHeight="1">
      <c r="A94" s="391" t="s">
        <v>834</v>
      </c>
      <c r="B94" s="405">
        <f aca="true" t="shared" si="36" ref="B94:G94">SUM(B95:B97)</f>
        <v>76198416</v>
      </c>
      <c r="C94" s="405">
        <f t="shared" si="36"/>
        <v>9541205</v>
      </c>
      <c r="D94" s="405">
        <f t="shared" si="36"/>
        <v>9034221.2</v>
      </c>
      <c r="E94" s="387">
        <f t="shared" si="28"/>
        <v>11.856179792503822</v>
      </c>
      <c r="F94" s="387">
        <f aca="true" t="shared" si="37" ref="F94:F100">IF(ISERROR(D94/C94)," ",(D94/C94))*100</f>
        <v>94.6863755678659</v>
      </c>
      <c r="G94" s="405">
        <f t="shared" si="36"/>
        <v>4238371.45</v>
      </c>
      <c r="I94" s="393" t="s">
        <v>834</v>
      </c>
      <c r="J94" s="394">
        <f>ROUND(B94/1000,0)</f>
        <v>76198</v>
      </c>
      <c r="K94" s="394">
        <f>K95+K96+K97</f>
        <v>9541</v>
      </c>
      <c r="L94" s="394">
        <f>ROUND(D94/1000,0)</f>
        <v>9034</v>
      </c>
      <c r="M94" s="395">
        <f t="shared" si="16"/>
        <v>11.856179792503822</v>
      </c>
      <c r="N94" s="395">
        <f t="shared" si="16"/>
        <v>94.6863755678659</v>
      </c>
      <c r="O94" s="394">
        <f>ROUND(G94/1000,0)</f>
        <v>4238</v>
      </c>
    </row>
    <row r="95" spans="1:15" ht="12.75" customHeight="1">
      <c r="A95" s="391" t="s">
        <v>835</v>
      </c>
      <c r="B95" s="405">
        <v>53338265</v>
      </c>
      <c r="C95" s="405">
        <v>7820408</v>
      </c>
      <c r="D95" s="405">
        <v>7820408</v>
      </c>
      <c r="E95" s="387">
        <f t="shared" si="28"/>
        <v>14.661909231580742</v>
      </c>
      <c r="F95" s="387">
        <f t="shared" si="37"/>
        <v>100</v>
      </c>
      <c r="G95" s="405">
        <f>D95-4234971</f>
        <v>3585437</v>
      </c>
      <c r="I95" s="393" t="s">
        <v>835</v>
      </c>
      <c r="J95" s="394">
        <f>ROUND(B95/1000,0)</f>
        <v>53338</v>
      </c>
      <c r="K95" s="394">
        <f>ROUND(C95/1000,0)</f>
        <v>7820</v>
      </c>
      <c r="L95" s="394">
        <f>ROUND(D95/1000,0)</f>
        <v>7820</v>
      </c>
      <c r="M95" s="395">
        <f t="shared" si="16"/>
        <v>14.661909231580742</v>
      </c>
      <c r="N95" s="395">
        <f t="shared" si="16"/>
        <v>100</v>
      </c>
      <c r="O95" s="394">
        <f>ROUND(G95/1000,0)</f>
        <v>3585</v>
      </c>
    </row>
    <row r="96" spans="1:15" ht="12.75" customHeight="1">
      <c r="A96" s="391" t="s">
        <v>658</v>
      </c>
      <c r="B96" s="405">
        <v>6626721</v>
      </c>
      <c r="C96" s="405">
        <v>1033766</v>
      </c>
      <c r="D96" s="405">
        <v>1169746.6</v>
      </c>
      <c r="E96" s="387">
        <f t="shared" si="28"/>
        <v>17.65196693809804</v>
      </c>
      <c r="F96" s="387">
        <f t="shared" si="37"/>
        <v>113.15390523580773</v>
      </c>
      <c r="G96" s="405">
        <v>609676.99</v>
      </c>
      <c r="I96" s="393" t="s">
        <v>658</v>
      </c>
      <c r="J96" s="394">
        <f>ROUND(B96/1000,0)</f>
        <v>6627</v>
      </c>
      <c r="K96" s="394">
        <f>ROUND(C96/1000,0)</f>
        <v>1034</v>
      </c>
      <c r="L96" s="394">
        <f>ROUND(D96/1000,0)</f>
        <v>1170</v>
      </c>
      <c r="M96" s="395">
        <f t="shared" si="16"/>
        <v>17.65196693809804</v>
      </c>
      <c r="N96" s="395">
        <f t="shared" si="16"/>
        <v>113.15390523580773</v>
      </c>
      <c r="O96" s="394">
        <f>ROUND(G96/1000,0)</f>
        <v>610</v>
      </c>
    </row>
    <row r="97" spans="1:15" ht="12.75" customHeight="1">
      <c r="A97" s="391" t="s">
        <v>496</v>
      </c>
      <c r="B97" s="405">
        <v>16233430</v>
      </c>
      <c r="C97" s="405">
        <v>687031</v>
      </c>
      <c r="D97" s="405">
        <v>44066.6</v>
      </c>
      <c r="E97" s="387">
        <f t="shared" si="28"/>
        <v>0.2714558783941533</v>
      </c>
      <c r="F97" s="387">
        <f t="shared" si="37"/>
        <v>6.414062829770417</v>
      </c>
      <c r="G97" s="405">
        <v>43257.46</v>
      </c>
      <c r="I97" s="393" t="s">
        <v>496</v>
      </c>
      <c r="J97" s="394">
        <v>16234</v>
      </c>
      <c r="K97" s="394">
        <f>ROUND(C97/1000,0)</f>
        <v>687</v>
      </c>
      <c r="L97" s="394">
        <f>ROUND(D97/1000,0)</f>
        <v>44</v>
      </c>
      <c r="M97" s="395">
        <f t="shared" si="16"/>
        <v>0.2714558783941533</v>
      </c>
      <c r="N97" s="395">
        <f t="shared" si="16"/>
        <v>6.414062829770417</v>
      </c>
      <c r="O97" s="394">
        <f>ROUND(G97/1000,0)</f>
        <v>43</v>
      </c>
    </row>
    <row r="98" spans="1:15" ht="12.75" customHeight="1">
      <c r="A98" s="397" t="s">
        <v>609</v>
      </c>
      <c r="B98" s="407">
        <f aca="true" t="shared" si="38" ref="B98:G98">SUM(B99:B100)</f>
        <v>76198416</v>
      </c>
      <c r="C98" s="407">
        <f t="shared" si="38"/>
        <v>9541205</v>
      </c>
      <c r="D98" s="407">
        <f t="shared" si="38"/>
        <v>8090543.3100000005</v>
      </c>
      <c r="E98" s="387">
        <f t="shared" si="28"/>
        <v>10.617731620562822</v>
      </c>
      <c r="F98" s="387">
        <f t="shared" si="37"/>
        <v>84.79582306427753</v>
      </c>
      <c r="G98" s="407">
        <f t="shared" si="38"/>
        <v>3691693.06</v>
      </c>
      <c r="I98" s="399" t="s">
        <v>609</v>
      </c>
      <c r="J98" s="389">
        <f>J99+J100</f>
        <v>76198</v>
      </c>
      <c r="K98" s="389">
        <f>K99+K100</f>
        <v>9541</v>
      </c>
      <c r="L98" s="389">
        <f>L99+L100</f>
        <v>8090</v>
      </c>
      <c r="M98" s="390">
        <f t="shared" si="16"/>
        <v>10.617731620562822</v>
      </c>
      <c r="N98" s="390">
        <f t="shared" si="16"/>
        <v>84.79582306427753</v>
      </c>
      <c r="O98" s="389">
        <f>O99+O100</f>
        <v>3691</v>
      </c>
    </row>
    <row r="99" spans="1:15" ht="12.75" customHeight="1">
      <c r="A99" s="401" t="s">
        <v>604</v>
      </c>
      <c r="B99" s="405">
        <v>71241725</v>
      </c>
      <c r="C99" s="405">
        <v>8495031</v>
      </c>
      <c r="D99" s="405">
        <v>7687328.03</v>
      </c>
      <c r="E99" s="387">
        <f t="shared" si="28"/>
        <v>10.790485533583023</v>
      </c>
      <c r="F99" s="387">
        <f t="shared" si="37"/>
        <v>90.49205388420596</v>
      </c>
      <c r="G99" s="405">
        <v>3449345.81</v>
      </c>
      <c r="I99" s="403" t="s">
        <v>604</v>
      </c>
      <c r="J99" s="394">
        <v>71241</v>
      </c>
      <c r="K99" s="394">
        <f>ROUND(C99/1000,0)</f>
        <v>8495</v>
      </c>
      <c r="L99" s="394">
        <f>ROUND(D99/1000,0)</f>
        <v>7687</v>
      </c>
      <c r="M99" s="395">
        <f t="shared" si="16"/>
        <v>10.790485533583023</v>
      </c>
      <c r="N99" s="395">
        <f t="shared" si="16"/>
        <v>90.49205388420596</v>
      </c>
      <c r="O99" s="394">
        <f>ROUND(G99/1000,0)</f>
        <v>3449</v>
      </c>
    </row>
    <row r="100" spans="1:15" ht="12.75" customHeight="1">
      <c r="A100" s="401" t="s">
        <v>605</v>
      </c>
      <c r="B100" s="405">
        <v>4956691</v>
      </c>
      <c r="C100" s="405">
        <v>1046174</v>
      </c>
      <c r="D100" s="405">
        <v>403215.28</v>
      </c>
      <c r="E100" s="387">
        <f t="shared" si="28"/>
        <v>8.13476732763854</v>
      </c>
      <c r="F100" s="387">
        <f t="shared" si="37"/>
        <v>38.54189456056068</v>
      </c>
      <c r="G100" s="405">
        <v>242347.25</v>
      </c>
      <c r="I100" s="403" t="s">
        <v>605</v>
      </c>
      <c r="J100" s="394">
        <f>ROUND(B100/1000,0)</f>
        <v>4957</v>
      </c>
      <c r="K100" s="394">
        <f>ROUND(C100/1000,0)</f>
        <v>1046</v>
      </c>
      <c r="L100" s="394">
        <f>ROUND(D100/1000,0)</f>
        <v>403</v>
      </c>
      <c r="M100" s="395">
        <f t="shared" si="16"/>
        <v>8.13476732763854</v>
      </c>
      <c r="N100" s="395">
        <f t="shared" si="16"/>
        <v>38.54189456056068</v>
      </c>
      <c r="O100" s="394">
        <f>ROUND(G100/1000,0)</f>
        <v>242</v>
      </c>
    </row>
    <row r="101" spans="1:15" ht="12.75" customHeight="1">
      <c r="A101" s="397" t="s">
        <v>510</v>
      </c>
      <c r="B101" s="405"/>
      <c r="C101" s="405"/>
      <c r="D101" s="405"/>
      <c r="E101" s="405"/>
      <c r="F101" s="405"/>
      <c r="G101" s="405"/>
      <c r="I101" s="399" t="s">
        <v>510</v>
      </c>
      <c r="J101" s="405"/>
      <c r="K101" s="405"/>
      <c r="L101" s="405"/>
      <c r="M101" s="411"/>
      <c r="N101" s="411"/>
      <c r="O101" s="405"/>
    </row>
    <row r="102" spans="1:15" ht="12.75" customHeight="1">
      <c r="A102" s="391" t="s">
        <v>834</v>
      </c>
      <c r="B102" s="405">
        <f aca="true" t="shared" si="39" ref="B102:G102">SUM(B103:B105)</f>
        <v>17518289</v>
      </c>
      <c r="C102" s="405">
        <f>C103+C104+C105</f>
        <v>1306949</v>
      </c>
      <c r="D102" s="405">
        <f t="shared" si="39"/>
        <v>1295137.6400000001</v>
      </c>
      <c r="E102" s="387">
        <f t="shared" si="28"/>
        <v>7.393060132756116</v>
      </c>
      <c r="F102" s="387">
        <f aca="true" t="shared" si="40" ref="F102:F108">IF(ISERROR(D102/C102)," ",(D102/C102))*100</f>
        <v>99.09626465914127</v>
      </c>
      <c r="G102" s="405">
        <f t="shared" si="39"/>
        <v>659079.62</v>
      </c>
      <c r="I102" s="393" t="s">
        <v>834</v>
      </c>
      <c r="J102" s="394">
        <f>ROUND(B102/1000,0)</f>
        <v>17518</v>
      </c>
      <c r="K102" s="394">
        <f>K103+K104+K105</f>
        <v>1308</v>
      </c>
      <c r="L102" s="394">
        <f>L103+L104+L105</f>
        <v>1296</v>
      </c>
      <c r="M102" s="395">
        <f t="shared" si="16"/>
        <v>7.393060132756116</v>
      </c>
      <c r="N102" s="395">
        <f t="shared" si="16"/>
        <v>99.09626465914127</v>
      </c>
      <c r="O102" s="394">
        <f>O103+O104+O105</f>
        <v>659</v>
      </c>
    </row>
    <row r="103" spans="1:15" ht="12.75" customHeight="1">
      <c r="A103" s="391" t="s">
        <v>835</v>
      </c>
      <c r="B103" s="405">
        <v>9585836</v>
      </c>
      <c r="C103" s="405">
        <v>1203515</v>
      </c>
      <c r="D103" s="405">
        <v>1203515</v>
      </c>
      <c r="E103" s="387">
        <f t="shared" si="28"/>
        <v>12.55513864414121</v>
      </c>
      <c r="F103" s="387">
        <f t="shared" si="40"/>
        <v>100</v>
      </c>
      <c r="G103" s="405">
        <f>D103-572172</f>
        <v>631343</v>
      </c>
      <c r="I103" s="393" t="s">
        <v>835</v>
      </c>
      <c r="J103" s="394">
        <f>ROUND(B103/1000,0)</f>
        <v>9586</v>
      </c>
      <c r="K103" s="394">
        <f>ROUND(C103/1000,0)</f>
        <v>1204</v>
      </c>
      <c r="L103" s="394">
        <f>ROUND(D103/1000,0)</f>
        <v>1204</v>
      </c>
      <c r="M103" s="395">
        <f t="shared" si="16"/>
        <v>12.55513864414121</v>
      </c>
      <c r="N103" s="395">
        <f t="shared" si="16"/>
        <v>100</v>
      </c>
      <c r="O103" s="394">
        <f>ROUND(G103/1000,0)</f>
        <v>631</v>
      </c>
    </row>
    <row r="104" spans="1:15" ht="12.75" customHeight="1">
      <c r="A104" s="391" t="s">
        <v>658</v>
      </c>
      <c r="B104" s="405">
        <v>58722</v>
      </c>
      <c r="C104" s="405">
        <v>9784</v>
      </c>
      <c r="D104" s="405">
        <v>1139.27</v>
      </c>
      <c r="E104" s="387">
        <f t="shared" si="28"/>
        <v>1.9401076257620653</v>
      </c>
      <c r="F104" s="387">
        <f t="shared" si="40"/>
        <v>11.644215044971382</v>
      </c>
      <c r="G104" s="405">
        <v>62.73</v>
      </c>
      <c r="I104" s="393" t="s">
        <v>658</v>
      </c>
      <c r="J104" s="394">
        <f>ROUND(B104/1000,0)</f>
        <v>59</v>
      </c>
      <c r="K104" s="394">
        <f>ROUND(C104/1000,0)</f>
        <v>10</v>
      </c>
      <c r="L104" s="394">
        <f>ROUND(D104/1000,0)</f>
        <v>1</v>
      </c>
      <c r="M104" s="395">
        <f t="shared" si="16"/>
        <v>1.9401076257620653</v>
      </c>
      <c r="N104" s="395">
        <f t="shared" si="16"/>
        <v>11.644215044971382</v>
      </c>
      <c r="O104" s="394">
        <f>ROUND(G104/1000,0)</f>
        <v>0</v>
      </c>
    </row>
    <row r="105" spans="1:15" ht="12.75" customHeight="1">
      <c r="A105" s="391" t="s">
        <v>496</v>
      </c>
      <c r="B105" s="405">
        <v>7873731</v>
      </c>
      <c r="C105" s="405">
        <v>93650</v>
      </c>
      <c r="D105" s="405">
        <v>90483.37</v>
      </c>
      <c r="E105" s="387">
        <f t="shared" si="28"/>
        <v>1.1491803568092434</v>
      </c>
      <c r="F105" s="387">
        <f t="shared" si="40"/>
        <v>96.61865456486919</v>
      </c>
      <c r="G105" s="405">
        <v>27673.89</v>
      </c>
      <c r="I105" s="393" t="s">
        <v>496</v>
      </c>
      <c r="J105" s="394">
        <f>ROUND(B105/1000,0)</f>
        <v>7874</v>
      </c>
      <c r="K105" s="394">
        <f>ROUND(C105/1000,0)</f>
        <v>94</v>
      </c>
      <c r="L105" s="394">
        <v>91</v>
      </c>
      <c r="M105" s="395">
        <f t="shared" si="16"/>
        <v>1.1491803568092434</v>
      </c>
      <c r="N105" s="395">
        <f t="shared" si="16"/>
        <v>96.61865456486919</v>
      </c>
      <c r="O105" s="394">
        <f>ROUND(G105/1000,0)</f>
        <v>28</v>
      </c>
    </row>
    <row r="106" spans="1:15" ht="12.75" customHeight="1">
      <c r="A106" s="397" t="s">
        <v>609</v>
      </c>
      <c r="B106" s="407">
        <f aca="true" t="shared" si="41" ref="B106:G106">SUM(B107:B108)</f>
        <v>17518289</v>
      </c>
      <c r="C106" s="407">
        <f t="shared" si="41"/>
        <v>1306949</v>
      </c>
      <c r="D106" s="407">
        <f t="shared" si="41"/>
        <v>1049756.97</v>
      </c>
      <c r="E106" s="387">
        <f t="shared" si="28"/>
        <v>5.992348739080626</v>
      </c>
      <c r="F106" s="387">
        <f t="shared" si="40"/>
        <v>80.3211885085034</v>
      </c>
      <c r="G106" s="407">
        <f t="shared" si="41"/>
        <v>509225.67000000004</v>
      </c>
      <c r="I106" s="399" t="s">
        <v>609</v>
      </c>
      <c r="J106" s="389">
        <f>J107+J108</f>
        <v>17518</v>
      </c>
      <c r="K106" s="389">
        <f>K107+K108</f>
        <v>1307</v>
      </c>
      <c r="L106" s="389">
        <f>L107+L108</f>
        <v>1049</v>
      </c>
      <c r="M106" s="390">
        <f t="shared" si="16"/>
        <v>5.992348739080626</v>
      </c>
      <c r="N106" s="390">
        <f t="shared" si="16"/>
        <v>80.3211885085034</v>
      </c>
      <c r="O106" s="389">
        <f>O107+O108</f>
        <v>509</v>
      </c>
    </row>
    <row r="107" spans="1:15" ht="12.75" customHeight="1">
      <c r="A107" s="401" t="s">
        <v>604</v>
      </c>
      <c r="B107" s="405">
        <v>7125586</v>
      </c>
      <c r="C107" s="405">
        <v>1176200</v>
      </c>
      <c r="D107" s="405">
        <v>1009326.06</v>
      </c>
      <c r="E107" s="387">
        <f t="shared" si="28"/>
        <v>14.164814795583128</v>
      </c>
      <c r="F107" s="387">
        <f t="shared" si="40"/>
        <v>85.81245196395172</v>
      </c>
      <c r="G107" s="405">
        <v>468913.76</v>
      </c>
      <c r="I107" s="403" t="s">
        <v>604</v>
      </c>
      <c r="J107" s="394">
        <f>ROUND(B107/1000,0)</f>
        <v>7126</v>
      </c>
      <c r="K107" s="394">
        <f>ROUND(C107/1000,0)</f>
        <v>1176</v>
      </c>
      <c r="L107" s="394">
        <f>ROUND(D107/1000,0)</f>
        <v>1009</v>
      </c>
      <c r="M107" s="395">
        <f t="shared" si="16"/>
        <v>14.164814795583128</v>
      </c>
      <c r="N107" s="395">
        <f t="shared" si="16"/>
        <v>85.81245196395172</v>
      </c>
      <c r="O107" s="394">
        <f>ROUND(G107/1000,0)</f>
        <v>469</v>
      </c>
    </row>
    <row r="108" spans="1:15" ht="12.75" customHeight="1">
      <c r="A108" s="401" t="s">
        <v>605</v>
      </c>
      <c r="B108" s="405">
        <v>10392703</v>
      </c>
      <c r="C108" s="405">
        <v>130749</v>
      </c>
      <c r="D108" s="405">
        <v>40430.91</v>
      </c>
      <c r="E108" s="387"/>
      <c r="F108" s="387">
        <f t="shared" si="40"/>
        <v>30.92253860450176</v>
      </c>
      <c r="G108" s="405">
        <v>40311.91</v>
      </c>
      <c r="I108" s="403" t="s">
        <v>605</v>
      </c>
      <c r="J108" s="394">
        <v>10392</v>
      </c>
      <c r="K108" s="394">
        <f>ROUND(C108/1000,0)</f>
        <v>131</v>
      </c>
      <c r="L108" s="394">
        <f>ROUND(D108/1000,0)</f>
        <v>40</v>
      </c>
      <c r="M108" s="395">
        <f t="shared" si="16"/>
        <v>0</v>
      </c>
      <c r="N108" s="395">
        <f t="shared" si="16"/>
        <v>30.92253860450176</v>
      </c>
      <c r="O108" s="394">
        <f>ROUND(G108/1000,0)</f>
        <v>40</v>
      </c>
    </row>
    <row r="109" spans="1:15" ht="12.75" customHeight="1">
      <c r="A109" s="397" t="s">
        <v>511</v>
      </c>
      <c r="B109" s="407"/>
      <c r="C109" s="407"/>
      <c r="D109" s="407"/>
      <c r="E109" s="407"/>
      <c r="F109" s="407"/>
      <c r="G109" s="407"/>
      <c r="I109" s="399" t="s">
        <v>511</v>
      </c>
      <c r="J109" s="407"/>
      <c r="K109" s="407"/>
      <c r="L109" s="407"/>
      <c r="M109" s="409"/>
      <c r="N109" s="409"/>
      <c r="O109" s="407"/>
    </row>
    <row r="110" spans="1:15" ht="12.75" customHeight="1">
      <c r="A110" s="391" t="s">
        <v>834</v>
      </c>
      <c r="B110" s="405">
        <f aca="true" t="shared" si="42" ref="B110:G110">SUM(B111:B114)</f>
        <v>162542594</v>
      </c>
      <c r="C110" s="405">
        <f>SUM(C111:C114)</f>
        <v>26006190</v>
      </c>
      <c r="D110" s="405">
        <f t="shared" si="42"/>
        <v>25486483.52</v>
      </c>
      <c r="E110" s="387">
        <f t="shared" si="28"/>
        <v>15.679879896588828</v>
      </c>
      <c r="F110" s="387">
        <f aca="true" t="shared" si="43" ref="F110:F198">IF(ISERROR(D110/C110)," ",(D110/C110))*100</f>
        <v>98.00160469488226</v>
      </c>
      <c r="G110" s="405">
        <f t="shared" si="42"/>
        <v>12390247.28</v>
      </c>
      <c r="I110" s="393" t="s">
        <v>834</v>
      </c>
      <c r="J110" s="394">
        <f>ROUND(B110/1000,0)</f>
        <v>162543</v>
      </c>
      <c r="K110" s="394">
        <f>K111+K112+K113</f>
        <v>25603</v>
      </c>
      <c r="L110" s="394">
        <f>L111+L112+L113</f>
        <v>25486</v>
      </c>
      <c r="M110" s="395">
        <f aca="true" t="shared" si="44" ref="M110:N173">E110</f>
        <v>15.679879896588828</v>
      </c>
      <c r="N110" s="395">
        <f t="shared" si="44"/>
        <v>98.00160469488226</v>
      </c>
      <c r="O110" s="394">
        <f>O111+O112+O113</f>
        <v>12391</v>
      </c>
    </row>
    <row r="111" spans="1:15" ht="12.75" customHeight="1">
      <c r="A111" s="391" t="s">
        <v>835</v>
      </c>
      <c r="B111" s="405">
        <v>154077482</v>
      </c>
      <c r="C111" s="405">
        <v>24729184</v>
      </c>
      <c r="D111" s="405">
        <v>24729184</v>
      </c>
      <c r="E111" s="387">
        <f t="shared" si="28"/>
        <v>16.049836536139654</v>
      </c>
      <c r="F111" s="387">
        <f t="shared" si="43"/>
        <v>100</v>
      </c>
      <c r="G111" s="405">
        <f>D111-12757687</f>
        <v>11971497</v>
      </c>
      <c r="I111" s="393" t="s">
        <v>835</v>
      </c>
      <c r="J111" s="394">
        <f>ROUND(B111/1000,0)</f>
        <v>154077</v>
      </c>
      <c r="K111" s="394">
        <f>ROUND(C111/1000,0)</f>
        <v>24729</v>
      </c>
      <c r="L111" s="394">
        <f>ROUND(D111/1000,0)</f>
        <v>24729</v>
      </c>
      <c r="M111" s="395">
        <f t="shared" si="44"/>
        <v>16.049836536139654</v>
      </c>
      <c r="N111" s="395">
        <f t="shared" si="44"/>
        <v>100</v>
      </c>
      <c r="O111" s="394">
        <v>11972</v>
      </c>
    </row>
    <row r="112" spans="1:15" ht="12.75" customHeight="1">
      <c r="A112" s="391" t="s">
        <v>836</v>
      </c>
      <c r="B112" s="405">
        <v>123902</v>
      </c>
      <c r="C112" s="405"/>
      <c r="D112" s="405"/>
      <c r="E112" s="387"/>
      <c r="F112" s="387"/>
      <c r="G112" s="405"/>
      <c r="I112" s="393" t="s">
        <v>836</v>
      </c>
      <c r="J112" s="394">
        <f>ROUND(B112/1000,0)</f>
        <v>124</v>
      </c>
      <c r="K112" s="394"/>
      <c r="L112" s="394"/>
      <c r="M112" s="395"/>
      <c r="N112" s="395"/>
      <c r="O112" s="394"/>
    </row>
    <row r="113" spans="1:15" ht="12.75" customHeight="1">
      <c r="A113" s="391" t="s">
        <v>658</v>
      </c>
      <c r="B113" s="405">
        <v>5299958</v>
      </c>
      <c r="C113" s="405">
        <v>874361</v>
      </c>
      <c r="D113" s="405">
        <v>757299.52</v>
      </c>
      <c r="E113" s="387">
        <f t="shared" si="28"/>
        <v>14.288783420547862</v>
      </c>
      <c r="F113" s="387">
        <f t="shared" si="43"/>
        <v>86.61176790822098</v>
      </c>
      <c r="G113" s="405">
        <v>418750.28</v>
      </c>
      <c r="I113" s="393" t="s">
        <v>658</v>
      </c>
      <c r="J113" s="394">
        <f>ROUND(B113/1000,0)</f>
        <v>5300</v>
      </c>
      <c r="K113" s="394">
        <f>ROUND(C113/1000,0)</f>
        <v>874</v>
      </c>
      <c r="L113" s="394">
        <f>ROUND(D113/1000,0)</f>
        <v>757</v>
      </c>
      <c r="M113" s="395">
        <f t="shared" si="44"/>
        <v>14.288783420547862</v>
      </c>
      <c r="N113" s="395">
        <f t="shared" si="44"/>
        <v>86.61176790822098</v>
      </c>
      <c r="O113" s="394">
        <f>ROUND(G113/1000,0)</f>
        <v>419</v>
      </c>
    </row>
    <row r="114" spans="1:15" ht="12.75" customHeight="1">
      <c r="A114" s="391" t="s">
        <v>496</v>
      </c>
      <c r="B114" s="405">
        <v>3041252</v>
      </c>
      <c r="C114" s="405">
        <v>402645</v>
      </c>
      <c r="D114" s="405"/>
      <c r="E114" s="387">
        <f t="shared" si="28"/>
        <v>0</v>
      </c>
      <c r="F114" s="387">
        <f t="shared" si="43"/>
        <v>0</v>
      </c>
      <c r="G114" s="405">
        <f>D114</f>
        <v>0</v>
      </c>
      <c r="I114" s="393" t="s">
        <v>496</v>
      </c>
      <c r="J114" s="394">
        <f>ROUND(B114/1000,0)</f>
        <v>3041</v>
      </c>
      <c r="K114" s="394">
        <f>ROUND(C114/1000,0)</f>
        <v>403</v>
      </c>
      <c r="L114" s="394">
        <f>ROUND(D114/1000,0)</f>
        <v>0</v>
      </c>
      <c r="M114" s="395">
        <f t="shared" si="44"/>
        <v>0</v>
      </c>
      <c r="N114" s="395">
        <f t="shared" si="44"/>
        <v>0</v>
      </c>
      <c r="O114" s="394">
        <f>ROUND(G114/1000,0)</f>
        <v>0</v>
      </c>
    </row>
    <row r="115" spans="1:15" ht="12.75" customHeight="1">
      <c r="A115" s="397" t="s">
        <v>609</v>
      </c>
      <c r="B115" s="407">
        <f aca="true" t="shared" si="45" ref="B115:G115">SUM(B116:B117)</f>
        <v>162542594</v>
      </c>
      <c r="C115" s="407">
        <f t="shared" si="45"/>
        <v>26006190</v>
      </c>
      <c r="D115" s="407">
        <f t="shared" si="45"/>
        <v>24915482.49</v>
      </c>
      <c r="E115" s="386">
        <f t="shared" si="28"/>
        <v>15.328586727242705</v>
      </c>
      <c r="F115" s="386">
        <f t="shared" si="43"/>
        <v>95.80596961723343</v>
      </c>
      <c r="G115" s="407">
        <f t="shared" si="45"/>
        <v>12217808.6</v>
      </c>
      <c r="I115" s="399" t="s">
        <v>609</v>
      </c>
      <c r="J115" s="389">
        <f>J116+J117</f>
        <v>162543</v>
      </c>
      <c r="K115" s="389">
        <f>K116+K117</f>
        <v>26006</v>
      </c>
      <c r="L115" s="389">
        <f>L116+L117</f>
        <v>24915</v>
      </c>
      <c r="M115" s="390">
        <f t="shared" si="44"/>
        <v>15.328586727242705</v>
      </c>
      <c r="N115" s="390">
        <f t="shared" si="44"/>
        <v>95.80596961723343</v>
      </c>
      <c r="O115" s="389">
        <f>O116+O117</f>
        <v>12217</v>
      </c>
    </row>
    <row r="116" spans="1:15" ht="12.75" customHeight="1">
      <c r="A116" s="401" t="s">
        <v>604</v>
      </c>
      <c r="B116" s="405">
        <v>158965890</v>
      </c>
      <c r="C116" s="405">
        <v>25600402</v>
      </c>
      <c r="D116" s="405">
        <v>24665451.84</v>
      </c>
      <c r="E116" s="387">
        <f t="shared" si="28"/>
        <v>15.51619145465735</v>
      </c>
      <c r="F116" s="387">
        <f t="shared" si="43"/>
        <v>96.34790828675268</v>
      </c>
      <c r="G116" s="405">
        <v>12103450.07</v>
      </c>
      <c r="I116" s="403" t="s">
        <v>604</v>
      </c>
      <c r="J116" s="394">
        <f aca="true" t="shared" si="46" ref="J116:L117">ROUND(B116/1000,0)</f>
        <v>158966</v>
      </c>
      <c r="K116" s="394">
        <f t="shared" si="46"/>
        <v>25600</v>
      </c>
      <c r="L116" s="394">
        <f t="shared" si="46"/>
        <v>24665</v>
      </c>
      <c r="M116" s="395">
        <f t="shared" si="44"/>
        <v>15.51619145465735</v>
      </c>
      <c r="N116" s="395">
        <f t="shared" si="44"/>
        <v>96.34790828675268</v>
      </c>
      <c r="O116" s="394">
        <v>12103</v>
      </c>
    </row>
    <row r="117" spans="1:15" ht="12.75" customHeight="1">
      <c r="A117" s="401" t="s">
        <v>605</v>
      </c>
      <c r="B117" s="405">
        <v>3576704</v>
      </c>
      <c r="C117" s="405">
        <v>405788</v>
      </c>
      <c r="D117" s="405">
        <v>250030.65</v>
      </c>
      <c r="E117" s="387">
        <f t="shared" si="28"/>
        <v>6.990532344862756</v>
      </c>
      <c r="F117" s="387">
        <f t="shared" si="43"/>
        <v>61.616077853460425</v>
      </c>
      <c r="G117" s="405">
        <v>114358.53</v>
      </c>
      <c r="I117" s="403" t="s">
        <v>605</v>
      </c>
      <c r="J117" s="394">
        <f t="shared" si="46"/>
        <v>3577</v>
      </c>
      <c r="K117" s="394">
        <f t="shared" si="46"/>
        <v>406</v>
      </c>
      <c r="L117" s="394">
        <f t="shared" si="46"/>
        <v>250</v>
      </c>
      <c r="M117" s="395">
        <f t="shared" si="44"/>
        <v>6.990532344862756</v>
      </c>
      <c r="N117" s="395">
        <f t="shared" si="44"/>
        <v>61.616077853460425</v>
      </c>
      <c r="O117" s="394">
        <f>ROUND(G117/1000,0)</f>
        <v>114</v>
      </c>
    </row>
    <row r="118" spans="1:15" ht="12.75" customHeight="1">
      <c r="A118" s="397" t="s">
        <v>611</v>
      </c>
      <c r="B118" s="407"/>
      <c r="C118" s="407"/>
      <c r="D118" s="407"/>
      <c r="E118" s="407"/>
      <c r="F118" s="407"/>
      <c r="G118" s="407"/>
      <c r="I118" s="399" t="s">
        <v>611</v>
      </c>
      <c r="J118" s="407"/>
      <c r="K118" s="407"/>
      <c r="L118" s="407"/>
      <c r="M118" s="409"/>
      <c r="N118" s="409"/>
      <c r="O118" s="407"/>
    </row>
    <row r="119" spans="1:15" ht="12.75" customHeight="1">
      <c r="A119" s="391" t="s">
        <v>834</v>
      </c>
      <c r="B119" s="405">
        <f aca="true" t="shared" si="47" ref="B119:G119">SUM(B120:B122)</f>
        <v>28473512</v>
      </c>
      <c r="C119" s="405">
        <f t="shared" si="47"/>
        <v>4349390</v>
      </c>
      <c r="D119" s="405">
        <f t="shared" si="47"/>
        <v>4345710.96</v>
      </c>
      <c r="E119" s="387">
        <f t="shared" si="28"/>
        <v>15.262293460673204</v>
      </c>
      <c r="F119" s="387">
        <f t="shared" si="43"/>
        <v>99.91541250612156</v>
      </c>
      <c r="G119" s="405">
        <f t="shared" si="47"/>
        <v>1972455.29</v>
      </c>
      <c r="I119" s="393" t="s">
        <v>834</v>
      </c>
      <c r="J119" s="394">
        <f aca="true" t="shared" si="48" ref="J119:O125">ROUND(B119/1000,0)</f>
        <v>28474</v>
      </c>
      <c r="K119" s="394">
        <f>K120+K121+K122</f>
        <v>4349</v>
      </c>
      <c r="L119" s="394">
        <f>L120+L121+L122</f>
        <v>4346</v>
      </c>
      <c r="M119" s="395">
        <f t="shared" si="44"/>
        <v>15.262293460673204</v>
      </c>
      <c r="N119" s="395">
        <f t="shared" si="44"/>
        <v>99.91541250612156</v>
      </c>
      <c r="O119" s="394">
        <f>O120+O121+O122</f>
        <v>1973</v>
      </c>
    </row>
    <row r="120" spans="1:15" ht="12.75" customHeight="1">
      <c r="A120" s="391" t="s">
        <v>835</v>
      </c>
      <c r="B120" s="405">
        <v>24720936</v>
      </c>
      <c r="C120" s="405">
        <v>3980675</v>
      </c>
      <c r="D120" s="405">
        <v>3980675</v>
      </c>
      <c r="E120" s="387">
        <f t="shared" si="28"/>
        <v>16.10244450291041</v>
      </c>
      <c r="F120" s="387">
        <f t="shared" si="43"/>
        <v>100</v>
      </c>
      <c r="G120" s="405">
        <f>D120-2111162</f>
        <v>1869513</v>
      </c>
      <c r="I120" s="393" t="s">
        <v>835</v>
      </c>
      <c r="J120" s="394">
        <f t="shared" si="48"/>
        <v>24721</v>
      </c>
      <c r="K120" s="394">
        <f t="shared" si="48"/>
        <v>3981</v>
      </c>
      <c r="L120" s="394">
        <f t="shared" si="48"/>
        <v>3981</v>
      </c>
      <c r="M120" s="395">
        <f t="shared" si="44"/>
        <v>16.10244450291041</v>
      </c>
      <c r="N120" s="395">
        <f t="shared" si="44"/>
        <v>100</v>
      </c>
      <c r="O120" s="394">
        <f t="shared" si="48"/>
        <v>1870</v>
      </c>
    </row>
    <row r="121" spans="1:15" ht="12.75" customHeight="1">
      <c r="A121" s="391" t="s">
        <v>658</v>
      </c>
      <c r="B121" s="405">
        <v>1329472</v>
      </c>
      <c r="C121" s="405">
        <v>217315</v>
      </c>
      <c r="D121" s="405">
        <v>125029.96</v>
      </c>
      <c r="E121" s="387">
        <f t="shared" si="28"/>
        <v>9.404482380975306</v>
      </c>
      <c r="F121" s="387">
        <f t="shared" si="43"/>
        <v>57.53397602558499</v>
      </c>
      <c r="G121" s="405">
        <v>65009.29</v>
      </c>
      <c r="I121" s="393" t="s">
        <v>658</v>
      </c>
      <c r="J121" s="394">
        <f t="shared" si="48"/>
        <v>1329</v>
      </c>
      <c r="K121" s="394">
        <f t="shared" si="48"/>
        <v>217</v>
      </c>
      <c r="L121" s="394">
        <f t="shared" si="48"/>
        <v>125</v>
      </c>
      <c r="M121" s="395">
        <f t="shared" si="44"/>
        <v>9.404482380975306</v>
      </c>
      <c r="N121" s="395">
        <f t="shared" si="44"/>
        <v>57.53397602558499</v>
      </c>
      <c r="O121" s="394">
        <f t="shared" si="48"/>
        <v>65</v>
      </c>
    </row>
    <row r="122" spans="1:15" ht="12.75" customHeight="1">
      <c r="A122" s="391" t="s">
        <v>496</v>
      </c>
      <c r="B122" s="405">
        <v>2423104</v>
      </c>
      <c r="C122" s="405">
        <v>151400</v>
      </c>
      <c r="D122" s="405">
        <v>240006</v>
      </c>
      <c r="E122" s="387">
        <f t="shared" si="28"/>
        <v>9.904898840495497</v>
      </c>
      <c r="F122" s="387">
        <f t="shared" si="43"/>
        <v>158.52443857331573</v>
      </c>
      <c r="G122" s="405">
        <v>37933</v>
      </c>
      <c r="I122" s="393" t="s">
        <v>496</v>
      </c>
      <c r="J122" s="394">
        <f t="shared" si="48"/>
        <v>2423</v>
      </c>
      <c r="K122" s="394">
        <f t="shared" si="48"/>
        <v>151</v>
      </c>
      <c r="L122" s="394">
        <f t="shared" si="48"/>
        <v>240</v>
      </c>
      <c r="M122" s="395">
        <f t="shared" si="44"/>
        <v>9.904898840495497</v>
      </c>
      <c r="N122" s="395">
        <f t="shared" si="44"/>
        <v>158.52443857331573</v>
      </c>
      <c r="O122" s="394">
        <f t="shared" si="48"/>
        <v>38</v>
      </c>
    </row>
    <row r="123" spans="1:15" ht="12.75" customHeight="1">
      <c r="A123" s="397" t="s">
        <v>609</v>
      </c>
      <c r="B123" s="407">
        <f aca="true" t="shared" si="49" ref="B123:G123">SUM(B124:B125)</f>
        <v>28473512</v>
      </c>
      <c r="C123" s="407">
        <f t="shared" si="49"/>
        <v>4349390</v>
      </c>
      <c r="D123" s="407">
        <f t="shared" si="49"/>
        <v>4233954.99</v>
      </c>
      <c r="E123" s="387">
        <f t="shared" si="28"/>
        <v>14.869802467640802</v>
      </c>
      <c r="F123" s="387">
        <f t="shared" si="43"/>
        <v>97.34594943198933</v>
      </c>
      <c r="G123" s="407">
        <f t="shared" si="49"/>
        <v>1948553.4500000002</v>
      </c>
      <c r="I123" s="399" t="s">
        <v>609</v>
      </c>
      <c r="J123" s="389">
        <f>J124+J125</f>
        <v>28473</v>
      </c>
      <c r="K123" s="389">
        <f>K124+K125</f>
        <v>4349</v>
      </c>
      <c r="L123" s="389">
        <f>L124+L125</f>
        <v>4234</v>
      </c>
      <c r="M123" s="390">
        <f t="shared" si="44"/>
        <v>14.869802467640802</v>
      </c>
      <c r="N123" s="390">
        <f t="shared" si="44"/>
        <v>97.34594943198933</v>
      </c>
      <c r="O123" s="389">
        <f>O124+O125</f>
        <v>1948</v>
      </c>
    </row>
    <row r="124" spans="1:15" ht="12.75" customHeight="1">
      <c r="A124" s="401" t="s">
        <v>604</v>
      </c>
      <c r="B124" s="405">
        <v>25018324</v>
      </c>
      <c r="C124" s="405">
        <v>3862057</v>
      </c>
      <c r="D124" s="405">
        <v>3838728.13</v>
      </c>
      <c r="E124" s="387">
        <f t="shared" si="28"/>
        <v>15.343666226402695</v>
      </c>
      <c r="F124" s="387">
        <f t="shared" si="43"/>
        <v>99.39594703030016</v>
      </c>
      <c r="G124" s="405">
        <v>1726197.6</v>
      </c>
      <c r="I124" s="403" t="s">
        <v>604</v>
      </c>
      <c r="J124" s="394">
        <f t="shared" si="48"/>
        <v>25018</v>
      </c>
      <c r="K124" s="394">
        <f t="shared" si="48"/>
        <v>3862</v>
      </c>
      <c r="L124" s="394">
        <f t="shared" si="48"/>
        <v>3839</v>
      </c>
      <c r="M124" s="395">
        <f t="shared" si="44"/>
        <v>15.343666226402695</v>
      </c>
      <c r="N124" s="395">
        <f t="shared" si="44"/>
        <v>99.39594703030016</v>
      </c>
      <c r="O124" s="394">
        <f t="shared" si="48"/>
        <v>1726</v>
      </c>
    </row>
    <row r="125" spans="1:15" ht="12.75" customHeight="1">
      <c r="A125" s="401" t="s">
        <v>605</v>
      </c>
      <c r="B125" s="405">
        <v>3455188</v>
      </c>
      <c r="C125" s="405">
        <v>487333</v>
      </c>
      <c r="D125" s="405">
        <v>395226.86</v>
      </c>
      <c r="E125" s="387">
        <f t="shared" si="28"/>
        <v>11.438649937427428</v>
      </c>
      <c r="F125" s="387">
        <f t="shared" si="43"/>
        <v>81.09995834470475</v>
      </c>
      <c r="G125" s="405">
        <v>222355.85</v>
      </c>
      <c r="I125" s="403" t="s">
        <v>605</v>
      </c>
      <c r="J125" s="394">
        <f t="shared" si="48"/>
        <v>3455</v>
      </c>
      <c r="K125" s="394">
        <f t="shared" si="48"/>
        <v>487</v>
      </c>
      <c r="L125" s="394">
        <f t="shared" si="48"/>
        <v>395</v>
      </c>
      <c r="M125" s="395">
        <f t="shared" si="44"/>
        <v>11.438649937427428</v>
      </c>
      <c r="N125" s="395">
        <f t="shared" si="44"/>
        <v>81.09995834470475</v>
      </c>
      <c r="O125" s="394">
        <f t="shared" si="48"/>
        <v>222</v>
      </c>
    </row>
    <row r="126" spans="1:15" ht="24.75" customHeight="1">
      <c r="A126" s="220" t="s">
        <v>612</v>
      </c>
      <c r="B126" s="405"/>
      <c r="C126" s="405"/>
      <c r="D126" s="405"/>
      <c r="E126" s="405"/>
      <c r="F126" s="405"/>
      <c r="G126" s="405"/>
      <c r="I126" s="408" t="s">
        <v>612</v>
      </c>
      <c r="J126" s="405"/>
      <c r="K126" s="405"/>
      <c r="L126" s="405"/>
      <c r="M126" s="411"/>
      <c r="N126" s="411"/>
      <c r="O126" s="405"/>
    </row>
    <row r="127" spans="1:15" ht="12.75" customHeight="1">
      <c r="A127" s="391" t="s">
        <v>834</v>
      </c>
      <c r="B127" s="405">
        <f aca="true" t="shared" si="50" ref="B127:G127">SUM(B128:B130)</f>
        <v>15209100</v>
      </c>
      <c r="C127" s="405">
        <f t="shared" si="50"/>
        <v>2348760</v>
      </c>
      <c r="D127" s="405">
        <f t="shared" si="50"/>
        <v>1876381.3200000003</v>
      </c>
      <c r="E127" s="387">
        <f t="shared" si="28"/>
        <v>12.33722784385664</v>
      </c>
      <c r="F127" s="387">
        <f t="shared" si="43"/>
        <v>79.88816737342258</v>
      </c>
      <c r="G127" s="405">
        <f t="shared" si="50"/>
        <v>757909.63</v>
      </c>
      <c r="I127" s="393" t="s">
        <v>834</v>
      </c>
      <c r="J127" s="394">
        <f aca="true" t="shared" si="51" ref="J127:O133">ROUND(B127/1000,0)</f>
        <v>15209</v>
      </c>
      <c r="K127" s="394">
        <f>K128+K129+K130</f>
        <v>2349</v>
      </c>
      <c r="L127" s="394">
        <f>L128+L129+L130</f>
        <v>1876</v>
      </c>
      <c r="M127" s="395">
        <f t="shared" si="44"/>
        <v>12.33722784385664</v>
      </c>
      <c r="N127" s="395">
        <f t="shared" si="44"/>
        <v>79.88816737342258</v>
      </c>
      <c r="O127" s="394">
        <f>O128+O129+O130</f>
        <v>758</v>
      </c>
    </row>
    <row r="128" spans="1:15" ht="12.75" customHeight="1">
      <c r="A128" s="391" t="s">
        <v>835</v>
      </c>
      <c r="B128" s="405">
        <v>7619458</v>
      </c>
      <c r="C128" s="405">
        <v>1067355</v>
      </c>
      <c r="D128" s="405">
        <v>1067355</v>
      </c>
      <c r="E128" s="387">
        <f t="shared" si="28"/>
        <v>14.008279854026362</v>
      </c>
      <c r="F128" s="387">
        <f t="shared" si="43"/>
        <v>100</v>
      </c>
      <c r="G128" s="405">
        <f>D128-559669</f>
        <v>507686</v>
      </c>
      <c r="I128" s="393" t="s">
        <v>835</v>
      </c>
      <c r="J128" s="394">
        <f t="shared" si="51"/>
        <v>7619</v>
      </c>
      <c r="K128" s="394">
        <f t="shared" si="51"/>
        <v>1067</v>
      </c>
      <c r="L128" s="394">
        <f t="shared" si="51"/>
        <v>1067</v>
      </c>
      <c r="M128" s="395">
        <f t="shared" si="44"/>
        <v>14.008279854026362</v>
      </c>
      <c r="N128" s="395">
        <f t="shared" si="44"/>
        <v>100</v>
      </c>
      <c r="O128" s="394">
        <f t="shared" si="51"/>
        <v>508</v>
      </c>
    </row>
    <row r="129" spans="1:15" ht="12.75" customHeight="1">
      <c r="A129" s="391" t="s">
        <v>658</v>
      </c>
      <c r="B129" s="405">
        <v>1267424</v>
      </c>
      <c r="C129" s="405">
        <v>223875</v>
      </c>
      <c r="D129" s="405">
        <v>198310.89</v>
      </c>
      <c r="E129" s="387">
        <f t="shared" si="28"/>
        <v>15.646767774635798</v>
      </c>
      <c r="F129" s="387">
        <f t="shared" si="43"/>
        <v>88.58107872696817</v>
      </c>
      <c r="G129" s="405">
        <v>84320.74</v>
      </c>
      <c r="I129" s="393" t="s">
        <v>658</v>
      </c>
      <c r="J129" s="394">
        <f t="shared" si="51"/>
        <v>1267</v>
      </c>
      <c r="K129" s="394">
        <f t="shared" si="51"/>
        <v>224</v>
      </c>
      <c r="L129" s="394">
        <f t="shared" si="51"/>
        <v>198</v>
      </c>
      <c r="M129" s="395">
        <f t="shared" si="44"/>
        <v>15.646767774635798</v>
      </c>
      <c r="N129" s="395">
        <f t="shared" si="44"/>
        <v>88.58107872696817</v>
      </c>
      <c r="O129" s="394">
        <f t="shared" si="51"/>
        <v>84</v>
      </c>
    </row>
    <row r="130" spans="1:15" ht="12.75" customHeight="1">
      <c r="A130" s="391" t="s">
        <v>496</v>
      </c>
      <c r="B130" s="405">
        <v>6322218</v>
      </c>
      <c r="C130" s="405">
        <v>1057530</v>
      </c>
      <c r="D130" s="405">
        <v>610715.43</v>
      </c>
      <c r="E130" s="387">
        <f t="shared" si="28"/>
        <v>9.659828718339039</v>
      </c>
      <c r="F130" s="387">
        <f t="shared" si="43"/>
        <v>57.74922980908344</v>
      </c>
      <c r="G130" s="405">
        <v>165902.89</v>
      </c>
      <c r="I130" s="393" t="s">
        <v>496</v>
      </c>
      <c r="J130" s="394">
        <f t="shared" si="51"/>
        <v>6322</v>
      </c>
      <c r="K130" s="394">
        <f t="shared" si="51"/>
        <v>1058</v>
      </c>
      <c r="L130" s="394">
        <f t="shared" si="51"/>
        <v>611</v>
      </c>
      <c r="M130" s="395">
        <f t="shared" si="44"/>
        <v>9.659828718339039</v>
      </c>
      <c r="N130" s="395">
        <f t="shared" si="44"/>
        <v>57.74922980908344</v>
      </c>
      <c r="O130" s="394">
        <f t="shared" si="51"/>
        <v>166</v>
      </c>
    </row>
    <row r="131" spans="1:15" ht="12.75" customHeight="1">
      <c r="A131" s="397" t="s">
        <v>609</v>
      </c>
      <c r="B131" s="407">
        <f aca="true" t="shared" si="52" ref="B131:G131">SUM(B132:B133)</f>
        <v>15209100</v>
      </c>
      <c r="C131" s="407">
        <f t="shared" si="52"/>
        <v>2348760</v>
      </c>
      <c r="D131" s="407">
        <f t="shared" si="52"/>
        <v>1695257.8399999999</v>
      </c>
      <c r="E131" s="387">
        <f t="shared" si="28"/>
        <v>11.146338968117771</v>
      </c>
      <c r="F131" s="387">
        <f t="shared" si="43"/>
        <v>72.17671622473134</v>
      </c>
      <c r="G131" s="407">
        <f t="shared" si="52"/>
        <v>707055.29</v>
      </c>
      <c r="I131" s="399" t="s">
        <v>609</v>
      </c>
      <c r="J131" s="389">
        <f>J132+J133</f>
        <v>15209</v>
      </c>
      <c r="K131" s="389">
        <f>K132+K133</f>
        <v>2349</v>
      </c>
      <c r="L131" s="389">
        <f>L132+L133</f>
        <v>1696</v>
      </c>
      <c r="M131" s="390">
        <f t="shared" si="44"/>
        <v>11.146338968117771</v>
      </c>
      <c r="N131" s="390">
        <f t="shared" si="44"/>
        <v>72.17671622473134</v>
      </c>
      <c r="O131" s="389">
        <f>O132+O133</f>
        <v>707</v>
      </c>
    </row>
    <row r="132" spans="1:15" ht="12.75" customHeight="1">
      <c r="A132" s="401" t="s">
        <v>604</v>
      </c>
      <c r="B132" s="405">
        <v>7285456</v>
      </c>
      <c r="C132" s="405">
        <v>1161230</v>
      </c>
      <c r="D132" s="405">
        <v>978549.49</v>
      </c>
      <c r="E132" s="387">
        <f t="shared" si="28"/>
        <v>13.4315475929029</v>
      </c>
      <c r="F132" s="387">
        <f t="shared" si="43"/>
        <v>84.26836113431447</v>
      </c>
      <c r="G132" s="405">
        <v>504169.41</v>
      </c>
      <c r="I132" s="403" t="s">
        <v>604</v>
      </c>
      <c r="J132" s="394">
        <f t="shared" si="51"/>
        <v>7285</v>
      </c>
      <c r="K132" s="394">
        <f t="shared" si="51"/>
        <v>1161</v>
      </c>
      <c r="L132" s="394">
        <f t="shared" si="51"/>
        <v>979</v>
      </c>
      <c r="M132" s="395">
        <f t="shared" si="44"/>
        <v>13.4315475929029</v>
      </c>
      <c r="N132" s="395">
        <f t="shared" si="44"/>
        <v>84.26836113431447</v>
      </c>
      <c r="O132" s="394">
        <f t="shared" si="51"/>
        <v>504</v>
      </c>
    </row>
    <row r="133" spans="1:15" ht="12.75" customHeight="1">
      <c r="A133" s="401" t="s">
        <v>605</v>
      </c>
      <c r="B133" s="405">
        <v>7923644</v>
      </c>
      <c r="C133" s="405">
        <v>1187530</v>
      </c>
      <c r="D133" s="405">
        <v>716708.35</v>
      </c>
      <c r="E133" s="387">
        <f t="shared" si="28"/>
        <v>9.045186154249231</v>
      </c>
      <c r="F133" s="387">
        <f t="shared" si="43"/>
        <v>60.352862664522156</v>
      </c>
      <c r="G133" s="405">
        <v>202885.88</v>
      </c>
      <c r="I133" s="403" t="s">
        <v>605</v>
      </c>
      <c r="J133" s="394">
        <f t="shared" si="51"/>
        <v>7924</v>
      </c>
      <c r="K133" s="394">
        <f t="shared" si="51"/>
        <v>1188</v>
      </c>
      <c r="L133" s="394">
        <f t="shared" si="51"/>
        <v>717</v>
      </c>
      <c r="M133" s="395">
        <f t="shared" si="44"/>
        <v>9.045186154249231</v>
      </c>
      <c r="N133" s="395">
        <f t="shared" si="44"/>
        <v>60.352862664522156</v>
      </c>
      <c r="O133" s="394">
        <f t="shared" si="51"/>
        <v>203</v>
      </c>
    </row>
    <row r="134" spans="1:15" ht="12.75" customHeight="1">
      <c r="A134" s="397" t="s">
        <v>514</v>
      </c>
      <c r="B134" s="407"/>
      <c r="C134" s="407"/>
      <c r="D134" s="407"/>
      <c r="E134" s="407"/>
      <c r="F134" s="407"/>
      <c r="G134" s="407"/>
      <c r="I134" s="399" t="s">
        <v>514</v>
      </c>
      <c r="J134" s="407"/>
      <c r="K134" s="407"/>
      <c r="L134" s="407"/>
      <c r="M134" s="409"/>
      <c r="N134" s="409"/>
      <c r="O134" s="407"/>
    </row>
    <row r="135" spans="1:15" ht="12.75" customHeight="1">
      <c r="A135" s="391" t="s">
        <v>834</v>
      </c>
      <c r="B135" s="405">
        <f aca="true" t="shared" si="53" ref="B135:G135">SUM(B136:B138)</f>
        <v>19673771</v>
      </c>
      <c r="C135" s="405">
        <f t="shared" si="53"/>
        <v>3349326</v>
      </c>
      <c r="D135" s="405">
        <f t="shared" si="53"/>
        <v>3189932.62</v>
      </c>
      <c r="E135" s="387">
        <f t="shared" si="28"/>
        <v>16.214139221199638</v>
      </c>
      <c r="F135" s="387">
        <f t="shared" si="43"/>
        <v>95.24103118060171</v>
      </c>
      <c r="G135" s="405">
        <f t="shared" si="53"/>
        <v>1579731.8599999999</v>
      </c>
      <c r="I135" s="393" t="s">
        <v>834</v>
      </c>
      <c r="J135" s="394">
        <f>ROUND(B135/1000,0)</f>
        <v>19674</v>
      </c>
      <c r="K135" s="394">
        <f>K136+K137+K138</f>
        <v>3349</v>
      </c>
      <c r="L135" s="394">
        <f>L136+L137+L138</f>
        <v>3189</v>
      </c>
      <c r="M135" s="395">
        <f t="shared" si="44"/>
        <v>16.214139221199638</v>
      </c>
      <c r="N135" s="395">
        <f t="shared" si="44"/>
        <v>95.24103118060171</v>
      </c>
      <c r="O135" s="394">
        <f>O136+O137+O138</f>
        <v>1580</v>
      </c>
    </row>
    <row r="136" spans="1:15" ht="12.75" customHeight="1">
      <c r="A136" s="391" t="s">
        <v>835</v>
      </c>
      <c r="B136" s="405">
        <v>16916754</v>
      </c>
      <c r="C136" s="405">
        <v>2707393</v>
      </c>
      <c r="D136" s="405">
        <v>2707393</v>
      </c>
      <c r="E136" s="387">
        <f t="shared" si="28"/>
        <v>16.00421097333448</v>
      </c>
      <c r="F136" s="387">
        <f t="shared" si="43"/>
        <v>100</v>
      </c>
      <c r="G136" s="405">
        <v>1332221</v>
      </c>
      <c r="I136" s="393" t="s">
        <v>835</v>
      </c>
      <c r="J136" s="394">
        <f>ROUND(B136/1000,0)</f>
        <v>16917</v>
      </c>
      <c r="K136" s="394">
        <f>ROUND(C136/1000,0)</f>
        <v>2707</v>
      </c>
      <c r="L136" s="394">
        <f>ROUND(D136/1000,0)</f>
        <v>2707</v>
      </c>
      <c r="M136" s="395">
        <f t="shared" si="44"/>
        <v>16.00421097333448</v>
      </c>
      <c r="N136" s="395">
        <f t="shared" si="44"/>
        <v>100</v>
      </c>
      <c r="O136" s="394">
        <f>ROUND(G136/1000,0)</f>
        <v>1332</v>
      </c>
    </row>
    <row r="137" spans="1:15" ht="12.75" customHeight="1">
      <c r="A137" s="391" t="s">
        <v>658</v>
      </c>
      <c r="B137" s="405">
        <v>2495624</v>
      </c>
      <c r="C137" s="405">
        <v>473229</v>
      </c>
      <c r="D137" s="405">
        <v>482539.62</v>
      </c>
      <c r="E137" s="387">
        <f t="shared" si="28"/>
        <v>19.335429535859568</v>
      </c>
      <c r="F137" s="387">
        <f t="shared" si="43"/>
        <v>101.9674660682249</v>
      </c>
      <c r="G137" s="405">
        <v>247510.86</v>
      </c>
      <c r="I137" s="393" t="s">
        <v>658</v>
      </c>
      <c r="J137" s="394">
        <f>ROUND(B137/1000,0)</f>
        <v>2496</v>
      </c>
      <c r="K137" s="394">
        <f>ROUND(C137/1000,0)</f>
        <v>473</v>
      </c>
      <c r="L137" s="394">
        <v>482</v>
      </c>
      <c r="M137" s="395">
        <f t="shared" si="44"/>
        <v>19.335429535859568</v>
      </c>
      <c r="N137" s="395">
        <f t="shared" si="44"/>
        <v>101.9674660682249</v>
      </c>
      <c r="O137" s="394">
        <f>ROUND(G137/1000,0)</f>
        <v>248</v>
      </c>
    </row>
    <row r="138" spans="1:15" ht="12.75" customHeight="1">
      <c r="A138" s="391" t="s">
        <v>496</v>
      </c>
      <c r="B138" s="405">
        <v>261393</v>
      </c>
      <c r="C138" s="405">
        <v>168704</v>
      </c>
      <c r="D138" s="405"/>
      <c r="E138" s="387">
        <f t="shared" si="28"/>
        <v>0</v>
      </c>
      <c r="F138" s="387">
        <f t="shared" si="43"/>
        <v>0</v>
      </c>
      <c r="G138" s="405"/>
      <c r="I138" s="393" t="s">
        <v>496</v>
      </c>
      <c r="J138" s="394">
        <f>ROUND(B138/1000,0)</f>
        <v>261</v>
      </c>
      <c r="K138" s="394">
        <f>ROUND(C138/1000,0)</f>
        <v>169</v>
      </c>
      <c r="L138" s="394">
        <f>ROUND(D138/1000,0)</f>
        <v>0</v>
      </c>
      <c r="M138" s="395">
        <f t="shared" si="44"/>
        <v>0</v>
      </c>
      <c r="N138" s="395">
        <f t="shared" si="44"/>
        <v>0</v>
      </c>
      <c r="O138" s="394">
        <f>ROUND(G138/1000,0)</f>
        <v>0</v>
      </c>
    </row>
    <row r="139" spans="1:15" ht="12.75" customHeight="1">
      <c r="A139" s="397" t="s">
        <v>609</v>
      </c>
      <c r="B139" s="407">
        <f aca="true" t="shared" si="54" ref="B139:G139">SUM(B140:B141)</f>
        <v>19673771</v>
      </c>
      <c r="C139" s="407">
        <f t="shared" si="54"/>
        <v>3349326</v>
      </c>
      <c r="D139" s="407">
        <f t="shared" si="54"/>
        <v>3032710.31</v>
      </c>
      <c r="E139" s="387">
        <f t="shared" si="28"/>
        <v>15.414992428243677</v>
      </c>
      <c r="F139" s="387">
        <f t="shared" si="43"/>
        <v>90.54688346252351</v>
      </c>
      <c r="G139" s="407">
        <f t="shared" si="54"/>
        <v>1535837.7799999998</v>
      </c>
      <c r="I139" s="399" t="s">
        <v>609</v>
      </c>
      <c r="J139" s="389">
        <f>J140+J141</f>
        <v>19674</v>
      </c>
      <c r="K139" s="389">
        <f>K140+K141</f>
        <v>3349</v>
      </c>
      <c r="L139" s="389">
        <f>L140+L141</f>
        <v>3033</v>
      </c>
      <c r="M139" s="390">
        <f t="shared" si="44"/>
        <v>15.414992428243677</v>
      </c>
      <c r="N139" s="390">
        <f t="shared" si="44"/>
        <v>90.54688346252351</v>
      </c>
      <c r="O139" s="389">
        <f>O140+O141</f>
        <v>1536</v>
      </c>
    </row>
    <row r="140" spans="1:15" ht="12.75" customHeight="1">
      <c r="A140" s="401" t="s">
        <v>604</v>
      </c>
      <c r="B140" s="405">
        <v>19098171</v>
      </c>
      <c r="C140" s="405">
        <v>3278092</v>
      </c>
      <c r="D140" s="405">
        <v>2997173.84</v>
      </c>
      <c r="E140" s="387">
        <f t="shared" si="28"/>
        <v>15.69351243111186</v>
      </c>
      <c r="F140" s="387">
        <f t="shared" si="43"/>
        <v>91.430436973703</v>
      </c>
      <c r="G140" s="405">
        <v>1521170.15</v>
      </c>
      <c r="I140" s="403" t="s">
        <v>604</v>
      </c>
      <c r="J140" s="394">
        <f aca="true" t="shared" si="55" ref="J140:L141">ROUND(B140/1000,0)</f>
        <v>19098</v>
      </c>
      <c r="K140" s="394">
        <f t="shared" si="55"/>
        <v>3278</v>
      </c>
      <c r="L140" s="394">
        <f t="shared" si="55"/>
        <v>2997</v>
      </c>
      <c r="M140" s="395">
        <f t="shared" si="44"/>
        <v>15.69351243111186</v>
      </c>
      <c r="N140" s="395">
        <f t="shared" si="44"/>
        <v>91.430436973703</v>
      </c>
      <c r="O140" s="394">
        <f>ROUND(G140/1000,0)</f>
        <v>1521</v>
      </c>
    </row>
    <row r="141" spans="1:15" ht="12.75" customHeight="1">
      <c r="A141" s="401" t="s">
        <v>605</v>
      </c>
      <c r="B141" s="405">
        <v>575600</v>
      </c>
      <c r="C141" s="405">
        <v>71234</v>
      </c>
      <c r="D141" s="405">
        <v>35536.47</v>
      </c>
      <c r="E141" s="387">
        <f aca="true" t="shared" si="56" ref="E141:E203">IF(ISERROR(D141/B141)," ",(D141/B141))*100</f>
        <v>6.1738134120917305</v>
      </c>
      <c r="F141" s="387">
        <f t="shared" si="43"/>
        <v>49.88695005194149</v>
      </c>
      <c r="G141" s="405">
        <v>14667.63</v>
      </c>
      <c r="I141" s="403" t="s">
        <v>605</v>
      </c>
      <c r="J141" s="394">
        <f t="shared" si="55"/>
        <v>576</v>
      </c>
      <c r="K141" s="394">
        <f t="shared" si="55"/>
        <v>71</v>
      </c>
      <c r="L141" s="394">
        <f t="shared" si="55"/>
        <v>36</v>
      </c>
      <c r="M141" s="395">
        <f t="shared" si="44"/>
        <v>6.1738134120917305</v>
      </c>
      <c r="N141" s="395">
        <f t="shared" si="44"/>
        <v>49.88695005194149</v>
      </c>
      <c r="O141" s="394">
        <f>ROUND(G141/1000,0)</f>
        <v>15</v>
      </c>
    </row>
    <row r="142" spans="1:15" ht="12.75" customHeight="1">
      <c r="A142" s="397" t="s">
        <v>613</v>
      </c>
      <c r="B142" s="405"/>
      <c r="C142" s="405"/>
      <c r="D142" s="405"/>
      <c r="E142" s="405"/>
      <c r="F142" s="405"/>
      <c r="G142" s="405"/>
      <c r="I142" s="399" t="s">
        <v>613</v>
      </c>
      <c r="J142" s="405"/>
      <c r="K142" s="405"/>
      <c r="L142" s="405"/>
      <c r="M142" s="411"/>
      <c r="N142" s="411"/>
      <c r="O142" s="405"/>
    </row>
    <row r="143" spans="1:15" ht="12.75" customHeight="1">
      <c r="A143" s="391" t="s">
        <v>834</v>
      </c>
      <c r="B143" s="405">
        <f aca="true" t="shared" si="57" ref="B143:G143">SUM(B144:B145)</f>
        <v>13996875</v>
      </c>
      <c r="C143" s="405">
        <f t="shared" si="57"/>
        <v>2217741</v>
      </c>
      <c r="D143" s="405">
        <f t="shared" si="57"/>
        <v>2035429.9</v>
      </c>
      <c r="E143" s="387">
        <f t="shared" si="56"/>
        <v>14.542030989060056</v>
      </c>
      <c r="F143" s="387">
        <f t="shared" si="43"/>
        <v>91.77942329604764</v>
      </c>
      <c r="G143" s="405">
        <f t="shared" si="57"/>
        <v>1050913.8199999998</v>
      </c>
      <c r="I143" s="393" t="s">
        <v>834</v>
      </c>
      <c r="J143" s="394">
        <f>ROUND(B143/1000,0)</f>
        <v>13997</v>
      </c>
      <c r="K143" s="394">
        <f>K144+K145</f>
        <v>2218</v>
      </c>
      <c r="L143" s="394">
        <f>L144+L145</f>
        <v>2036</v>
      </c>
      <c r="M143" s="395">
        <f t="shared" si="44"/>
        <v>14.542030989060056</v>
      </c>
      <c r="N143" s="395">
        <f t="shared" si="44"/>
        <v>91.77942329604764</v>
      </c>
      <c r="O143" s="394">
        <f>O144+O145</f>
        <v>1051</v>
      </c>
    </row>
    <row r="144" spans="1:15" ht="12.75" customHeight="1">
      <c r="A144" s="391" t="s">
        <v>835</v>
      </c>
      <c r="B144" s="405">
        <v>5506527</v>
      </c>
      <c r="C144" s="405">
        <v>808763</v>
      </c>
      <c r="D144" s="405">
        <v>808763</v>
      </c>
      <c r="E144" s="387">
        <f t="shared" si="56"/>
        <v>14.687351937073947</v>
      </c>
      <c r="F144" s="387">
        <f t="shared" si="43"/>
        <v>100</v>
      </c>
      <c r="G144" s="405">
        <v>414496</v>
      </c>
      <c r="I144" s="393" t="s">
        <v>835</v>
      </c>
      <c r="J144" s="394">
        <v>5506</v>
      </c>
      <c r="K144" s="394">
        <f>ROUND(C144/1000,0)</f>
        <v>809</v>
      </c>
      <c r="L144" s="394">
        <f>ROUND(D144/1000,0)</f>
        <v>809</v>
      </c>
      <c r="M144" s="395">
        <f t="shared" si="44"/>
        <v>14.687351937073947</v>
      </c>
      <c r="N144" s="395">
        <f t="shared" si="44"/>
        <v>100</v>
      </c>
      <c r="O144" s="394">
        <v>415</v>
      </c>
    </row>
    <row r="145" spans="1:15" ht="12.75" customHeight="1">
      <c r="A145" s="391" t="s">
        <v>658</v>
      </c>
      <c r="B145" s="405">
        <v>8490348</v>
      </c>
      <c r="C145" s="405">
        <v>1408978</v>
      </c>
      <c r="D145" s="405">
        <v>1226666.9</v>
      </c>
      <c r="E145" s="387">
        <f t="shared" si="56"/>
        <v>14.447781174576118</v>
      </c>
      <c r="F145" s="387">
        <f t="shared" si="43"/>
        <v>87.06075609413347</v>
      </c>
      <c r="G145" s="405">
        <v>636417.82</v>
      </c>
      <c r="I145" s="393" t="s">
        <v>658</v>
      </c>
      <c r="J145" s="394">
        <f>ROUND(B145/1000,0)</f>
        <v>8490</v>
      </c>
      <c r="K145" s="394">
        <f>ROUND(C145/1000,0)</f>
        <v>1409</v>
      </c>
      <c r="L145" s="394">
        <f>ROUND(D145/1000,0)</f>
        <v>1227</v>
      </c>
      <c r="M145" s="395">
        <f t="shared" si="44"/>
        <v>14.447781174576118</v>
      </c>
      <c r="N145" s="395">
        <f t="shared" si="44"/>
        <v>87.06075609413347</v>
      </c>
      <c r="O145" s="394">
        <f>ROUND(G145/1000,0)</f>
        <v>636</v>
      </c>
    </row>
    <row r="146" spans="1:15" ht="12.75" customHeight="1">
      <c r="A146" s="397" t="s">
        <v>609</v>
      </c>
      <c r="B146" s="407">
        <f aca="true" t="shared" si="58" ref="B146:G146">SUM(B147:B148)</f>
        <v>13996875</v>
      </c>
      <c r="C146" s="407">
        <f t="shared" si="58"/>
        <v>2217741</v>
      </c>
      <c r="D146" s="407">
        <f t="shared" si="58"/>
        <v>1947409.75</v>
      </c>
      <c r="E146" s="387">
        <f t="shared" si="56"/>
        <v>13.913175262335342</v>
      </c>
      <c r="F146" s="387">
        <f t="shared" si="43"/>
        <v>87.81051304007096</v>
      </c>
      <c r="G146" s="407">
        <f t="shared" si="58"/>
        <v>1143225.53</v>
      </c>
      <c r="I146" s="399" t="s">
        <v>609</v>
      </c>
      <c r="J146" s="389">
        <f>J147+J148</f>
        <v>13996</v>
      </c>
      <c r="K146" s="389">
        <f>K147+K148</f>
        <v>2218</v>
      </c>
      <c r="L146" s="389">
        <f>L147+L148</f>
        <v>1947</v>
      </c>
      <c r="M146" s="390">
        <f t="shared" si="44"/>
        <v>13.913175262335342</v>
      </c>
      <c r="N146" s="390">
        <f t="shared" si="44"/>
        <v>87.81051304007096</v>
      </c>
      <c r="O146" s="389">
        <f>O147+O148</f>
        <v>1143</v>
      </c>
    </row>
    <row r="147" spans="1:15" ht="12.75" customHeight="1">
      <c r="A147" s="401" t="s">
        <v>604</v>
      </c>
      <c r="B147" s="405">
        <v>13408475</v>
      </c>
      <c r="C147" s="405">
        <v>2143524</v>
      </c>
      <c r="D147" s="405">
        <v>1919199.05</v>
      </c>
      <c r="E147" s="387">
        <f t="shared" si="56"/>
        <v>14.313328324063699</v>
      </c>
      <c r="F147" s="387">
        <f t="shared" si="43"/>
        <v>89.53475911629634</v>
      </c>
      <c r="G147" s="405">
        <v>1125389.2</v>
      </c>
      <c r="I147" s="403" t="s">
        <v>604</v>
      </c>
      <c r="J147" s="394">
        <f aca="true" t="shared" si="59" ref="J147:L148">ROUND(B147/1000,0)</f>
        <v>13408</v>
      </c>
      <c r="K147" s="394">
        <f t="shared" si="59"/>
        <v>2144</v>
      </c>
      <c r="L147" s="394">
        <f t="shared" si="59"/>
        <v>1919</v>
      </c>
      <c r="M147" s="395">
        <f t="shared" si="44"/>
        <v>14.313328324063699</v>
      </c>
      <c r="N147" s="395">
        <f t="shared" si="44"/>
        <v>89.53475911629634</v>
      </c>
      <c r="O147" s="394">
        <f>ROUND(G147/1000,0)</f>
        <v>1125</v>
      </c>
    </row>
    <row r="148" spans="1:15" ht="12.75" customHeight="1">
      <c r="A148" s="401" t="s">
        <v>605</v>
      </c>
      <c r="B148" s="405">
        <v>588400</v>
      </c>
      <c r="C148" s="405">
        <v>74217</v>
      </c>
      <c r="D148" s="405">
        <v>28210.7</v>
      </c>
      <c r="E148" s="387">
        <f t="shared" si="56"/>
        <v>4.794476546566962</v>
      </c>
      <c r="F148" s="387">
        <f t="shared" si="43"/>
        <v>38.011102577576565</v>
      </c>
      <c r="G148" s="405">
        <v>17836.33</v>
      </c>
      <c r="I148" s="403" t="s">
        <v>605</v>
      </c>
      <c r="J148" s="394">
        <f t="shared" si="59"/>
        <v>588</v>
      </c>
      <c r="K148" s="394">
        <f t="shared" si="59"/>
        <v>74</v>
      </c>
      <c r="L148" s="394">
        <f t="shared" si="59"/>
        <v>28</v>
      </c>
      <c r="M148" s="395">
        <f t="shared" si="44"/>
        <v>4.794476546566962</v>
      </c>
      <c r="N148" s="395">
        <f t="shared" si="44"/>
        <v>38.011102577576565</v>
      </c>
      <c r="O148" s="394">
        <f>ROUND(G148/1000,0)</f>
        <v>18</v>
      </c>
    </row>
    <row r="149" spans="1:15" ht="12.75" customHeight="1">
      <c r="A149" s="397" t="s">
        <v>515</v>
      </c>
      <c r="B149" s="405"/>
      <c r="C149" s="405"/>
      <c r="D149" s="405"/>
      <c r="E149" s="405"/>
      <c r="F149" s="405"/>
      <c r="G149" s="405"/>
      <c r="I149" s="399" t="s">
        <v>515</v>
      </c>
      <c r="J149" s="405"/>
      <c r="K149" s="405"/>
      <c r="L149" s="405"/>
      <c r="M149" s="411"/>
      <c r="N149" s="411"/>
      <c r="O149" s="405"/>
    </row>
    <row r="150" spans="1:15" ht="12.75" customHeight="1">
      <c r="A150" s="391" t="s">
        <v>834</v>
      </c>
      <c r="B150" s="405">
        <f aca="true" t="shared" si="60" ref="B150:G150">SUM(B151:B153)</f>
        <v>1472393</v>
      </c>
      <c r="C150" s="405">
        <f t="shared" si="60"/>
        <v>168935</v>
      </c>
      <c r="D150" s="405">
        <f t="shared" si="60"/>
        <v>170092.3</v>
      </c>
      <c r="E150" s="387">
        <f t="shared" si="56"/>
        <v>11.552099201775611</v>
      </c>
      <c r="F150" s="387">
        <f t="shared" si="43"/>
        <v>100.68505638263237</v>
      </c>
      <c r="G150" s="405">
        <f t="shared" si="60"/>
        <v>83991</v>
      </c>
      <c r="I150" s="393" t="s">
        <v>834</v>
      </c>
      <c r="J150" s="394">
        <f aca="true" t="shared" si="61" ref="J150:L152">ROUND(B150/1000,0)</f>
        <v>1472</v>
      </c>
      <c r="K150" s="394">
        <f>K151+K152</f>
        <v>169</v>
      </c>
      <c r="L150" s="394">
        <f>L151+L152</f>
        <v>170</v>
      </c>
      <c r="M150" s="395">
        <f t="shared" si="44"/>
        <v>11.552099201775611</v>
      </c>
      <c r="N150" s="395">
        <f t="shared" si="44"/>
        <v>100.68505638263237</v>
      </c>
      <c r="O150" s="394">
        <f>O151+O152</f>
        <v>84</v>
      </c>
    </row>
    <row r="151" spans="1:15" ht="12.75" customHeight="1">
      <c r="A151" s="391" t="s">
        <v>835</v>
      </c>
      <c r="B151" s="405">
        <v>1191343</v>
      </c>
      <c r="C151" s="405">
        <v>168935</v>
      </c>
      <c r="D151" s="405">
        <v>168935</v>
      </c>
      <c r="E151" s="387">
        <f t="shared" si="56"/>
        <v>14.180215101780092</v>
      </c>
      <c r="F151" s="387">
        <f t="shared" si="43"/>
        <v>100</v>
      </c>
      <c r="G151" s="405">
        <f>D151-85300</f>
        <v>83635</v>
      </c>
      <c r="I151" s="393" t="s">
        <v>835</v>
      </c>
      <c r="J151" s="394">
        <f t="shared" si="61"/>
        <v>1191</v>
      </c>
      <c r="K151" s="394">
        <f t="shared" si="61"/>
        <v>169</v>
      </c>
      <c r="L151" s="394">
        <f t="shared" si="61"/>
        <v>169</v>
      </c>
      <c r="M151" s="395">
        <f t="shared" si="44"/>
        <v>14.180215101780092</v>
      </c>
      <c r="N151" s="395">
        <f t="shared" si="44"/>
        <v>100</v>
      </c>
      <c r="O151" s="394">
        <f>ROUND(G151/1000,0)</f>
        <v>84</v>
      </c>
    </row>
    <row r="152" spans="1:15" ht="12.75" customHeight="1">
      <c r="A152" s="391" t="s">
        <v>658</v>
      </c>
      <c r="B152" s="405">
        <v>800</v>
      </c>
      <c r="C152" s="405"/>
      <c r="D152" s="405">
        <v>1157.3</v>
      </c>
      <c r="E152" s="387"/>
      <c r="F152" s="387"/>
      <c r="G152" s="405">
        <v>356</v>
      </c>
      <c r="I152" s="393" t="s">
        <v>658</v>
      </c>
      <c r="J152" s="394">
        <f>ROUND(B152/1000,0)</f>
        <v>1</v>
      </c>
      <c r="K152" s="394"/>
      <c r="L152" s="394">
        <f t="shared" si="61"/>
        <v>1</v>
      </c>
      <c r="M152" s="395"/>
      <c r="N152" s="395">
        <v>100</v>
      </c>
      <c r="O152" s="394">
        <f>ROUND(G152/1000,0)</f>
        <v>0</v>
      </c>
    </row>
    <row r="153" spans="1:15" ht="12.75" customHeight="1">
      <c r="A153" s="391" t="s">
        <v>496</v>
      </c>
      <c r="B153" s="405">
        <v>280250</v>
      </c>
      <c r="C153" s="405"/>
      <c r="D153" s="405"/>
      <c r="E153" s="387"/>
      <c r="F153" s="405"/>
      <c r="G153" s="405"/>
      <c r="I153" s="393" t="s">
        <v>496</v>
      </c>
      <c r="J153" s="394">
        <f>ROUND(B153/1000,0)</f>
        <v>280</v>
      </c>
      <c r="K153" s="394"/>
      <c r="L153" s="394"/>
      <c r="M153" s="395"/>
      <c r="N153" s="395"/>
      <c r="O153" s="394"/>
    </row>
    <row r="154" spans="1:15" ht="12.75" customHeight="1">
      <c r="A154" s="397" t="s">
        <v>609</v>
      </c>
      <c r="B154" s="407">
        <f aca="true" t="shared" si="62" ref="B154:G154">SUM(B155:B156)</f>
        <v>1472393</v>
      </c>
      <c r="C154" s="407">
        <f t="shared" si="62"/>
        <v>168935</v>
      </c>
      <c r="D154" s="407">
        <f t="shared" si="62"/>
        <v>148462.01</v>
      </c>
      <c r="E154" s="387">
        <f t="shared" si="56"/>
        <v>10.083042367085419</v>
      </c>
      <c r="F154" s="387">
        <f t="shared" si="43"/>
        <v>87.88114363512595</v>
      </c>
      <c r="G154" s="407">
        <f t="shared" si="62"/>
        <v>85353.68</v>
      </c>
      <c r="I154" s="399" t="s">
        <v>609</v>
      </c>
      <c r="J154" s="389">
        <f>J155+J156</f>
        <v>1473</v>
      </c>
      <c r="K154" s="389">
        <f>K155+K156</f>
        <v>169</v>
      </c>
      <c r="L154" s="389">
        <f>L155+L156</f>
        <v>148</v>
      </c>
      <c r="M154" s="390">
        <f t="shared" si="44"/>
        <v>10.083042367085419</v>
      </c>
      <c r="N154" s="390">
        <f t="shared" si="44"/>
        <v>87.88114363512595</v>
      </c>
      <c r="O154" s="389">
        <f>O155+O156</f>
        <v>85</v>
      </c>
    </row>
    <row r="155" spans="1:15" ht="12.75" customHeight="1">
      <c r="A155" s="401" t="s">
        <v>604</v>
      </c>
      <c r="B155" s="405">
        <v>1343893</v>
      </c>
      <c r="C155" s="405">
        <v>163935</v>
      </c>
      <c r="D155" s="405">
        <v>148462.01</v>
      </c>
      <c r="E155" s="387">
        <f t="shared" si="56"/>
        <v>11.047160004553936</v>
      </c>
      <c r="F155" s="387">
        <f t="shared" si="43"/>
        <v>90.56150913471804</v>
      </c>
      <c r="G155" s="405">
        <v>85353.68</v>
      </c>
      <c r="I155" s="403" t="s">
        <v>604</v>
      </c>
      <c r="J155" s="394">
        <f>ROUND(B155/1000,0)</f>
        <v>1344</v>
      </c>
      <c r="K155" s="394">
        <f>ROUND(C155/1000,0)</f>
        <v>164</v>
      </c>
      <c r="L155" s="394">
        <f>ROUND(D155/1000,0)</f>
        <v>148</v>
      </c>
      <c r="M155" s="395">
        <f t="shared" si="44"/>
        <v>11.047160004553936</v>
      </c>
      <c r="N155" s="395">
        <f t="shared" si="44"/>
        <v>90.56150913471804</v>
      </c>
      <c r="O155" s="394">
        <f>ROUND(G155/1000,0)</f>
        <v>85</v>
      </c>
    </row>
    <row r="156" spans="1:15" ht="12.75" customHeight="1">
      <c r="A156" s="401" t="s">
        <v>605</v>
      </c>
      <c r="B156" s="405">
        <v>128500</v>
      </c>
      <c r="C156" s="405">
        <v>5000</v>
      </c>
      <c r="D156" s="405"/>
      <c r="E156" s="387"/>
      <c r="F156" s="387"/>
      <c r="G156" s="405"/>
      <c r="I156" s="403" t="s">
        <v>605</v>
      </c>
      <c r="J156" s="394">
        <f>ROUND(B156/1000,0)</f>
        <v>129</v>
      </c>
      <c r="K156" s="394">
        <v>5</v>
      </c>
      <c r="L156" s="394"/>
      <c r="M156" s="395"/>
      <c r="N156" s="395"/>
      <c r="O156" s="394"/>
    </row>
    <row r="157" spans="1:15" ht="12.75" customHeight="1">
      <c r="A157" s="397" t="s">
        <v>614</v>
      </c>
      <c r="B157" s="407"/>
      <c r="C157" s="407"/>
      <c r="D157" s="407"/>
      <c r="E157" s="407"/>
      <c r="F157" s="407"/>
      <c r="G157" s="407"/>
      <c r="I157" s="399" t="s">
        <v>614</v>
      </c>
      <c r="J157" s="407"/>
      <c r="K157" s="407"/>
      <c r="L157" s="407"/>
      <c r="M157" s="409"/>
      <c r="N157" s="409"/>
      <c r="O157" s="407"/>
    </row>
    <row r="158" spans="1:15" ht="12.75" customHeight="1">
      <c r="A158" s="391" t="s">
        <v>834</v>
      </c>
      <c r="B158" s="405">
        <f aca="true" t="shared" si="63" ref="B158:G158">SUM(B159)</f>
        <v>737898</v>
      </c>
      <c r="C158" s="405">
        <f t="shared" si="63"/>
        <v>104633</v>
      </c>
      <c r="D158" s="405">
        <f t="shared" si="63"/>
        <v>104633</v>
      </c>
      <c r="E158" s="387">
        <f t="shared" si="56"/>
        <v>14.179873098992001</v>
      </c>
      <c r="F158" s="387">
        <f t="shared" si="43"/>
        <v>100</v>
      </c>
      <c r="G158" s="405">
        <f t="shared" si="63"/>
        <v>51800</v>
      </c>
      <c r="I158" s="393" t="s">
        <v>834</v>
      </c>
      <c r="J158" s="394">
        <f aca="true" t="shared" si="64" ref="J158:O161">ROUND(B158/1000,0)</f>
        <v>738</v>
      </c>
      <c r="K158" s="394">
        <f t="shared" si="64"/>
        <v>105</v>
      </c>
      <c r="L158" s="394">
        <f t="shared" si="64"/>
        <v>105</v>
      </c>
      <c r="M158" s="395">
        <f t="shared" si="44"/>
        <v>14.179873098992001</v>
      </c>
      <c r="N158" s="395">
        <f t="shared" si="44"/>
        <v>100</v>
      </c>
      <c r="O158" s="394">
        <f t="shared" si="64"/>
        <v>52</v>
      </c>
    </row>
    <row r="159" spans="1:15" ht="12.75" customHeight="1">
      <c r="A159" s="391" t="s">
        <v>835</v>
      </c>
      <c r="B159" s="405">
        <v>737898</v>
      </c>
      <c r="C159" s="405">
        <v>104633</v>
      </c>
      <c r="D159" s="405">
        <v>104633</v>
      </c>
      <c r="E159" s="387">
        <f t="shared" si="56"/>
        <v>14.179873098992001</v>
      </c>
      <c r="F159" s="387">
        <f t="shared" si="43"/>
        <v>100</v>
      </c>
      <c r="G159" s="405">
        <f>D159-52833</f>
        <v>51800</v>
      </c>
      <c r="I159" s="393" t="s">
        <v>835</v>
      </c>
      <c r="J159" s="394">
        <f t="shared" si="64"/>
        <v>738</v>
      </c>
      <c r="K159" s="394">
        <f t="shared" si="64"/>
        <v>105</v>
      </c>
      <c r="L159" s="394">
        <f t="shared" si="64"/>
        <v>105</v>
      </c>
      <c r="M159" s="395">
        <f t="shared" si="44"/>
        <v>14.179873098992001</v>
      </c>
      <c r="N159" s="395">
        <f t="shared" si="44"/>
        <v>100</v>
      </c>
      <c r="O159" s="394">
        <f t="shared" si="64"/>
        <v>52</v>
      </c>
    </row>
    <row r="160" spans="1:15" ht="12.75" customHeight="1">
      <c r="A160" s="397" t="s">
        <v>609</v>
      </c>
      <c r="B160" s="407">
        <f aca="true" t="shared" si="65" ref="B160:G160">SUM(B161)</f>
        <v>737898</v>
      </c>
      <c r="C160" s="407">
        <f t="shared" si="65"/>
        <v>104633</v>
      </c>
      <c r="D160" s="407">
        <f t="shared" si="65"/>
        <v>104625.82</v>
      </c>
      <c r="E160" s="387">
        <f t="shared" si="56"/>
        <v>14.178900064778603</v>
      </c>
      <c r="F160" s="387">
        <f t="shared" si="43"/>
        <v>99.99313792015904</v>
      </c>
      <c r="G160" s="407">
        <f t="shared" si="65"/>
        <v>51794.54</v>
      </c>
      <c r="H160" s="413"/>
      <c r="I160" s="399" t="s">
        <v>609</v>
      </c>
      <c r="J160" s="389">
        <f>J161+J162</f>
        <v>738</v>
      </c>
      <c r="K160" s="389">
        <f>K161+K162</f>
        <v>105</v>
      </c>
      <c r="L160" s="389">
        <f>L161+L162</f>
        <v>105</v>
      </c>
      <c r="M160" s="390">
        <f t="shared" si="44"/>
        <v>14.178900064778603</v>
      </c>
      <c r="N160" s="390">
        <f t="shared" si="44"/>
        <v>99.99313792015904</v>
      </c>
      <c r="O160" s="389">
        <f>O161+O162</f>
        <v>52</v>
      </c>
    </row>
    <row r="161" spans="1:15" ht="12.75" customHeight="1">
      <c r="A161" s="401" t="s">
        <v>604</v>
      </c>
      <c r="B161" s="405">
        <v>737898</v>
      </c>
      <c r="C161" s="405">
        <v>104633</v>
      </c>
      <c r="D161" s="405">
        <v>104625.82</v>
      </c>
      <c r="E161" s="387">
        <f t="shared" si="56"/>
        <v>14.178900064778603</v>
      </c>
      <c r="F161" s="387">
        <f t="shared" si="43"/>
        <v>99.99313792015904</v>
      </c>
      <c r="G161" s="405">
        <v>51794.54</v>
      </c>
      <c r="I161" s="403" t="s">
        <v>604</v>
      </c>
      <c r="J161" s="394">
        <f t="shared" si="64"/>
        <v>738</v>
      </c>
      <c r="K161" s="394">
        <f t="shared" si="64"/>
        <v>105</v>
      </c>
      <c r="L161" s="394">
        <f t="shared" si="64"/>
        <v>105</v>
      </c>
      <c r="M161" s="395">
        <f t="shared" si="44"/>
        <v>14.178900064778603</v>
      </c>
      <c r="N161" s="395">
        <f t="shared" si="44"/>
        <v>99.99313792015904</v>
      </c>
      <c r="O161" s="394">
        <f t="shared" si="64"/>
        <v>52</v>
      </c>
    </row>
    <row r="162" spans="1:15" ht="12.75" customHeight="1">
      <c r="A162" s="397" t="s">
        <v>615</v>
      </c>
      <c r="B162" s="407"/>
      <c r="C162" s="407"/>
      <c r="D162" s="407"/>
      <c r="E162" s="407"/>
      <c r="F162" s="407"/>
      <c r="G162" s="407"/>
      <c r="I162" s="399" t="s">
        <v>615</v>
      </c>
      <c r="J162" s="407"/>
      <c r="K162" s="407"/>
      <c r="L162" s="407"/>
      <c r="M162" s="409"/>
      <c r="N162" s="409"/>
      <c r="O162" s="407"/>
    </row>
    <row r="163" spans="1:15" ht="12.75" customHeight="1">
      <c r="A163" s="391" t="s">
        <v>834</v>
      </c>
      <c r="B163" s="405">
        <f aca="true" t="shared" si="66" ref="B163:G163">SUM(B164:B165)</f>
        <v>335805</v>
      </c>
      <c r="C163" s="405">
        <f t="shared" si="66"/>
        <v>46407</v>
      </c>
      <c r="D163" s="405">
        <f t="shared" si="66"/>
        <v>46502.38</v>
      </c>
      <c r="E163" s="387">
        <f t="shared" si="56"/>
        <v>13.848030851238068</v>
      </c>
      <c r="F163" s="387">
        <f t="shared" si="43"/>
        <v>100.20552933824638</v>
      </c>
      <c r="G163" s="405">
        <f t="shared" si="66"/>
        <v>22232</v>
      </c>
      <c r="I163" s="393" t="s">
        <v>834</v>
      </c>
      <c r="J163" s="394">
        <f aca="true" t="shared" si="67" ref="J163:O168">ROUND(B163/1000,0)</f>
        <v>336</v>
      </c>
      <c r="K163" s="394">
        <f>K164+K165</f>
        <v>47</v>
      </c>
      <c r="L163" s="394">
        <f t="shared" si="67"/>
        <v>47</v>
      </c>
      <c r="M163" s="395">
        <f t="shared" si="44"/>
        <v>13.848030851238068</v>
      </c>
      <c r="N163" s="395">
        <f t="shared" si="44"/>
        <v>100.20552933824638</v>
      </c>
      <c r="O163" s="394">
        <f t="shared" si="67"/>
        <v>22</v>
      </c>
    </row>
    <row r="164" spans="1:15" ht="12.75" customHeight="1">
      <c r="A164" s="391" t="s">
        <v>835</v>
      </c>
      <c r="B164" s="405">
        <v>316689</v>
      </c>
      <c r="C164" s="405">
        <v>44907</v>
      </c>
      <c r="D164" s="405">
        <v>44907</v>
      </c>
      <c r="E164" s="387">
        <f t="shared" si="56"/>
        <v>14.180157820448452</v>
      </c>
      <c r="F164" s="387">
        <f t="shared" si="43"/>
        <v>100</v>
      </c>
      <c r="G164" s="405">
        <f>D164-22675</f>
        <v>22232</v>
      </c>
      <c r="I164" s="393" t="s">
        <v>835</v>
      </c>
      <c r="J164" s="394">
        <f t="shared" si="67"/>
        <v>317</v>
      </c>
      <c r="K164" s="394">
        <f t="shared" si="67"/>
        <v>45</v>
      </c>
      <c r="L164" s="394">
        <f t="shared" si="67"/>
        <v>45</v>
      </c>
      <c r="M164" s="395">
        <f t="shared" si="44"/>
        <v>14.180157820448452</v>
      </c>
      <c r="N164" s="395">
        <f t="shared" si="44"/>
        <v>100</v>
      </c>
      <c r="O164" s="394">
        <f t="shared" si="67"/>
        <v>22</v>
      </c>
    </row>
    <row r="165" spans="1:15" ht="12.75" customHeight="1">
      <c r="A165" s="391" t="s">
        <v>658</v>
      </c>
      <c r="B165" s="405">
        <v>19116</v>
      </c>
      <c r="C165" s="405">
        <v>1500</v>
      </c>
      <c r="D165" s="405">
        <v>1595.38</v>
      </c>
      <c r="E165" s="387">
        <f t="shared" si="56"/>
        <v>8.34578363674409</v>
      </c>
      <c r="F165" s="387">
        <f t="shared" si="43"/>
        <v>106.35866666666666</v>
      </c>
      <c r="G165" s="405"/>
      <c r="I165" s="393" t="s">
        <v>658</v>
      </c>
      <c r="J165" s="394">
        <f t="shared" si="67"/>
        <v>19</v>
      </c>
      <c r="K165" s="394">
        <f t="shared" si="67"/>
        <v>2</v>
      </c>
      <c r="L165" s="394">
        <f t="shared" si="67"/>
        <v>2</v>
      </c>
      <c r="M165" s="395">
        <f t="shared" si="44"/>
        <v>8.34578363674409</v>
      </c>
      <c r="N165" s="395">
        <f t="shared" si="44"/>
        <v>106.35866666666666</v>
      </c>
      <c r="O165" s="394">
        <f t="shared" si="67"/>
        <v>0</v>
      </c>
    </row>
    <row r="166" spans="1:15" ht="12.75" customHeight="1">
      <c r="A166" s="397" t="s">
        <v>609</v>
      </c>
      <c r="B166" s="407">
        <f aca="true" t="shared" si="68" ref="B166:G166">SUM(B167:B168)</f>
        <v>335805</v>
      </c>
      <c r="C166" s="407">
        <f t="shared" si="68"/>
        <v>46407</v>
      </c>
      <c r="D166" s="407">
        <f t="shared" si="68"/>
        <v>45446.88</v>
      </c>
      <c r="E166" s="387">
        <f t="shared" si="56"/>
        <v>13.533711529012374</v>
      </c>
      <c r="F166" s="387">
        <f t="shared" si="43"/>
        <v>97.93108798241644</v>
      </c>
      <c r="G166" s="407">
        <f t="shared" si="68"/>
        <v>23729.23</v>
      </c>
      <c r="I166" s="399" t="s">
        <v>609</v>
      </c>
      <c r="J166" s="389">
        <f>J167+J168</f>
        <v>336</v>
      </c>
      <c r="K166" s="389">
        <f>K167+K168</f>
        <v>46</v>
      </c>
      <c r="L166" s="389">
        <f>L167+L168</f>
        <v>45</v>
      </c>
      <c r="M166" s="390">
        <f t="shared" si="44"/>
        <v>13.533711529012374</v>
      </c>
      <c r="N166" s="390">
        <f t="shared" si="44"/>
        <v>97.93108798241644</v>
      </c>
      <c r="O166" s="389">
        <f>O167+O168</f>
        <v>24</v>
      </c>
    </row>
    <row r="167" spans="1:15" ht="12.75" customHeight="1">
      <c r="A167" s="401" t="s">
        <v>604</v>
      </c>
      <c r="B167" s="405">
        <v>315805</v>
      </c>
      <c r="C167" s="405">
        <v>45407</v>
      </c>
      <c r="D167" s="405">
        <v>44499.28</v>
      </c>
      <c r="E167" s="387">
        <f t="shared" si="56"/>
        <v>14.090745871661309</v>
      </c>
      <c r="F167" s="387">
        <f t="shared" si="43"/>
        <v>98.00092496751603</v>
      </c>
      <c r="G167" s="405">
        <v>23729.23</v>
      </c>
      <c r="I167" s="403" t="s">
        <v>604</v>
      </c>
      <c r="J167" s="394">
        <f t="shared" si="67"/>
        <v>316</v>
      </c>
      <c r="K167" s="394">
        <f t="shared" si="67"/>
        <v>45</v>
      </c>
      <c r="L167" s="394">
        <f t="shared" si="67"/>
        <v>44</v>
      </c>
      <c r="M167" s="395">
        <f t="shared" si="44"/>
        <v>14.090745871661309</v>
      </c>
      <c r="N167" s="395">
        <f t="shared" si="44"/>
        <v>98.00092496751603</v>
      </c>
      <c r="O167" s="394">
        <f t="shared" si="67"/>
        <v>24</v>
      </c>
    </row>
    <row r="168" spans="1:15" ht="12.75" customHeight="1">
      <c r="A168" s="401" t="s">
        <v>605</v>
      </c>
      <c r="B168" s="405">
        <v>20000</v>
      </c>
      <c r="C168" s="405">
        <v>1000</v>
      </c>
      <c r="D168" s="405">
        <v>947.6</v>
      </c>
      <c r="E168" s="387">
        <f t="shared" si="56"/>
        <v>4.7379999999999995</v>
      </c>
      <c r="F168" s="387">
        <f t="shared" si="43"/>
        <v>94.76</v>
      </c>
      <c r="G168" s="405"/>
      <c r="I168" s="403" t="s">
        <v>605</v>
      </c>
      <c r="J168" s="394">
        <f t="shared" si="67"/>
        <v>20</v>
      </c>
      <c r="K168" s="394">
        <f t="shared" si="67"/>
        <v>1</v>
      </c>
      <c r="L168" s="394">
        <f t="shared" si="67"/>
        <v>1</v>
      </c>
      <c r="M168" s="395">
        <f t="shared" si="44"/>
        <v>4.7379999999999995</v>
      </c>
      <c r="N168" s="395">
        <f t="shared" si="44"/>
        <v>94.76</v>
      </c>
      <c r="O168" s="394">
        <f t="shared" si="67"/>
        <v>0</v>
      </c>
    </row>
    <row r="169" spans="1:15" ht="12.75" customHeight="1">
      <c r="A169" s="397" t="s">
        <v>616</v>
      </c>
      <c r="B169" s="405"/>
      <c r="C169" s="405"/>
      <c r="D169" s="405"/>
      <c r="E169" s="405"/>
      <c r="F169" s="405"/>
      <c r="G169" s="405"/>
      <c r="I169" s="399" t="s">
        <v>616</v>
      </c>
      <c r="J169" s="405"/>
      <c r="K169" s="405"/>
      <c r="L169" s="405"/>
      <c r="M169" s="411"/>
      <c r="N169" s="411"/>
      <c r="O169" s="405"/>
    </row>
    <row r="170" spans="1:15" ht="12.75" customHeight="1">
      <c r="A170" s="391" t="s">
        <v>834</v>
      </c>
      <c r="B170" s="405">
        <f aca="true" t="shared" si="69" ref="B170:G170">SUM(B171:B172)</f>
        <v>6428814</v>
      </c>
      <c r="C170" s="405">
        <f t="shared" si="69"/>
        <v>975784</v>
      </c>
      <c r="D170" s="405">
        <f t="shared" si="69"/>
        <v>977188.6</v>
      </c>
      <c r="E170" s="387">
        <f t="shared" si="56"/>
        <v>15.200138003681548</v>
      </c>
      <c r="F170" s="387">
        <f t="shared" si="43"/>
        <v>100.14394579128168</v>
      </c>
      <c r="G170" s="405">
        <f t="shared" si="69"/>
        <v>488320.57</v>
      </c>
      <c r="I170" s="393" t="s">
        <v>834</v>
      </c>
      <c r="J170" s="394">
        <f>ROUND(B170/1000,0)</f>
        <v>6429</v>
      </c>
      <c r="K170" s="394">
        <f>K171+K172</f>
        <v>976</v>
      </c>
      <c r="L170" s="394">
        <f>L171+L172</f>
        <v>977</v>
      </c>
      <c r="M170" s="395">
        <f t="shared" si="44"/>
        <v>15.200138003681548</v>
      </c>
      <c r="N170" s="395">
        <f t="shared" si="44"/>
        <v>100.14394579128168</v>
      </c>
      <c r="O170" s="394">
        <f>O171+O172</f>
        <v>489</v>
      </c>
    </row>
    <row r="171" spans="1:15" ht="12.75" customHeight="1">
      <c r="A171" s="391" t="s">
        <v>835</v>
      </c>
      <c r="B171" s="405">
        <v>6419814</v>
      </c>
      <c r="C171" s="405">
        <v>974284</v>
      </c>
      <c r="D171" s="405">
        <v>974284</v>
      </c>
      <c r="E171" s="387">
        <f t="shared" si="56"/>
        <v>15.176202924259178</v>
      </c>
      <c r="F171" s="387">
        <f t="shared" si="43"/>
        <v>100</v>
      </c>
      <c r="G171" s="405">
        <f>D171-488670</f>
        <v>485614</v>
      </c>
      <c r="I171" s="393" t="s">
        <v>835</v>
      </c>
      <c r="J171" s="394">
        <f>ROUND(B171/1000,0)</f>
        <v>6420</v>
      </c>
      <c r="K171" s="394">
        <f>ROUND(C171/1000,0)</f>
        <v>974</v>
      </c>
      <c r="L171" s="394">
        <f>ROUND(D171/1000,0)</f>
        <v>974</v>
      </c>
      <c r="M171" s="395">
        <f t="shared" si="44"/>
        <v>15.176202924259178</v>
      </c>
      <c r="N171" s="395">
        <f t="shared" si="44"/>
        <v>100</v>
      </c>
      <c r="O171" s="394">
        <f>ROUND(G171/1000,0)</f>
        <v>486</v>
      </c>
    </row>
    <row r="172" spans="1:15" ht="12.75" customHeight="1">
      <c r="A172" s="391" t="s">
        <v>658</v>
      </c>
      <c r="B172" s="405">
        <v>9000</v>
      </c>
      <c r="C172" s="405">
        <v>1500</v>
      </c>
      <c r="D172" s="405">
        <v>2904.6</v>
      </c>
      <c r="E172" s="387">
        <f t="shared" si="56"/>
        <v>32.27333333333333</v>
      </c>
      <c r="F172" s="387">
        <f t="shared" si="43"/>
        <v>193.64</v>
      </c>
      <c r="G172" s="405">
        <v>2706.57</v>
      </c>
      <c r="I172" s="393" t="s">
        <v>658</v>
      </c>
      <c r="J172" s="394">
        <f>ROUND(B172/1000,0)</f>
        <v>9</v>
      </c>
      <c r="K172" s="394">
        <f>ROUND(C172/1000,0)</f>
        <v>2</v>
      </c>
      <c r="L172" s="394">
        <f>ROUND(D172/1000,0)</f>
        <v>3</v>
      </c>
      <c r="M172" s="395">
        <f t="shared" si="44"/>
        <v>32.27333333333333</v>
      </c>
      <c r="N172" s="395">
        <f t="shared" si="44"/>
        <v>193.64</v>
      </c>
      <c r="O172" s="394">
        <f>ROUND(G172/1000,0)</f>
        <v>3</v>
      </c>
    </row>
    <row r="173" spans="1:15" ht="12.75" customHeight="1">
      <c r="A173" s="397" t="s">
        <v>609</v>
      </c>
      <c r="B173" s="407">
        <f aca="true" t="shared" si="70" ref="B173:G173">SUM(B174:B175)</f>
        <v>6428814</v>
      </c>
      <c r="C173" s="407">
        <f t="shared" si="70"/>
        <v>975784</v>
      </c>
      <c r="D173" s="407">
        <f t="shared" si="70"/>
        <v>864379.39</v>
      </c>
      <c r="E173" s="387">
        <f t="shared" si="56"/>
        <v>13.445394282677956</v>
      </c>
      <c r="F173" s="387">
        <f t="shared" si="43"/>
        <v>88.58306653931608</v>
      </c>
      <c r="G173" s="407">
        <f t="shared" si="70"/>
        <v>445067.06</v>
      </c>
      <c r="I173" s="399" t="s">
        <v>609</v>
      </c>
      <c r="J173" s="389">
        <f>J174+J175</f>
        <v>6429</v>
      </c>
      <c r="K173" s="389">
        <f>K174+K175</f>
        <v>976</v>
      </c>
      <c r="L173" s="389">
        <f>L174+L175</f>
        <v>864</v>
      </c>
      <c r="M173" s="390">
        <f t="shared" si="44"/>
        <v>13.445394282677956</v>
      </c>
      <c r="N173" s="390">
        <f t="shared" si="44"/>
        <v>88.58306653931608</v>
      </c>
      <c r="O173" s="389">
        <f>O174+O175</f>
        <v>445</v>
      </c>
    </row>
    <row r="174" spans="1:15" ht="12.75" customHeight="1">
      <c r="A174" s="401" t="s">
        <v>604</v>
      </c>
      <c r="B174" s="405">
        <v>6285754</v>
      </c>
      <c r="C174" s="405">
        <v>974784</v>
      </c>
      <c r="D174" s="405">
        <v>863433.67</v>
      </c>
      <c r="E174" s="387">
        <f t="shared" si="56"/>
        <v>13.736357961192883</v>
      </c>
      <c r="F174" s="387">
        <f t="shared" si="43"/>
        <v>88.57692268235834</v>
      </c>
      <c r="G174" s="405">
        <v>444912.06</v>
      </c>
      <c r="I174" s="403" t="s">
        <v>604</v>
      </c>
      <c r="J174" s="394">
        <f aca="true" t="shared" si="71" ref="J174:L175">ROUND(B174/1000,0)</f>
        <v>6286</v>
      </c>
      <c r="K174" s="394">
        <f t="shared" si="71"/>
        <v>975</v>
      </c>
      <c r="L174" s="394">
        <f t="shared" si="71"/>
        <v>863</v>
      </c>
      <c r="M174" s="395">
        <f aca="true" t="shared" si="72" ref="M174:N236">E174</f>
        <v>13.736357961192883</v>
      </c>
      <c r="N174" s="395">
        <f t="shared" si="72"/>
        <v>88.57692268235834</v>
      </c>
      <c r="O174" s="394">
        <f>ROUND(G174/1000,0)</f>
        <v>445</v>
      </c>
    </row>
    <row r="175" spans="1:15" ht="12.75" customHeight="1">
      <c r="A175" s="401" t="s">
        <v>605</v>
      </c>
      <c r="B175" s="405">
        <v>143060</v>
      </c>
      <c r="C175" s="405">
        <v>1000</v>
      </c>
      <c r="D175" s="405">
        <v>945.72</v>
      </c>
      <c r="E175" s="387">
        <f t="shared" si="56"/>
        <v>0.6610652872920453</v>
      </c>
      <c r="F175" s="387">
        <f t="shared" si="43"/>
        <v>94.572</v>
      </c>
      <c r="G175" s="405">
        <v>155</v>
      </c>
      <c r="I175" s="403" t="s">
        <v>605</v>
      </c>
      <c r="J175" s="394">
        <f t="shared" si="71"/>
        <v>143</v>
      </c>
      <c r="K175" s="394">
        <f t="shared" si="71"/>
        <v>1</v>
      </c>
      <c r="L175" s="394">
        <f t="shared" si="71"/>
        <v>1</v>
      </c>
      <c r="M175" s="395">
        <f t="shared" si="72"/>
        <v>0.6610652872920453</v>
      </c>
      <c r="N175" s="395">
        <f t="shared" si="72"/>
        <v>94.572</v>
      </c>
      <c r="O175" s="394">
        <f>ROUND(G175/1000,0)</f>
        <v>0</v>
      </c>
    </row>
    <row r="176" spans="1:15" ht="12.75" customHeight="1">
      <c r="A176" s="382" t="s">
        <v>617</v>
      </c>
      <c r="B176" s="407"/>
      <c r="C176" s="407"/>
      <c r="D176" s="407"/>
      <c r="E176" s="407"/>
      <c r="F176" s="407"/>
      <c r="G176" s="407"/>
      <c r="I176" s="388" t="s">
        <v>617</v>
      </c>
      <c r="J176" s="407"/>
      <c r="K176" s="407"/>
      <c r="L176" s="407"/>
      <c r="M176" s="409"/>
      <c r="N176" s="409"/>
      <c r="O176" s="407"/>
    </row>
    <row r="177" spans="1:15" ht="12.75" customHeight="1">
      <c r="A177" s="391" t="s">
        <v>834</v>
      </c>
      <c r="B177" s="405">
        <f aca="true" t="shared" si="73" ref="B177:G177">SUM(B178)</f>
        <v>230269</v>
      </c>
      <c r="C177" s="405">
        <f t="shared" si="73"/>
        <v>90772</v>
      </c>
      <c r="D177" s="405">
        <f t="shared" si="73"/>
        <v>90772</v>
      </c>
      <c r="E177" s="387">
        <f t="shared" si="56"/>
        <v>39.4199827158671</v>
      </c>
      <c r="F177" s="387">
        <f t="shared" si="43"/>
        <v>100</v>
      </c>
      <c r="G177" s="405">
        <f t="shared" si="73"/>
        <v>17973</v>
      </c>
      <c r="I177" s="393" t="s">
        <v>834</v>
      </c>
      <c r="J177" s="394">
        <f aca="true" t="shared" si="74" ref="J177:O181">ROUND(B177/1000,0)</f>
        <v>230</v>
      </c>
      <c r="K177" s="394">
        <f t="shared" si="74"/>
        <v>91</v>
      </c>
      <c r="L177" s="394">
        <f t="shared" si="74"/>
        <v>91</v>
      </c>
      <c r="M177" s="395">
        <f t="shared" si="72"/>
        <v>39.4199827158671</v>
      </c>
      <c r="N177" s="395">
        <f t="shared" si="72"/>
        <v>100</v>
      </c>
      <c r="O177" s="394">
        <f t="shared" si="74"/>
        <v>18</v>
      </c>
    </row>
    <row r="178" spans="1:15" ht="12.75" customHeight="1">
      <c r="A178" s="391" t="s">
        <v>835</v>
      </c>
      <c r="B178" s="405">
        <v>230269</v>
      </c>
      <c r="C178" s="405">
        <v>90772</v>
      </c>
      <c r="D178" s="405">
        <v>90772</v>
      </c>
      <c r="E178" s="387">
        <f t="shared" si="56"/>
        <v>39.4199827158671</v>
      </c>
      <c r="F178" s="387">
        <f t="shared" si="43"/>
        <v>100</v>
      </c>
      <c r="G178" s="405">
        <f>D178-72799</f>
        <v>17973</v>
      </c>
      <c r="I178" s="393" t="s">
        <v>835</v>
      </c>
      <c r="J178" s="394">
        <f t="shared" si="74"/>
        <v>230</v>
      </c>
      <c r="K178" s="394">
        <f t="shared" si="74"/>
        <v>91</v>
      </c>
      <c r="L178" s="394">
        <f t="shared" si="74"/>
        <v>91</v>
      </c>
      <c r="M178" s="395">
        <f t="shared" si="72"/>
        <v>39.4199827158671</v>
      </c>
      <c r="N178" s="395">
        <f t="shared" si="72"/>
        <v>100</v>
      </c>
      <c r="O178" s="394">
        <f t="shared" si="74"/>
        <v>18</v>
      </c>
    </row>
    <row r="179" spans="1:15" ht="12.75" customHeight="1">
      <c r="A179" s="397" t="s">
        <v>609</v>
      </c>
      <c r="B179" s="407">
        <f aca="true" t="shared" si="75" ref="B179:G179">SUM(B180:B181)</f>
        <v>230269</v>
      </c>
      <c r="C179" s="407">
        <f t="shared" si="75"/>
        <v>90772</v>
      </c>
      <c r="D179" s="407">
        <f t="shared" si="75"/>
        <v>86969.7</v>
      </c>
      <c r="E179" s="387">
        <f t="shared" si="56"/>
        <v>37.768740038824156</v>
      </c>
      <c r="F179" s="387">
        <f t="shared" si="43"/>
        <v>95.81115321905433</v>
      </c>
      <c r="G179" s="407">
        <f t="shared" si="75"/>
        <v>25663.289999999997</v>
      </c>
      <c r="I179" s="399" t="s">
        <v>609</v>
      </c>
      <c r="J179" s="389">
        <f>J180+J181</f>
        <v>230</v>
      </c>
      <c r="K179" s="389">
        <f>K180+K181</f>
        <v>91</v>
      </c>
      <c r="L179" s="389">
        <f>L180+L181</f>
        <v>87</v>
      </c>
      <c r="M179" s="390">
        <f t="shared" si="72"/>
        <v>37.768740038824156</v>
      </c>
      <c r="N179" s="390">
        <f t="shared" si="72"/>
        <v>95.81115321905433</v>
      </c>
      <c r="O179" s="389">
        <f>O180+O181</f>
        <v>26</v>
      </c>
    </row>
    <row r="180" spans="1:15" ht="12.75" customHeight="1">
      <c r="A180" s="401" t="s">
        <v>604</v>
      </c>
      <c r="B180" s="405">
        <v>216269</v>
      </c>
      <c r="C180" s="405">
        <v>78272</v>
      </c>
      <c r="D180" s="405">
        <v>74678.92</v>
      </c>
      <c r="E180" s="387">
        <f t="shared" si="56"/>
        <v>34.5305707244219</v>
      </c>
      <c r="F180" s="387">
        <f t="shared" si="43"/>
        <v>95.40949509403107</v>
      </c>
      <c r="G180" s="405">
        <v>22581.44</v>
      </c>
      <c r="I180" s="403" t="s">
        <v>604</v>
      </c>
      <c r="J180" s="394">
        <f t="shared" si="74"/>
        <v>216</v>
      </c>
      <c r="K180" s="394">
        <f t="shared" si="74"/>
        <v>78</v>
      </c>
      <c r="L180" s="394">
        <f t="shared" si="74"/>
        <v>75</v>
      </c>
      <c r="M180" s="395">
        <f t="shared" si="72"/>
        <v>34.5305707244219</v>
      </c>
      <c r="N180" s="395">
        <f t="shared" si="72"/>
        <v>95.40949509403107</v>
      </c>
      <c r="O180" s="394">
        <f t="shared" si="74"/>
        <v>23</v>
      </c>
    </row>
    <row r="181" spans="1:15" ht="12.75" customHeight="1">
      <c r="A181" s="401" t="s">
        <v>605</v>
      </c>
      <c r="B181" s="405">
        <v>14000</v>
      </c>
      <c r="C181" s="405">
        <v>12500</v>
      </c>
      <c r="D181" s="405">
        <v>12290.78</v>
      </c>
      <c r="E181" s="387">
        <f t="shared" si="56"/>
        <v>87.79128571428572</v>
      </c>
      <c r="F181" s="387">
        <f t="shared" si="43"/>
        <v>98.32624000000001</v>
      </c>
      <c r="G181" s="405">
        <v>3081.85</v>
      </c>
      <c r="I181" s="403" t="s">
        <v>605</v>
      </c>
      <c r="J181" s="394">
        <f t="shared" si="74"/>
        <v>14</v>
      </c>
      <c r="K181" s="394">
        <f t="shared" si="74"/>
        <v>13</v>
      </c>
      <c r="L181" s="394">
        <f t="shared" si="74"/>
        <v>12</v>
      </c>
      <c r="M181" s="395">
        <f t="shared" si="72"/>
        <v>87.79128571428572</v>
      </c>
      <c r="N181" s="395">
        <f t="shared" si="72"/>
        <v>98.32624000000001</v>
      </c>
      <c r="O181" s="394">
        <f t="shared" si="74"/>
        <v>3</v>
      </c>
    </row>
    <row r="182" spans="1:15" ht="12.75" customHeight="1">
      <c r="A182" s="220" t="s">
        <v>618</v>
      </c>
      <c r="B182" s="407"/>
      <c r="C182" s="407"/>
      <c r="D182" s="407"/>
      <c r="E182" s="407"/>
      <c r="F182" s="407"/>
      <c r="G182" s="407"/>
      <c r="I182" s="408" t="s">
        <v>618</v>
      </c>
      <c r="J182" s="407"/>
      <c r="K182" s="407"/>
      <c r="L182" s="407"/>
      <c r="M182" s="409"/>
      <c r="N182" s="409"/>
      <c r="O182" s="407"/>
    </row>
    <row r="183" spans="1:15" ht="12.75" customHeight="1">
      <c r="A183" s="391" t="s">
        <v>834</v>
      </c>
      <c r="B183" s="405">
        <f aca="true" t="shared" si="76" ref="B183:G183">SUM(B184)</f>
        <v>51951</v>
      </c>
      <c r="C183" s="405">
        <f t="shared" si="76"/>
        <v>7564</v>
      </c>
      <c r="D183" s="405">
        <f t="shared" si="76"/>
        <v>7564</v>
      </c>
      <c r="E183" s="387">
        <f t="shared" si="56"/>
        <v>14.559873727165984</v>
      </c>
      <c r="F183" s="387">
        <f t="shared" si="43"/>
        <v>100</v>
      </c>
      <c r="G183" s="405">
        <f t="shared" si="76"/>
        <v>3782</v>
      </c>
      <c r="I183" s="393" t="s">
        <v>834</v>
      </c>
      <c r="J183" s="394">
        <f aca="true" t="shared" si="77" ref="J183:L184">ROUND(B183/1000,0)</f>
        <v>52</v>
      </c>
      <c r="K183" s="394">
        <f t="shared" si="77"/>
        <v>8</v>
      </c>
      <c r="L183" s="394">
        <f t="shared" si="77"/>
        <v>8</v>
      </c>
      <c r="M183" s="395">
        <f t="shared" si="72"/>
        <v>14.559873727165984</v>
      </c>
      <c r="N183" s="395">
        <f t="shared" si="72"/>
        <v>100</v>
      </c>
      <c r="O183" s="394">
        <f>ROUND(G183/1000,0)</f>
        <v>4</v>
      </c>
    </row>
    <row r="184" spans="1:15" ht="12.75" customHeight="1">
      <c r="A184" s="391" t="s">
        <v>835</v>
      </c>
      <c r="B184" s="405">
        <v>51951</v>
      </c>
      <c r="C184" s="405">
        <v>7564</v>
      </c>
      <c r="D184" s="405">
        <v>7564</v>
      </c>
      <c r="E184" s="387">
        <f t="shared" si="56"/>
        <v>14.559873727165984</v>
      </c>
      <c r="F184" s="387">
        <f t="shared" si="43"/>
        <v>100</v>
      </c>
      <c r="G184" s="405">
        <f>D184-3782</f>
        <v>3782</v>
      </c>
      <c r="I184" s="393" t="s">
        <v>835</v>
      </c>
      <c r="J184" s="394">
        <f t="shared" si="77"/>
        <v>52</v>
      </c>
      <c r="K184" s="394">
        <f t="shared" si="77"/>
        <v>8</v>
      </c>
      <c r="L184" s="394">
        <f t="shared" si="77"/>
        <v>8</v>
      </c>
      <c r="M184" s="395">
        <f t="shared" si="72"/>
        <v>14.559873727165984</v>
      </c>
      <c r="N184" s="395">
        <f t="shared" si="72"/>
        <v>100</v>
      </c>
      <c r="O184" s="394">
        <f>ROUND(G184/1000,0)</f>
        <v>4</v>
      </c>
    </row>
    <row r="185" spans="1:15" ht="12.75" customHeight="1">
      <c r="A185" s="397" t="s">
        <v>609</v>
      </c>
      <c r="B185" s="407">
        <f aca="true" t="shared" si="78" ref="B185:G185">SUM(B186)</f>
        <v>51951</v>
      </c>
      <c r="C185" s="407">
        <f t="shared" si="78"/>
        <v>7564</v>
      </c>
      <c r="D185" s="407">
        <f t="shared" si="78"/>
        <v>5859.68</v>
      </c>
      <c r="E185" s="387">
        <f t="shared" si="56"/>
        <v>11.27924390290851</v>
      </c>
      <c r="F185" s="387">
        <f t="shared" si="43"/>
        <v>77.46800634584876</v>
      </c>
      <c r="G185" s="407">
        <f t="shared" si="78"/>
        <v>3219.08</v>
      </c>
      <c r="I185" s="399" t="s">
        <v>609</v>
      </c>
      <c r="J185" s="389">
        <f>J186+J187</f>
        <v>52</v>
      </c>
      <c r="K185" s="389">
        <f>K186+K187</f>
        <v>8</v>
      </c>
      <c r="L185" s="389">
        <f>L186+L187</f>
        <v>6</v>
      </c>
      <c r="M185" s="390">
        <f t="shared" si="72"/>
        <v>11.27924390290851</v>
      </c>
      <c r="N185" s="390">
        <f t="shared" si="72"/>
        <v>77.46800634584876</v>
      </c>
      <c r="O185" s="389">
        <f>O186+O187</f>
        <v>3</v>
      </c>
    </row>
    <row r="186" spans="1:15" ht="12.75" customHeight="1">
      <c r="A186" s="401" t="s">
        <v>604</v>
      </c>
      <c r="B186" s="405">
        <v>51951</v>
      </c>
      <c r="C186" s="405">
        <v>7564</v>
      </c>
      <c r="D186" s="405">
        <v>5859.68</v>
      </c>
      <c r="E186" s="387">
        <f t="shared" si="56"/>
        <v>11.27924390290851</v>
      </c>
      <c r="F186" s="387">
        <f t="shared" si="43"/>
        <v>77.46800634584876</v>
      </c>
      <c r="G186" s="405">
        <v>3219.08</v>
      </c>
      <c r="I186" s="403" t="s">
        <v>604</v>
      </c>
      <c r="J186" s="394">
        <f>ROUND(B186/1000,0)</f>
        <v>52</v>
      </c>
      <c r="K186" s="394">
        <v>8</v>
      </c>
      <c r="L186" s="394">
        <f>ROUND(D186/1000,0)</f>
        <v>6</v>
      </c>
      <c r="M186" s="395">
        <f t="shared" si="72"/>
        <v>11.27924390290851</v>
      </c>
      <c r="N186" s="395">
        <f t="shared" si="72"/>
        <v>77.46800634584876</v>
      </c>
      <c r="O186" s="394">
        <f>ROUND(G186/1000,0)</f>
        <v>3</v>
      </c>
    </row>
    <row r="187" spans="1:15" ht="12.75" customHeight="1">
      <c r="A187" s="220" t="s">
        <v>619</v>
      </c>
      <c r="B187" s="407"/>
      <c r="C187" s="407"/>
      <c r="D187" s="407"/>
      <c r="E187" s="407"/>
      <c r="F187" s="407"/>
      <c r="G187" s="407"/>
      <c r="I187" s="408" t="s">
        <v>619</v>
      </c>
      <c r="J187" s="407"/>
      <c r="K187" s="407"/>
      <c r="L187" s="407"/>
      <c r="M187" s="395"/>
      <c r="N187" s="395"/>
      <c r="O187" s="407"/>
    </row>
    <row r="188" spans="1:15" ht="12.75" customHeight="1">
      <c r="A188" s="391" t="s">
        <v>834</v>
      </c>
      <c r="B188" s="405">
        <f aca="true" t="shared" si="79" ref="B188:G188">SUM(B189)</f>
        <v>1643907</v>
      </c>
      <c r="C188" s="405">
        <f t="shared" si="79"/>
        <v>181900</v>
      </c>
      <c r="D188" s="405">
        <f t="shared" si="79"/>
        <v>181900</v>
      </c>
      <c r="E188" s="387">
        <f t="shared" si="56"/>
        <v>11.065102831242887</v>
      </c>
      <c r="F188" s="387">
        <f t="shared" si="43"/>
        <v>100</v>
      </c>
      <c r="G188" s="405">
        <f t="shared" si="79"/>
        <v>90900</v>
      </c>
      <c r="I188" s="393" t="s">
        <v>834</v>
      </c>
      <c r="J188" s="394">
        <f aca="true" t="shared" si="80" ref="J188:O191">ROUND(B188/1000,0)</f>
        <v>1644</v>
      </c>
      <c r="K188" s="394">
        <f t="shared" si="80"/>
        <v>182</v>
      </c>
      <c r="L188" s="394">
        <f t="shared" si="80"/>
        <v>182</v>
      </c>
      <c r="M188" s="395">
        <f t="shared" si="72"/>
        <v>11.065102831242887</v>
      </c>
      <c r="N188" s="395">
        <f t="shared" si="72"/>
        <v>100</v>
      </c>
      <c r="O188" s="394">
        <f t="shared" si="80"/>
        <v>91</v>
      </c>
    </row>
    <row r="189" spans="1:15" ht="12.75" customHeight="1">
      <c r="A189" s="391" t="s">
        <v>835</v>
      </c>
      <c r="B189" s="405">
        <v>1643907</v>
      </c>
      <c r="C189" s="405">
        <v>181900</v>
      </c>
      <c r="D189" s="405">
        <v>181900</v>
      </c>
      <c r="E189" s="387">
        <f t="shared" si="56"/>
        <v>11.065102831242887</v>
      </c>
      <c r="F189" s="387">
        <f t="shared" si="43"/>
        <v>100</v>
      </c>
      <c r="G189" s="405">
        <f>D189-91000</f>
        <v>90900</v>
      </c>
      <c r="I189" s="393" t="s">
        <v>835</v>
      </c>
      <c r="J189" s="394">
        <f t="shared" si="80"/>
        <v>1644</v>
      </c>
      <c r="K189" s="394">
        <f t="shared" si="80"/>
        <v>182</v>
      </c>
      <c r="L189" s="394">
        <f t="shared" si="80"/>
        <v>182</v>
      </c>
      <c r="M189" s="395">
        <f t="shared" si="72"/>
        <v>11.065102831242887</v>
      </c>
      <c r="N189" s="395">
        <f t="shared" si="72"/>
        <v>100</v>
      </c>
      <c r="O189" s="394">
        <f t="shared" si="80"/>
        <v>91</v>
      </c>
    </row>
    <row r="190" spans="1:15" ht="12.75" customHeight="1">
      <c r="A190" s="397" t="s">
        <v>609</v>
      </c>
      <c r="B190" s="407">
        <f aca="true" t="shared" si="81" ref="B190:G190">SUM(B191)</f>
        <v>1643907</v>
      </c>
      <c r="C190" s="407">
        <f t="shared" si="81"/>
        <v>181900</v>
      </c>
      <c r="D190" s="407">
        <f t="shared" si="81"/>
        <v>181900</v>
      </c>
      <c r="E190" s="387">
        <f t="shared" si="56"/>
        <v>11.065102831242887</v>
      </c>
      <c r="F190" s="387">
        <f t="shared" si="43"/>
        <v>100</v>
      </c>
      <c r="G190" s="407">
        <f t="shared" si="81"/>
        <v>90902.94</v>
      </c>
      <c r="I190" s="399" t="s">
        <v>609</v>
      </c>
      <c r="J190" s="389">
        <f>J191+J192</f>
        <v>1644</v>
      </c>
      <c r="K190" s="389">
        <f>K191+K192</f>
        <v>182</v>
      </c>
      <c r="L190" s="389">
        <f>L191+L192</f>
        <v>182</v>
      </c>
      <c r="M190" s="390">
        <f t="shared" si="72"/>
        <v>11.065102831242887</v>
      </c>
      <c r="N190" s="390">
        <f t="shared" si="72"/>
        <v>100</v>
      </c>
      <c r="O190" s="389">
        <f>O191+O192</f>
        <v>91</v>
      </c>
    </row>
    <row r="191" spans="1:15" ht="12.75" customHeight="1">
      <c r="A191" s="401" t="s">
        <v>604</v>
      </c>
      <c r="B191" s="405">
        <v>1643907</v>
      </c>
      <c r="C191" s="405">
        <v>181900</v>
      </c>
      <c r="D191" s="405">
        <v>181900</v>
      </c>
      <c r="E191" s="387">
        <f t="shared" si="56"/>
        <v>11.065102831242887</v>
      </c>
      <c r="F191" s="387">
        <f t="shared" si="43"/>
        <v>100</v>
      </c>
      <c r="G191" s="405">
        <v>90902.94</v>
      </c>
      <c r="I191" s="403" t="s">
        <v>604</v>
      </c>
      <c r="J191" s="394">
        <f t="shared" si="80"/>
        <v>1644</v>
      </c>
      <c r="K191" s="394">
        <f t="shared" si="80"/>
        <v>182</v>
      </c>
      <c r="L191" s="394">
        <f t="shared" si="80"/>
        <v>182</v>
      </c>
      <c r="M191" s="395">
        <f t="shared" si="72"/>
        <v>11.065102831242887</v>
      </c>
      <c r="N191" s="395">
        <f t="shared" si="72"/>
        <v>100</v>
      </c>
      <c r="O191" s="394">
        <f t="shared" si="80"/>
        <v>91</v>
      </c>
    </row>
    <row r="192" spans="1:15" ht="12.75" customHeight="1">
      <c r="A192" s="397" t="s">
        <v>620</v>
      </c>
      <c r="B192" s="407"/>
      <c r="C192" s="407"/>
      <c r="D192" s="407"/>
      <c r="E192" s="407"/>
      <c r="F192" s="407"/>
      <c r="G192" s="407"/>
      <c r="I192" s="399" t="s">
        <v>620</v>
      </c>
      <c r="J192" s="407"/>
      <c r="K192" s="407"/>
      <c r="L192" s="407"/>
      <c r="M192" s="409"/>
      <c r="N192" s="409"/>
      <c r="O192" s="407"/>
    </row>
    <row r="193" spans="1:15" ht="12.75" customHeight="1">
      <c r="A193" s="391" t="s">
        <v>834</v>
      </c>
      <c r="B193" s="405">
        <f aca="true" t="shared" si="82" ref="B193:G193">SUM(B194:B195)</f>
        <v>6767466</v>
      </c>
      <c r="C193" s="405">
        <f t="shared" si="82"/>
        <v>1028685</v>
      </c>
      <c r="D193" s="405">
        <f t="shared" si="82"/>
        <v>1029670</v>
      </c>
      <c r="E193" s="387">
        <f t="shared" si="56"/>
        <v>15.215000710753479</v>
      </c>
      <c r="F193" s="387">
        <f t="shared" si="43"/>
        <v>100.0957533161269</v>
      </c>
      <c r="G193" s="405">
        <f t="shared" si="82"/>
        <v>556995</v>
      </c>
      <c r="I193" s="393" t="s">
        <v>834</v>
      </c>
      <c r="J193" s="394">
        <f>ROUND(B193/1000,0)</f>
        <v>6767</v>
      </c>
      <c r="K193" s="394">
        <f>K194+K195</f>
        <v>1029</v>
      </c>
      <c r="L193" s="394">
        <f>L194+L195</f>
        <v>1030</v>
      </c>
      <c r="M193" s="395">
        <f t="shared" si="72"/>
        <v>15.215000710753479</v>
      </c>
      <c r="N193" s="395">
        <f t="shared" si="72"/>
        <v>100.0957533161269</v>
      </c>
      <c r="O193" s="394">
        <f>O194+O195</f>
        <v>557</v>
      </c>
    </row>
    <row r="194" spans="1:15" ht="12.75" customHeight="1">
      <c r="A194" s="391" t="s">
        <v>835</v>
      </c>
      <c r="B194" s="405">
        <v>6765626</v>
      </c>
      <c r="C194" s="405">
        <v>1028585</v>
      </c>
      <c r="D194" s="405">
        <v>1028585</v>
      </c>
      <c r="E194" s="387">
        <f t="shared" si="56"/>
        <v>15.203101678987279</v>
      </c>
      <c r="F194" s="387">
        <f t="shared" si="43"/>
        <v>100</v>
      </c>
      <c r="G194" s="405">
        <v>557341</v>
      </c>
      <c r="I194" s="393" t="s">
        <v>835</v>
      </c>
      <c r="J194" s="394">
        <f>ROUND(B194/1000,0)</f>
        <v>6766</v>
      </c>
      <c r="K194" s="394">
        <f>ROUND(C194/1000,0)</f>
        <v>1029</v>
      </c>
      <c r="L194" s="394">
        <f>ROUND(D194/1000,0)</f>
        <v>1029</v>
      </c>
      <c r="M194" s="395">
        <f t="shared" si="72"/>
        <v>15.203101678987279</v>
      </c>
      <c r="N194" s="395">
        <f t="shared" si="72"/>
        <v>100</v>
      </c>
      <c r="O194" s="394">
        <f>ROUND(G194/1000,0)</f>
        <v>557</v>
      </c>
    </row>
    <row r="195" spans="1:15" ht="24">
      <c r="A195" s="391" t="s">
        <v>658</v>
      </c>
      <c r="B195" s="405">
        <v>1840</v>
      </c>
      <c r="C195" s="405">
        <v>100</v>
      </c>
      <c r="D195" s="405">
        <v>1085</v>
      </c>
      <c r="E195" s="387">
        <f t="shared" si="56"/>
        <v>58.96739130434783</v>
      </c>
      <c r="F195" s="387"/>
      <c r="G195" s="405">
        <v>-346</v>
      </c>
      <c r="I195" s="393" t="s">
        <v>658</v>
      </c>
      <c r="J195" s="394">
        <f>ROUND(B195/1000,0)</f>
        <v>2</v>
      </c>
      <c r="K195" s="394">
        <f>ROUND(C195/1000,0)</f>
        <v>0</v>
      </c>
      <c r="L195" s="394">
        <f>ROUND(D195/1000,0)</f>
        <v>1</v>
      </c>
      <c r="M195" s="395">
        <f t="shared" si="72"/>
        <v>58.96739130434783</v>
      </c>
      <c r="N195" s="395">
        <f t="shared" si="72"/>
        <v>0</v>
      </c>
      <c r="O195" s="394">
        <f>ROUND(G195/1000,0)</f>
        <v>0</v>
      </c>
    </row>
    <row r="196" spans="1:15" ht="12.75" customHeight="1">
      <c r="A196" s="397" t="s">
        <v>609</v>
      </c>
      <c r="B196" s="407">
        <f aca="true" t="shared" si="83" ref="B196:G196">SUM(B197:B198)</f>
        <v>6767466</v>
      </c>
      <c r="C196" s="407">
        <f t="shared" si="83"/>
        <v>1028685</v>
      </c>
      <c r="D196" s="407">
        <f t="shared" si="83"/>
        <v>1025250.61</v>
      </c>
      <c r="E196" s="387">
        <f t="shared" si="56"/>
        <v>15.149697242660695</v>
      </c>
      <c r="F196" s="387">
        <f t="shared" si="43"/>
        <v>99.66613783616948</v>
      </c>
      <c r="G196" s="407">
        <f t="shared" si="83"/>
        <v>554591.49</v>
      </c>
      <c r="H196" s="413"/>
      <c r="I196" s="399" t="s">
        <v>609</v>
      </c>
      <c r="J196" s="389">
        <f>J197+J198</f>
        <v>6767</v>
      </c>
      <c r="K196" s="389">
        <f>K197+K198</f>
        <v>1029</v>
      </c>
      <c r="L196" s="389">
        <f>L197+L198</f>
        <v>1025</v>
      </c>
      <c r="M196" s="390">
        <f t="shared" si="72"/>
        <v>15.149697242660695</v>
      </c>
      <c r="N196" s="390">
        <f t="shared" si="72"/>
        <v>99.66613783616948</v>
      </c>
      <c r="O196" s="389">
        <f>O197+O198</f>
        <v>554</v>
      </c>
    </row>
    <row r="197" spans="1:15" ht="12.75" customHeight="1">
      <c r="A197" s="401" t="s">
        <v>604</v>
      </c>
      <c r="B197" s="405">
        <v>6575466</v>
      </c>
      <c r="C197" s="405">
        <v>1025685</v>
      </c>
      <c r="D197" s="405">
        <v>1025055.23</v>
      </c>
      <c r="E197" s="387">
        <f t="shared" si="56"/>
        <v>15.589088742911908</v>
      </c>
      <c r="F197" s="387">
        <f t="shared" si="43"/>
        <v>99.93860005752254</v>
      </c>
      <c r="G197" s="405">
        <v>554396.11</v>
      </c>
      <c r="I197" s="403" t="s">
        <v>604</v>
      </c>
      <c r="J197" s="394">
        <f>ROUND(B197/1000,0)</f>
        <v>6575</v>
      </c>
      <c r="K197" s="394">
        <f>ROUND(C197/1000,0)</f>
        <v>1026</v>
      </c>
      <c r="L197" s="394">
        <f>ROUND(D197/1000,0)</f>
        <v>1025</v>
      </c>
      <c r="M197" s="395">
        <f t="shared" si="72"/>
        <v>15.589088742911908</v>
      </c>
      <c r="N197" s="395">
        <f t="shared" si="72"/>
        <v>99.93860005752254</v>
      </c>
      <c r="O197" s="394">
        <f>ROUND(G197/1000,0)</f>
        <v>554</v>
      </c>
    </row>
    <row r="198" spans="1:15" ht="12.75" customHeight="1">
      <c r="A198" s="401" t="s">
        <v>605</v>
      </c>
      <c r="B198" s="405">
        <v>192000</v>
      </c>
      <c r="C198" s="405">
        <v>3000</v>
      </c>
      <c r="D198" s="405">
        <v>195.38</v>
      </c>
      <c r="E198" s="387">
        <f t="shared" si="56"/>
        <v>0.10176041666666666</v>
      </c>
      <c r="F198" s="387">
        <f t="shared" si="43"/>
        <v>6.512666666666666</v>
      </c>
      <c r="G198" s="405">
        <v>195.38</v>
      </c>
      <c r="I198" s="403" t="s">
        <v>605</v>
      </c>
      <c r="J198" s="394">
        <f>ROUND(B198/1000,0)</f>
        <v>192</v>
      </c>
      <c r="K198" s="394">
        <v>3</v>
      </c>
      <c r="L198" s="394"/>
      <c r="M198" s="395"/>
      <c r="N198" s="395"/>
      <c r="O198" s="394"/>
    </row>
    <row r="199" spans="1:15" ht="12.75" customHeight="1">
      <c r="A199" s="220" t="s">
        <v>621</v>
      </c>
      <c r="B199" s="405"/>
      <c r="C199" s="405"/>
      <c r="D199" s="405"/>
      <c r="E199" s="405"/>
      <c r="F199" s="405"/>
      <c r="G199" s="405"/>
      <c r="I199" s="408" t="s">
        <v>621</v>
      </c>
      <c r="J199" s="405"/>
      <c r="K199" s="405"/>
      <c r="L199" s="405"/>
      <c r="M199" s="395"/>
      <c r="N199" s="395"/>
      <c r="O199" s="405"/>
    </row>
    <row r="200" spans="1:15" ht="12.75" customHeight="1">
      <c r="A200" s="391" t="s">
        <v>834</v>
      </c>
      <c r="B200" s="405">
        <f aca="true" t="shared" si="84" ref="B200:G200">SUM(B201)</f>
        <v>96191</v>
      </c>
      <c r="C200" s="405">
        <f t="shared" si="84"/>
        <v>16031</v>
      </c>
      <c r="D200" s="405">
        <f t="shared" si="84"/>
        <v>16031</v>
      </c>
      <c r="E200" s="387">
        <f t="shared" si="56"/>
        <v>16.665800334750653</v>
      </c>
      <c r="F200" s="387">
        <f>IF(ISERROR(D200/C200)," ",(D200/C200))*100</f>
        <v>100</v>
      </c>
      <c r="G200" s="405">
        <f t="shared" si="84"/>
        <v>8016</v>
      </c>
      <c r="I200" s="393" t="s">
        <v>834</v>
      </c>
      <c r="J200" s="394">
        <f aca="true" t="shared" si="85" ref="J200:O203">ROUND(B200/1000,0)</f>
        <v>96</v>
      </c>
      <c r="K200" s="394">
        <f t="shared" si="85"/>
        <v>16</v>
      </c>
      <c r="L200" s="394">
        <f t="shared" si="85"/>
        <v>16</v>
      </c>
      <c r="M200" s="395">
        <f t="shared" si="72"/>
        <v>16.665800334750653</v>
      </c>
      <c r="N200" s="395">
        <f t="shared" si="72"/>
        <v>100</v>
      </c>
      <c r="O200" s="394">
        <f t="shared" si="85"/>
        <v>8</v>
      </c>
    </row>
    <row r="201" spans="1:15" ht="12.75" customHeight="1">
      <c r="A201" s="391" t="s">
        <v>835</v>
      </c>
      <c r="B201" s="405">
        <v>96191</v>
      </c>
      <c r="C201" s="405">
        <v>16031</v>
      </c>
      <c r="D201" s="405">
        <v>16031</v>
      </c>
      <c r="E201" s="387">
        <f t="shared" si="56"/>
        <v>16.665800334750653</v>
      </c>
      <c r="F201" s="387">
        <f>IF(ISERROR(D201/C201)," ",(D201/C201))*100</f>
        <v>100</v>
      </c>
      <c r="G201" s="405">
        <f>D201-8015</f>
        <v>8016</v>
      </c>
      <c r="I201" s="393" t="s">
        <v>835</v>
      </c>
      <c r="J201" s="394">
        <f t="shared" si="85"/>
        <v>96</v>
      </c>
      <c r="K201" s="394">
        <f t="shared" si="85"/>
        <v>16</v>
      </c>
      <c r="L201" s="394">
        <f t="shared" si="85"/>
        <v>16</v>
      </c>
      <c r="M201" s="395">
        <f t="shared" si="72"/>
        <v>16.665800334750653</v>
      </c>
      <c r="N201" s="395">
        <f t="shared" si="72"/>
        <v>100</v>
      </c>
      <c r="O201" s="394">
        <f t="shared" si="85"/>
        <v>8</v>
      </c>
    </row>
    <row r="202" spans="1:15" ht="12.75" customHeight="1">
      <c r="A202" s="397" t="s">
        <v>609</v>
      </c>
      <c r="B202" s="407">
        <f aca="true" t="shared" si="86" ref="B202:G202">SUM(B203)</f>
        <v>96191</v>
      </c>
      <c r="C202" s="407">
        <f t="shared" si="86"/>
        <v>16031</v>
      </c>
      <c r="D202" s="407">
        <f t="shared" si="86"/>
        <v>16031</v>
      </c>
      <c r="E202" s="387">
        <f t="shared" si="56"/>
        <v>16.665800334750653</v>
      </c>
      <c r="F202" s="387">
        <f>IF(ISERROR(D202/C202)," ",(D202/C202))*100</f>
        <v>100</v>
      </c>
      <c r="G202" s="407">
        <f t="shared" si="86"/>
        <v>8016</v>
      </c>
      <c r="I202" s="399" t="s">
        <v>609</v>
      </c>
      <c r="J202" s="389">
        <f>J203+J204</f>
        <v>96</v>
      </c>
      <c r="K202" s="389">
        <f>K203+K204</f>
        <v>16</v>
      </c>
      <c r="L202" s="389">
        <f>L203+L204</f>
        <v>16</v>
      </c>
      <c r="M202" s="390">
        <f t="shared" si="72"/>
        <v>16.665800334750653</v>
      </c>
      <c r="N202" s="390">
        <f t="shared" si="72"/>
        <v>100</v>
      </c>
      <c r="O202" s="389">
        <f>O203+O204</f>
        <v>8</v>
      </c>
    </row>
    <row r="203" spans="1:15" ht="12.75" customHeight="1">
      <c r="A203" s="401" t="s">
        <v>604</v>
      </c>
      <c r="B203" s="405">
        <v>96191</v>
      </c>
      <c r="C203" s="405">
        <v>16031</v>
      </c>
      <c r="D203" s="405">
        <v>16031</v>
      </c>
      <c r="E203" s="387">
        <f t="shared" si="56"/>
        <v>16.665800334750653</v>
      </c>
      <c r="F203" s="387">
        <f>IF(ISERROR(D203/C203)," ",(D203/C203))*100</f>
        <v>100</v>
      </c>
      <c r="G203" s="405">
        <v>8016</v>
      </c>
      <c r="I203" s="403" t="s">
        <v>604</v>
      </c>
      <c r="J203" s="394">
        <f t="shared" si="85"/>
        <v>96</v>
      </c>
      <c r="K203" s="394">
        <f t="shared" si="85"/>
        <v>16</v>
      </c>
      <c r="L203" s="394">
        <f t="shared" si="85"/>
        <v>16</v>
      </c>
      <c r="M203" s="395">
        <f t="shared" si="72"/>
        <v>16.665800334750653</v>
      </c>
      <c r="N203" s="395">
        <f t="shared" si="72"/>
        <v>100</v>
      </c>
      <c r="O203" s="394">
        <f t="shared" si="85"/>
        <v>8</v>
      </c>
    </row>
    <row r="204" spans="1:15" ht="38.25">
      <c r="A204" s="220" t="s">
        <v>516</v>
      </c>
      <c r="B204" s="405"/>
      <c r="C204" s="405"/>
      <c r="D204" s="405"/>
      <c r="E204" s="405"/>
      <c r="F204" s="405"/>
      <c r="G204" s="405"/>
      <c r="I204" s="408" t="s">
        <v>516</v>
      </c>
      <c r="J204" s="405"/>
      <c r="K204" s="405"/>
      <c r="L204" s="405"/>
      <c r="M204" s="395"/>
      <c r="N204" s="395"/>
      <c r="O204" s="405"/>
    </row>
    <row r="205" spans="1:15" ht="12.75" customHeight="1">
      <c r="A205" s="391" t="s">
        <v>834</v>
      </c>
      <c r="B205" s="405">
        <f>SUM(B206:B207)</f>
        <v>4231216</v>
      </c>
      <c r="C205" s="405">
        <f>SUM(C206:C207)</f>
        <v>536381</v>
      </c>
      <c r="D205" s="405">
        <f>SUM(D206:D207)</f>
        <v>326962.24</v>
      </c>
      <c r="E205" s="387">
        <f aca="true" t="shared" si="87" ref="E205:E236">IF(ISERROR(D205/B205)," ",(D205/B205))*100</f>
        <v>7.727382388419783</v>
      </c>
      <c r="F205" s="387">
        <f>IF(ISERROR(D205/C205)," ",(D205/C205))*100</f>
        <v>60.95708833832667</v>
      </c>
      <c r="G205" s="405">
        <f>SUM(G206:G207)</f>
        <v>150875.81999999998</v>
      </c>
      <c r="I205" s="393" t="s">
        <v>834</v>
      </c>
      <c r="J205" s="394">
        <f>ROUND(B205/1000,0)</f>
        <v>4231</v>
      </c>
      <c r="K205" s="394">
        <f>K206+K207</f>
        <v>536</v>
      </c>
      <c r="L205" s="394">
        <f>L206+L207</f>
        <v>327</v>
      </c>
      <c r="M205" s="395">
        <f t="shared" si="72"/>
        <v>7.727382388419783</v>
      </c>
      <c r="N205" s="395">
        <f t="shared" si="72"/>
        <v>60.95708833832667</v>
      </c>
      <c r="O205" s="394">
        <f>O206+O207</f>
        <v>151</v>
      </c>
    </row>
    <row r="206" spans="1:15" ht="12.75" customHeight="1">
      <c r="A206" s="391" t="s">
        <v>835</v>
      </c>
      <c r="B206" s="405">
        <v>842659</v>
      </c>
      <c r="C206" s="405">
        <v>79895</v>
      </c>
      <c r="D206" s="405">
        <v>79895</v>
      </c>
      <c r="E206" s="387">
        <f t="shared" si="87"/>
        <v>9.481296704835525</v>
      </c>
      <c r="F206" s="387">
        <f>IF(ISERROR(D206/C206)," ",(D206/C206))*100</f>
        <v>100</v>
      </c>
      <c r="G206" s="405">
        <f>D206-42656</f>
        <v>37239</v>
      </c>
      <c r="I206" s="393" t="s">
        <v>835</v>
      </c>
      <c r="J206" s="394">
        <f>ROUND(B206/1000,0)</f>
        <v>843</v>
      </c>
      <c r="K206" s="394">
        <f>ROUND(C206/1000,0)</f>
        <v>80</v>
      </c>
      <c r="L206" s="394">
        <f>ROUND(D206/1000,0)</f>
        <v>80</v>
      </c>
      <c r="M206" s="395">
        <f t="shared" si="72"/>
        <v>9.481296704835525</v>
      </c>
      <c r="N206" s="395">
        <f t="shared" si="72"/>
        <v>100</v>
      </c>
      <c r="O206" s="394">
        <f>ROUND(G206/1000,0)</f>
        <v>37</v>
      </c>
    </row>
    <row r="207" spans="1:15" ht="12.75" customHeight="1">
      <c r="A207" s="391" t="s">
        <v>496</v>
      </c>
      <c r="B207" s="405">
        <v>3388557</v>
      </c>
      <c r="C207" s="405">
        <v>456486</v>
      </c>
      <c r="D207" s="405">
        <v>247067.24</v>
      </c>
      <c r="E207" s="387">
        <f t="shared" si="87"/>
        <v>7.291222783031243</v>
      </c>
      <c r="F207" s="387">
        <f>IF(ISERROR(D207/C207)," ",(D207/C207))*100</f>
        <v>54.12372778135583</v>
      </c>
      <c r="G207" s="405">
        <f>D207-133430.42</f>
        <v>113636.81999999998</v>
      </c>
      <c r="I207" s="393" t="s">
        <v>496</v>
      </c>
      <c r="J207" s="394">
        <f>ROUND(B207/1000,0)</f>
        <v>3389</v>
      </c>
      <c r="K207" s="394">
        <v>456</v>
      </c>
      <c r="L207" s="394">
        <f>ROUND(D207/1000,0)</f>
        <v>247</v>
      </c>
      <c r="M207" s="395">
        <f t="shared" si="72"/>
        <v>7.291222783031243</v>
      </c>
      <c r="N207" s="395">
        <f t="shared" si="72"/>
        <v>54.12372778135583</v>
      </c>
      <c r="O207" s="394">
        <f>ROUND(G207/1000,0)</f>
        <v>114</v>
      </c>
    </row>
    <row r="208" spans="1:15" ht="12.75" customHeight="1">
      <c r="A208" s="397" t="s">
        <v>609</v>
      </c>
      <c r="B208" s="407">
        <f aca="true" t="shared" si="88" ref="B208:G208">SUM(B209:B210)</f>
        <v>4231216</v>
      </c>
      <c r="C208" s="407">
        <f t="shared" si="88"/>
        <v>536381</v>
      </c>
      <c r="D208" s="407">
        <f t="shared" si="88"/>
        <v>324178.2</v>
      </c>
      <c r="E208" s="387">
        <f t="shared" si="87"/>
        <v>7.661584754831709</v>
      </c>
      <c r="F208" s="387">
        <f>IF(ISERROR(D208/C208)," ",(D208/C208))*100</f>
        <v>60.43804683611091</v>
      </c>
      <c r="G208" s="407">
        <f t="shared" si="88"/>
        <v>155428.57</v>
      </c>
      <c r="I208" s="399" t="s">
        <v>609</v>
      </c>
      <c r="J208" s="389">
        <f>J209+J210</f>
        <v>4231</v>
      </c>
      <c r="K208" s="389">
        <f>K209+K210</f>
        <v>536</v>
      </c>
      <c r="L208" s="389">
        <f>L209+L210</f>
        <v>324</v>
      </c>
      <c r="M208" s="390">
        <f t="shared" si="72"/>
        <v>7.661584754831709</v>
      </c>
      <c r="N208" s="390">
        <f t="shared" si="72"/>
        <v>60.43804683611091</v>
      </c>
      <c r="O208" s="389">
        <f>O209+O210</f>
        <v>155</v>
      </c>
    </row>
    <row r="209" spans="1:15" ht="12.75" customHeight="1">
      <c r="A209" s="401" t="s">
        <v>604</v>
      </c>
      <c r="B209" s="405">
        <v>3006966</v>
      </c>
      <c r="C209" s="405">
        <v>536381</v>
      </c>
      <c r="D209" s="405">
        <v>324178.2</v>
      </c>
      <c r="E209" s="387">
        <f t="shared" si="87"/>
        <v>10.780906734562347</v>
      </c>
      <c r="F209" s="387">
        <f>IF(ISERROR(D209/C209)," ",(D209/C209))*100</f>
        <v>60.43804683611091</v>
      </c>
      <c r="G209" s="405">
        <v>155428.57</v>
      </c>
      <c r="I209" s="403" t="s">
        <v>604</v>
      </c>
      <c r="J209" s="394">
        <f>ROUND(B209/1000,0)</f>
        <v>3007</v>
      </c>
      <c r="K209" s="394">
        <f>ROUND(C209/1000,0)</f>
        <v>536</v>
      </c>
      <c r="L209" s="394">
        <f>ROUND(D209/1000,0)</f>
        <v>324</v>
      </c>
      <c r="M209" s="395">
        <f t="shared" si="72"/>
        <v>10.780906734562347</v>
      </c>
      <c r="N209" s="395">
        <f t="shared" si="72"/>
        <v>60.43804683611091</v>
      </c>
      <c r="O209" s="394">
        <f>ROUND(G209/1000,0)</f>
        <v>155</v>
      </c>
    </row>
    <row r="210" spans="1:15" ht="12.75" customHeight="1">
      <c r="A210" s="401" t="s">
        <v>605</v>
      </c>
      <c r="B210" s="405">
        <v>1224250</v>
      </c>
      <c r="C210" s="405"/>
      <c r="D210" s="405"/>
      <c r="E210" s="387"/>
      <c r="F210" s="405"/>
      <c r="G210" s="405"/>
      <c r="I210" s="403" t="s">
        <v>605</v>
      </c>
      <c r="J210" s="394">
        <f>ROUND(B210/1000,0)</f>
        <v>1224</v>
      </c>
      <c r="K210" s="394"/>
      <c r="L210" s="394"/>
      <c r="M210" s="395"/>
      <c r="N210" s="395"/>
      <c r="O210" s="394"/>
    </row>
    <row r="211" spans="1:15" ht="25.5" customHeight="1">
      <c r="A211" s="220" t="s">
        <v>622</v>
      </c>
      <c r="B211" s="407"/>
      <c r="C211" s="407"/>
      <c r="D211" s="407"/>
      <c r="E211" s="407"/>
      <c r="F211" s="407"/>
      <c r="G211" s="407"/>
      <c r="I211" s="408" t="s">
        <v>622</v>
      </c>
      <c r="J211" s="407"/>
      <c r="K211" s="407"/>
      <c r="L211" s="407"/>
      <c r="M211" s="395"/>
      <c r="N211" s="395"/>
      <c r="O211" s="407"/>
    </row>
    <row r="212" spans="1:15" ht="12.75" customHeight="1">
      <c r="A212" s="391" t="s">
        <v>834</v>
      </c>
      <c r="B212" s="405">
        <f aca="true" t="shared" si="89" ref="B212:G212">SUM(B213:B215)</f>
        <v>2504614</v>
      </c>
      <c r="C212" s="405">
        <f t="shared" si="89"/>
        <v>215314</v>
      </c>
      <c r="D212" s="405">
        <f t="shared" si="89"/>
        <v>215316.3</v>
      </c>
      <c r="E212" s="387">
        <f t="shared" si="87"/>
        <v>8.596785772178867</v>
      </c>
      <c r="F212" s="387">
        <f>IF(ISERROR(D212/C212)," ",(D212/C212))*100</f>
        <v>100.00106820736228</v>
      </c>
      <c r="G212" s="405">
        <f t="shared" si="89"/>
        <v>109021.1</v>
      </c>
      <c r="I212" s="393" t="s">
        <v>834</v>
      </c>
      <c r="J212" s="394">
        <f aca="true" t="shared" si="90" ref="J212:L213">ROUND(B212/1000,0)</f>
        <v>2505</v>
      </c>
      <c r="K212" s="394">
        <f t="shared" si="90"/>
        <v>215</v>
      </c>
      <c r="L212" s="394">
        <f t="shared" si="90"/>
        <v>215</v>
      </c>
      <c r="M212" s="395">
        <f t="shared" si="72"/>
        <v>8.596785772178867</v>
      </c>
      <c r="N212" s="395">
        <f t="shared" si="72"/>
        <v>100.00106820736228</v>
      </c>
      <c r="O212" s="394">
        <f>ROUND(G212/1000,0)</f>
        <v>109</v>
      </c>
    </row>
    <row r="213" spans="1:15" ht="12.75" customHeight="1">
      <c r="A213" s="391" t="s">
        <v>835</v>
      </c>
      <c r="B213" s="405">
        <v>1426644</v>
      </c>
      <c r="C213" s="405">
        <v>215314</v>
      </c>
      <c r="D213" s="405">
        <v>215314</v>
      </c>
      <c r="E213" s="387">
        <f t="shared" si="87"/>
        <v>15.092342588620566</v>
      </c>
      <c r="F213" s="387">
        <f>IF(ISERROR(D213/C213)," ",(D213/C213))*100</f>
        <v>100</v>
      </c>
      <c r="G213" s="405">
        <f>D213-106056</f>
        <v>109258</v>
      </c>
      <c r="I213" s="393" t="s">
        <v>835</v>
      </c>
      <c r="J213" s="394">
        <f t="shared" si="90"/>
        <v>1427</v>
      </c>
      <c r="K213" s="394">
        <f t="shared" si="90"/>
        <v>215</v>
      </c>
      <c r="L213" s="394">
        <f t="shared" si="90"/>
        <v>215</v>
      </c>
      <c r="M213" s="395">
        <f t="shared" si="72"/>
        <v>15.092342588620566</v>
      </c>
      <c r="N213" s="395">
        <f t="shared" si="72"/>
        <v>100</v>
      </c>
      <c r="O213" s="394">
        <f>ROUND(G213/1000,0)</f>
        <v>109</v>
      </c>
    </row>
    <row r="214" spans="1:15" ht="24">
      <c r="A214" s="391" t="s">
        <v>658</v>
      </c>
      <c r="B214" s="405"/>
      <c r="C214" s="405"/>
      <c r="D214" s="405">
        <v>2.3</v>
      </c>
      <c r="E214" s="387"/>
      <c r="F214" s="387"/>
      <c r="G214" s="405">
        <v>-236.9</v>
      </c>
      <c r="I214" s="393" t="s">
        <v>658</v>
      </c>
      <c r="J214" s="394"/>
      <c r="K214" s="394"/>
      <c r="L214" s="394"/>
      <c r="M214" s="395"/>
      <c r="N214" s="395"/>
      <c r="O214" s="394"/>
    </row>
    <row r="215" spans="1:15" ht="12.75" customHeight="1">
      <c r="A215" s="391" t="s">
        <v>496</v>
      </c>
      <c r="B215" s="405">
        <v>1077970</v>
      </c>
      <c r="C215" s="405"/>
      <c r="D215" s="405"/>
      <c r="E215" s="387"/>
      <c r="F215" s="387"/>
      <c r="G215" s="405"/>
      <c r="I215" s="393" t="s">
        <v>496</v>
      </c>
      <c r="J215" s="394">
        <f>ROUND(B215/1000,0)</f>
        <v>1078</v>
      </c>
      <c r="K215" s="394">
        <f>ROUND(C215/1000,0)</f>
        <v>0</v>
      </c>
      <c r="L215" s="394">
        <f>ROUND(D215/1000,0)</f>
        <v>0</v>
      </c>
      <c r="M215" s="395">
        <f t="shared" si="72"/>
        <v>0</v>
      </c>
      <c r="N215" s="395">
        <f t="shared" si="72"/>
        <v>0</v>
      </c>
      <c r="O215" s="394">
        <f>ROUND(G215/1000,0)</f>
        <v>0</v>
      </c>
    </row>
    <row r="216" spans="1:15" ht="12.75" customHeight="1">
      <c r="A216" s="397" t="s">
        <v>609</v>
      </c>
      <c r="B216" s="407">
        <f aca="true" t="shared" si="91" ref="B216:G216">SUM(B217:B218)</f>
        <v>2504614</v>
      </c>
      <c r="C216" s="407">
        <f t="shared" si="91"/>
        <v>215314</v>
      </c>
      <c r="D216" s="407">
        <f t="shared" si="91"/>
        <v>115126.93</v>
      </c>
      <c r="E216" s="387">
        <f t="shared" si="87"/>
        <v>4.596593726618154</v>
      </c>
      <c r="F216" s="387">
        <f>IF(ISERROR(D216/C216)," ",(D216/C216))*100</f>
        <v>53.46931922680365</v>
      </c>
      <c r="G216" s="407">
        <f t="shared" si="91"/>
        <v>65911.06999999999</v>
      </c>
      <c r="I216" s="399" t="s">
        <v>609</v>
      </c>
      <c r="J216" s="389">
        <f>J217+J218</f>
        <v>2505</v>
      </c>
      <c r="K216" s="389">
        <f>K217+K218</f>
        <v>215</v>
      </c>
      <c r="L216" s="389">
        <f>L217+L218</f>
        <v>115</v>
      </c>
      <c r="M216" s="390">
        <f t="shared" si="72"/>
        <v>4.596593726618154</v>
      </c>
      <c r="N216" s="390">
        <f t="shared" si="72"/>
        <v>53.46931922680365</v>
      </c>
      <c r="O216" s="389">
        <f>O217+O218</f>
        <v>66</v>
      </c>
    </row>
    <row r="217" spans="1:15" ht="12.75" customHeight="1">
      <c r="A217" s="401" t="s">
        <v>604</v>
      </c>
      <c r="B217" s="405">
        <v>2018597</v>
      </c>
      <c r="C217" s="405">
        <v>135914</v>
      </c>
      <c r="D217" s="405">
        <v>114257.95</v>
      </c>
      <c r="E217" s="387">
        <f t="shared" si="87"/>
        <v>5.6602655210524935</v>
      </c>
      <c r="F217" s="387">
        <f>IF(ISERROR(D217/C217)," ",(D217/C217))*100</f>
        <v>84.06635813823446</v>
      </c>
      <c r="G217" s="405">
        <v>65042.09</v>
      </c>
      <c r="I217" s="403" t="s">
        <v>604</v>
      </c>
      <c r="J217" s="394">
        <f>ROUND(B217/1000,0)</f>
        <v>2019</v>
      </c>
      <c r="K217" s="394">
        <f>ROUND(C217/1000,0)</f>
        <v>136</v>
      </c>
      <c r="L217" s="394">
        <f>ROUND(D217/1000,0)</f>
        <v>114</v>
      </c>
      <c r="M217" s="395">
        <f t="shared" si="72"/>
        <v>5.6602655210524935</v>
      </c>
      <c r="N217" s="395">
        <f t="shared" si="72"/>
        <v>84.06635813823446</v>
      </c>
      <c r="O217" s="394">
        <f>ROUND(G217/1000,0)</f>
        <v>65</v>
      </c>
    </row>
    <row r="218" spans="1:15" ht="12.75" customHeight="1">
      <c r="A218" s="401" t="s">
        <v>605</v>
      </c>
      <c r="B218" s="405">
        <v>486017</v>
      </c>
      <c r="C218" s="405">
        <v>79400</v>
      </c>
      <c r="D218" s="405">
        <v>868.98</v>
      </c>
      <c r="E218" s="387"/>
      <c r="F218" s="387"/>
      <c r="G218" s="405">
        <v>868.98</v>
      </c>
      <c r="I218" s="403" t="s">
        <v>605</v>
      </c>
      <c r="J218" s="394">
        <f>ROUND(B218/1000,0)</f>
        <v>486</v>
      </c>
      <c r="K218" s="394">
        <f>ROUND(C218/1000,0)</f>
        <v>79</v>
      </c>
      <c r="L218" s="394">
        <v>1</v>
      </c>
      <c r="M218" s="395">
        <f t="shared" si="72"/>
        <v>0</v>
      </c>
      <c r="N218" s="395">
        <f t="shared" si="72"/>
        <v>0</v>
      </c>
      <c r="O218" s="394">
        <v>1</v>
      </c>
    </row>
    <row r="219" spans="1:15" ht="25.5">
      <c r="A219" s="220" t="s">
        <v>623</v>
      </c>
      <c r="B219" s="405"/>
      <c r="C219" s="405"/>
      <c r="D219" s="405"/>
      <c r="E219" s="405"/>
      <c r="F219" s="405"/>
      <c r="G219" s="405"/>
      <c r="I219" s="408" t="s">
        <v>623</v>
      </c>
      <c r="J219" s="405"/>
      <c r="K219" s="405"/>
      <c r="L219" s="405"/>
      <c r="M219" s="395"/>
      <c r="N219" s="395"/>
      <c r="O219" s="405"/>
    </row>
    <row r="220" spans="1:15" ht="12.75" customHeight="1">
      <c r="A220" s="391" t="s">
        <v>834</v>
      </c>
      <c r="B220" s="405">
        <f aca="true" t="shared" si="92" ref="B220:G220">SUM(B221)</f>
        <v>1318000</v>
      </c>
      <c r="C220" s="405">
        <f t="shared" si="92"/>
        <v>0</v>
      </c>
      <c r="D220" s="405">
        <f t="shared" si="92"/>
        <v>0</v>
      </c>
      <c r="E220" s="387"/>
      <c r="F220" s="387"/>
      <c r="G220" s="405">
        <f t="shared" si="92"/>
        <v>0</v>
      </c>
      <c r="I220" s="393" t="s">
        <v>834</v>
      </c>
      <c r="J220" s="394">
        <f aca="true" t="shared" si="93" ref="J220:O225">ROUND(B220/1000,0)</f>
        <v>1318</v>
      </c>
      <c r="K220" s="394">
        <f t="shared" si="93"/>
        <v>0</v>
      </c>
      <c r="L220" s="394">
        <f t="shared" si="93"/>
        <v>0</v>
      </c>
      <c r="M220" s="395">
        <f t="shared" si="72"/>
        <v>0</v>
      </c>
      <c r="N220" s="395">
        <f t="shared" si="72"/>
        <v>0</v>
      </c>
      <c r="O220" s="394">
        <f t="shared" si="93"/>
        <v>0</v>
      </c>
    </row>
    <row r="221" spans="1:15" ht="24">
      <c r="A221" s="391" t="s">
        <v>658</v>
      </c>
      <c r="B221" s="405">
        <v>1318000</v>
      </c>
      <c r="C221" s="405"/>
      <c r="D221" s="405"/>
      <c r="E221" s="387"/>
      <c r="F221" s="405"/>
      <c r="G221" s="405">
        <f>D221</f>
        <v>0</v>
      </c>
      <c r="I221" s="393" t="s">
        <v>658</v>
      </c>
      <c r="J221" s="394">
        <f t="shared" si="93"/>
        <v>1318</v>
      </c>
      <c r="K221" s="394">
        <f t="shared" si="93"/>
        <v>0</v>
      </c>
      <c r="L221" s="394">
        <f t="shared" si="93"/>
        <v>0</v>
      </c>
      <c r="M221" s="395">
        <f t="shared" si="72"/>
        <v>0</v>
      </c>
      <c r="N221" s="395">
        <f t="shared" si="72"/>
        <v>0</v>
      </c>
      <c r="O221" s="394">
        <f t="shared" si="93"/>
        <v>0</v>
      </c>
    </row>
    <row r="222" spans="1:15" ht="12.75" customHeight="1">
      <c r="A222" s="397" t="s">
        <v>609</v>
      </c>
      <c r="B222" s="407">
        <f aca="true" t="shared" si="94" ref="B222:G222">SUM(B223:B224)</f>
        <v>1218000</v>
      </c>
      <c r="C222" s="407">
        <f t="shared" si="94"/>
        <v>0</v>
      </c>
      <c r="D222" s="407">
        <f t="shared" si="94"/>
        <v>0</v>
      </c>
      <c r="E222" s="387"/>
      <c r="F222" s="407"/>
      <c r="G222" s="407">
        <f t="shared" si="94"/>
        <v>0</v>
      </c>
      <c r="I222" s="399" t="s">
        <v>609</v>
      </c>
      <c r="J222" s="389">
        <f>J223+J224</f>
        <v>1218</v>
      </c>
      <c r="K222" s="389">
        <f t="shared" si="93"/>
        <v>0</v>
      </c>
      <c r="L222" s="389">
        <f t="shared" si="93"/>
        <v>0</v>
      </c>
      <c r="M222" s="390">
        <f t="shared" si="72"/>
        <v>0</v>
      </c>
      <c r="N222" s="390">
        <f t="shared" si="72"/>
        <v>0</v>
      </c>
      <c r="O222" s="389">
        <f t="shared" si="93"/>
        <v>0</v>
      </c>
    </row>
    <row r="223" spans="1:15" ht="12.75" customHeight="1">
      <c r="A223" s="401" t="s">
        <v>604</v>
      </c>
      <c r="B223" s="405">
        <v>926060</v>
      </c>
      <c r="C223" s="405"/>
      <c r="D223" s="405"/>
      <c r="E223" s="387"/>
      <c r="F223" s="405"/>
      <c r="G223" s="405">
        <f>D223</f>
        <v>0</v>
      </c>
      <c r="I223" s="403" t="s">
        <v>604</v>
      </c>
      <c r="J223" s="394">
        <f t="shared" si="93"/>
        <v>926</v>
      </c>
      <c r="K223" s="394">
        <f t="shared" si="93"/>
        <v>0</v>
      </c>
      <c r="L223" s="394">
        <f t="shared" si="93"/>
        <v>0</v>
      </c>
      <c r="M223" s="395">
        <f t="shared" si="72"/>
        <v>0</v>
      </c>
      <c r="N223" s="395">
        <f t="shared" si="72"/>
        <v>0</v>
      </c>
      <c r="O223" s="394">
        <f t="shared" si="93"/>
        <v>0</v>
      </c>
    </row>
    <row r="224" spans="1:15" ht="12.75" customHeight="1">
      <c r="A224" s="401" t="s">
        <v>605</v>
      </c>
      <c r="B224" s="405">
        <v>291940</v>
      </c>
      <c r="C224" s="405"/>
      <c r="D224" s="405"/>
      <c r="E224" s="387"/>
      <c r="F224" s="405"/>
      <c r="G224" s="405">
        <f>D224</f>
        <v>0</v>
      </c>
      <c r="I224" s="403" t="s">
        <v>605</v>
      </c>
      <c r="J224" s="394">
        <f t="shared" si="93"/>
        <v>292</v>
      </c>
      <c r="K224" s="394">
        <f t="shared" si="93"/>
        <v>0</v>
      </c>
      <c r="L224" s="394">
        <f t="shared" si="93"/>
        <v>0</v>
      </c>
      <c r="M224" s="395">
        <f t="shared" si="72"/>
        <v>0</v>
      </c>
      <c r="N224" s="395">
        <f t="shared" si="72"/>
        <v>0</v>
      </c>
      <c r="O224" s="394">
        <f t="shared" si="93"/>
        <v>0</v>
      </c>
    </row>
    <row r="225" spans="1:15" ht="12.75" customHeight="1">
      <c r="A225" s="371" t="s">
        <v>713</v>
      </c>
      <c r="B225" s="405">
        <v>100000</v>
      </c>
      <c r="C225" s="405"/>
      <c r="D225" s="405"/>
      <c r="E225" s="387"/>
      <c r="F225" s="405"/>
      <c r="G225" s="405">
        <f>D225</f>
        <v>0</v>
      </c>
      <c r="I225" s="406" t="s">
        <v>713</v>
      </c>
      <c r="J225" s="394">
        <f t="shared" si="93"/>
        <v>100</v>
      </c>
      <c r="K225" s="394">
        <f t="shared" si="93"/>
        <v>0</v>
      </c>
      <c r="L225" s="394">
        <f t="shared" si="93"/>
        <v>0</v>
      </c>
      <c r="M225" s="395">
        <f t="shared" si="72"/>
        <v>0</v>
      </c>
      <c r="N225" s="395">
        <f t="shared" si="72"/>
        <v>0</v>
      </c>
      <c r="O225" s="394">
        <f t="shared" si="93"/>
        <v>0</v>
      </c>
    </row>
    <row r="226" spans="1:15" ht="12.75" customHeight="1">
      <c r="A226" s="220" t="s">
        <v>837</v>
      </c>
      <c r="B226" s="405"/>
      <c r="C226" s="405"/>
      <c r="D226" s="405"/>
      <c r="E226" s="405"/>
      <c r="F226" s="405"/>
      <c r="G226" s="405"/>
      <c r="I226" s="408" t="s">
        <v>837</v>
      </c>
      <c r="J226" s="405"/>
      <c r="K226" s="405"/>
      <c r="L226" s="405"/>
      <c r="M226" s="395"/>
      <c r="N226" s="395"/>
      <c r="O226" s="405"/>
    </row>
    <row r="227" spans="1:15" ht="12.75" customHeight="1">
      <c r="A227" s="391" t="s">
        <v>834</v>
      </c>
      <c r="B227" s="414">
        <f aca="true" t="shared" si="95" ref="B227:G227">SUM(B228)</f>
        <v>109108415</v>
      </c>
      <c r="C227" s="414">
        <f t="shared" si="95"/>
        <v>17379558</v>
      </c>
      <c r="D227" s="414">
        <f t="shared" si="95"/>
        <v>17379558</v>
      </c>
      <c r="E227" s="387">
        <f t="shared" si="87"/>
        <v>15.928705407369359</v>
      </c>
      <c r="F227" s="387">
        <f>IF(ISERROR(D227/C227)," ",(D227/C227))*100</f>
        <v>100</v>
      </c>
      <c r="G227" s="414">
        <f t="shared" si="95"/>
        <v>8710229</v>
      </c>
      <c r="I227" s="393" t="s">
        <v>834</v>
      </c>
      <c r="J227" s="414">
        <f aca="true" t="shared" si="96" ref="J227:O227">SUM(J228)</f>
        <v>109108</v>
      </c>
      <c r="K227" s="414">
        <f t="shared" si="96"/>
        <v>17380</v>
      </c>
      <c r="L227" s="414">
        <f t="shared" si="96"/>
        <v>17380</v>
      </c>
      <c r="M227" s="395">
        <f t="shared" si="72"/>
        <v>15.928705407369359</v>
      </c>
      <c r="N227" s="395">
        <f t="shared" si="72"/>
        <v>100</v>
      </c>
      <c r="O227" s="414">
        <f t="shared" si="96"/>
        <v>8710</v>
      </c>
    </row>
    <row r="228" spans="1:15" ht="12.75" customHeight="1">
      <c r="A228" s="391" t="s">
        <v>835</v>
      </c>
      <c r="B228" s="394">
        <v>109108415</v>
      </c>
      <c r="C228" s="394">
        <v>17379558</v>
      </c>
      <c r="D228" s="394">
        <v>17379558</v>
      </c>
      <c r="E228" s="387">
        <f t="shared" si="87"/>
        <v>15.928705407369359</v>
      </c>
      <c r="F228" s="387">
        <f>IF(ISERROR(D228/C228)," ",(D228/C228))*100</f>
        <v>100</v>
      </c>
      <c r="G228" s="405">
        <f>D228-8669329</f>
        <v>8710229</v>
      </c>
      <c r="I228" s="393" t="s">
        <v>835</v>
      </c>
      <c r="J228" s="394">
        <f aca="true" t="shared" si="97" ref="J228:O231">ROUND(B228/1000,0)</f>
        <v>109108</v>
      </c>
      <c r="K228" s="394">
        <f t="shared" si="97"/>
        <v>17380</v>
      </c>
      <c r="L228" s="394">
        <f t="shared" si="97"/>
        <v>17380</v>
      </c>
      <c r="M228" s="395">
        <f t="shared" si="72"/>
        <v>15.928705407369359</v>
      </c>
      <c r="N228" s="395">
        <f t="shared" si="72"/>
        <v>100</v>
      </c>
      <c r="O228" s="394">
        <f t="shared" si="97"/>
        <v>8710</v>
      </c>
    </row>
    <row r="229" spans="1:15" ht="12.75" customHeight="1">
      <c r="A229" s="397" t="s">
        <v>609</v>
      </c>
      <c r="B229" s="407">
        <f aca="true" t="shared" si="98" ref="B229:G229">SUM(B230:B231)</f>
        <v>109108415</v>
      </c>
      <c r="C229" s="407">
        <f t="shared" si="98"/>
        <v>17379558</v>
      </c>
      <c r="D229" s="407">
        <f t="shared" si="98"/>
        <v>16914646.92</v>
      </c>
      <c r="E229" s="387">
        <f t="shared" si="87"/>
        <v>15.502605294009633</v>
      </c>
      <c r="F229" s="387">
        <f>IF(ISERROR(D229/C229)," ",(D229/C229))*100</f>
        <v>97.32495452415995</v>
      </c>
      <c r="G229" s="407">
        <f t="shared" si="98"/>
        <v>8481508.25</v>
      </c>
      <c r="I229" s="399" t="s">
        <v>609</v>
      </c>
      <c r="J229" s="389">
        <f>J230+J231</f>
        <v>109109</v>
      </c>
      <c r="K229" s="389">
        <f>K230+K231</f>
        <v>17380</v>
      </c>
      <c r="L229" s="389">
        <f>L230+L231</f>
        <v>16915</v>
      </c>
      <c r="M229" s="390">
        <f t="shared" si="72"/>
        <v>15.502605294009633</v>
      </c>
      <c r="N229" s="390">
        <f t="shared" si="72"/>
        <v>97.32495452415995</v>
      </c>
      <c r="O229" s="389">
        <f>O230+O231</f>
        <v>8482</v>
      </c>
    </row>
    <row r="230" spans="1:15" ht="12.75" customHeight="1">
      <c r="A230" s="401" t="s">
        <v>604</v>
      </c>
      <c r="B230" s="405">
        <v>98821615</v>
      </c>
      <c r="C230" s="405">
        <v>16499014</v>
      </c>
      <c r="D230" s="405">
        <v>16422014</v>
      </c>
      <c r="E230" s="387">
        <f t="shared" si="87"/>
        <v>16.617836087783022</v>
      </c>
      <c r="F230" s="387">
        <f>IF(ISERROR(D230/C230)," ",(D230/C230))*100</f>
        <v>99.53330544479809</v>
      </c>
      <c r="G230" s="405">
        <v>8133687</v>
      </c>
      <c r="I230" s="403" t="s">
        <v>604</v>
      </c>
      <c r="J230" s="394">
        <f t="shared" si="97"/>
        <v>98822</v>
      </c>
      <c r="K230" s="394">
        <f t="shared" si="97"/>
        <v>16499</v>
      </c>
      <c r="L230" s="394">
        <f t="shared" si="97"/>
        <v>16422</v>
      </c>
      <c r="M230" s="395">
        <f t="shared" si="72"/>
        <v>16.617836087783022</v>
      </c>
      <c r="N230" s="395">
        <f t="shared" si="72"/>
        <v>99.53330544479809</v>
      </c>
      <c r="O230" s="394">
        <f t="shared" si="97"/>
        <v>8134</v>
      </c>
    </row>
    <row r="231" spans="1:15" ht="12.75" customHeight="1">
      <c r="A231" s="401" t="s">
        <v>605</v>
      </c>
      <c r="B231" s="405">
        <v>10286800</v>
      </c>
      <c r="C231" s="405">
        <v>880544</v>
      </c>
      <c r="D231" s="405">
        <v>492632.92</v>
      </c>
      <c r="E231" s="387">
        <f t="shared" si="87"/>
        <v>4.788981218649142</v>
      </c>
      <c r="F231" s="387">
        <f>IF(ISERROR(D231/C231)," ",(D231/C231))*100</f>
        <v>55.94642857142858</v>
      </c>
      <c r="G231" s="405">
        <v>347821.25</v>
      </c>
      <c r="I231" s="403" t="s">
        <v>605</v>
      </c>
      <c r="J231" s="394">
        <f t="shared" si="97"/>
        <v>10287</v>
      </c>
      <c r="K231" s="394">
        <f t="shared" si="97"/>
        <v>881</v>
      </c>
      <c r="L231" s="394">
        <f t="shared" si="97"/>
        <v>493</v>
      </c>
      <c r="M231" s="395">
        <f t="shared" si="72"/>
        <v>4.788981218649142</v>
      </c>
      <c r="N231" s="395">
        <f t="shared" si="72"/>
        <v>55.94642857142858</v>
      </c>
      <c r="O231" s="394">
        <f t="shared" si="97"/>
        <v>348</v>
      </c>
    </row>
    <row r="232" spans="1:15" ht="12.75">
      <c r="A232" s="220" t="s">
        <v>838</v>
      </c>
      <c r="B232" s="405"/>
      <c r="C232" s="405"/>
      <c r="D232" s="405"/>
      <c r="E232" s="405"/>
      <c r="F232" s="405"/>
      <c r="G232" s="405"/>
      <c r="I232" s="408" t="s">
        <v>838</v>
      </c>
      <c r="J232" s="405"/>
      <c r="K232" s="405"/>
      <c r="L232" s="405"/>
      <c r="M232" s="395"/>
      <c r="N232" s="395"/>
      <c r="O232" s="405"/>
    </row>
    <row r="233" spans="1:15" ht="12.75" customHeight="1">
      <c r="A233" s="391" t="s">
        <v>834</v>
      </c>
      <c r="B233" s="405">
        <f aca="true" t="shared" si="99" ref="B233:G233">SUM(B234)</f>
        <v>7677897</v>
      </c>
      <c r="C233" s="405">
        <f t="shared" si="99"/>
        <v>1339198</v>
      </c>
      <c r="D233" s="405">
        <f t="shared" si="99"/>
        <v>1339198</v>
      </c>
      <c r="E233" s="387">
        <f t="shared" si="87"/>
        <v>17.442250136984125</v>
      </c>
      <c r="F233" s="387">
        <f>IF(ISERROR(D233/C233)," ",(D233/C233))*100</f>
        <v>100</v>
      </c>
      <c r="G233" s="405">
        <f t="shared" si="99"/>
        <v>669594</v>
      </c>
      <c r="I233" s="393" t="s">
        <v>834</v>
      </c>
      <c r="J233" s="394">
        <f aca="true" t="shared" si="100" ref="J233:O236">ROUND(B233/1000,0)</f>
        <v>7678</v>
      </c>
      <c r="K233" s="394">
        <f t="shared" si="100"/>
        <v>1339</v>
      </c>
      <c r="L233" s="394">
        <f t="shared" si="100"/>
        <v>1339</v>
      </c>
      <c r="M233" s="395">
        <f t="shared" si="72"/>
        <v>17.442250136984125</v>
      </c>
      <c r="N233" s="395">
        <f t="shared" si="72"/>
        <v>100</v>
      </c>
      <c r="O233" s="394">
        <f t="shared" si="100"/>
        <v>670</v>
      </c>
    </row>
    <row r="234" spans="1:15" ht="12.75" customHeight="1">
      <c r="A234" s="391" t="s">
        <v>835</v>
      </c>
      <c r="B234" s="405">
        <v>7677897</v>
      </c>
      <c r="C234" s="405">
        <v>1339198</v>
      </c>
      <c r="D234" s="405">
        <v>1339198</v>
      </c>
      <c r="E234" s="387">
        <f t="shared" si="87"/>
        <v>17.442250136984125</v>
      </c>
      <c r="F234" s="387">
        <f>IF(ISERROR(D234/C234)," ",(D234/C234))*100</f>
        <v>100</v>
      </c>
      <c r="G234" s="405">
        <f>D234-669604</f>
        <v>669594</v>
      </c>
      <c r="I234" s="393" t="s">
        <v>835</v>
      </c>
      <c r="J234" s="394">
        <f t="shared" si="100"/>
        <v>7678</v>
      </c>
      <c r="K234" s="394">
        <f t="shared" si="100"/>
        <v>1339</v>
      </c>
      <c r="L234" s="394">
        <f t="shared" si="100"/>
        <v>1339</v>
      </c>
      <c r="M234" s="395">
        <f t="shared" si="72"/>
        <v>17.442250136984125</v>
      </c>
      <c r="N234" s="395">
        <f t="shared" si="72"/>
        <v>100</v>
      </c>
      <c r="O234" s="394">
        <f t="shared" si="100"/>
        <v>670</v>
      </c>
    </row>
    <row r="235" spans="1:15" ht="12.75" customHeight="1">
      <c r="A235" s="397" t="s">
        <v>609</v>
      </c>
      <c r="B235" s="407">
        <f aca="true" t="shared" si="101" ref="B235:G235">SUM(B236)</f>
        <v>7677897</v>
      </c>
      <c r="C235" s="407">
        <f t="shared" si="101"/>
        <v>1339198</v>
      </c>
      <c r="D235" s="407">
        <f>SUM(D236)</f>
        <v>1300946.86</v>
      </c>
      <c r="E235" s="387">
        <f t="shared" si="87"/>
        <v>16.944051997571734</v>
      </c>
      <c r="F235" s="387">
        <f>IF(ISERROR(D235/C235)," ",(D235/C235))*100</f>
        <v>97.14372781321359</v>
      </c>
      <c r="G235" s="407">
        <f t="shared" si="101"/>
        <v>653009.86</v>
      </c>
      <c r="I235" s="399" t="s">
        <v>609</v>
      </c>
      <c r="J235" s="389">
        <f>J236+J237</f>
        <v>7678</v>
      </c>
      <c r="K235" s="389">
        <f>K236+K237</f>
        <v>1339</v>
      </c>
      <c r="L235" s="389">
        <f>L236+L237</f>
        <v>1301</v>
      </c>
      <c r="M235" s="390">
        <f t="shared" si="72"/>
        <v>16.944051997571734</v>
      </c>
      <c r="N235" s="390">
        <f t="shared" si="72"/>
        <v>97.14372781321359</v>
      </c>
      <c r="O235" s="389">
        <f>O236+O237</f>
        <v>653</v>
      </c>
    </row>
    <row r="236" spans="1:15" ht="12.75" customHeight="1">
      <c r="A236" s="401" t="s">
        <v>604</v>
      </c>
      <c r="B236" s="405">
        <v>7677897</v>
      </c>
      <c r="C236" s="405">
        <v>1339198</v>
      </c>
      <c r="D236" s="405">
        <v>1300946.86</v>
      </c>
      <c r="E236" s="387">
        <f t="shared" si="87"/>
        <v>16.944051997571734</v>
      </c>
      <c r="F236" s="387">
        <f>IF(ISERROR(D236/C236)," ",(D236/C236))*100</f>
        <v>97.14372781321359</v>
      </c>
      <c r="G236" s="405">
        <v>653009.86</v>
      </c>
      <c r="I236" s="403" t="s">
        <v>604</v>
      </c>
      <c r="J236" s="394">
        <f t="shared" si="100"/>
        <v>7678</v>
      </c>
      <c r="K236" s="394">
        <f t="shared" si="100"/>
        <v>1339</v>
      </c>
      <c r="L236" s="394">
        <f t="shared" si="100"/>
        <v>1301</v>
      </c>
      <c r="M236" s="395">
        <f t="shared" si="72"/>
        <v>16.944051997571734</v>
      </c>
      <c r="N236" s="395">
        <f t="shared" si="72"/>
        <v>97.14372781321359</v>
      </c>
      <c r="O236" s="394">
        <f t="shared" si="100"/>
        <v>653</v>
      </c>
    </row>
    <row r="237" spans="2:15" ht="17.25" customHeight="1">
      <c r="B237" s="415"/>
      <c r="C237" s="415"/>
      <c r="D237" s="415"/>
      <c r="E237" s="415"/>
      <c r="F237" s="415"/>
      <c r="G237" s="415"/>
      <c r="J237" s="415"/>
      <c r="K237" s="415"/>
      <c r="L237" s="415"/>
      <c r="M237" s="416"/>
      <c r="N237" s="416"/>
      <c r="O237" s="415"/>
    </row>
    <row r="238" spans="2:15" ht="17.25" customHeight="1">
      <c r="B238" s="415"/>
      <c r="C238" s="415"/>
      <c r="D238" s="415"/>
      <c r="E238" s="415"/>
      <c r="F238" s="415"/>
      <c r="G238" s="415"/>
      <c r="J238" s="415"/>
      <c r="K238" s="415"/>
      <c r="L238" s="415"/>
      <c r="M238" s="415"/>
      <c r="N238" s="415"/>
      <c r="O238" s="415"/>
    </row>
    <row r="239" spans="2:15" ht="17.25" customHeight="1">
      <c r="B239" s="415"/>
      <c r="C239" s="415"/>
      <c r="D239" s="415"/>
      <c r="E239" s="415"/>
      <c r="F239" s="415"/>
      <c r="G239" s="415"/>
      <c r="J239" s="415"/>
      <c r="K239" s="415"/>
      <c r="L239" s="415"/>
      <c r="M239" s="415"/>
      <c r="N239" s="415"/>
      <c r="O239" s="415"/>
    </row>
    <row r="240" spans="1:15" ht="17.25" customHeight="1">
      <c r="A240" s="417" t="s">
        <v>644</v>
      </c>
      <c r="B240" s="418"/>
      <c r="C240" s="418"/>
      <c r="D240" s="418" t="s">
        <v>645</v>
      </c>
      <c r="E240" s="415"/>
      <c r="F240" s="415"/>
      <c r="G240" s="415"/>
      <c r="I240" s="417" t="s">
        <v>839</v>
      </c>
      <c r="J240" s="418"/>
      <c r="K240" s="418"/>
      <c r="L240" s="418"/>
      <c r="M240" s="415"/>
      <c r="N240" s="415"/>
      <c r="O240" s="415"/>
    </row>
    <row r="241" spans="2:15" ht="17.25" customHeight="1">
      <c r="B241" s="415"/>
      <c r="C241" s="415"/>
      <c r="D241" s="415"/>
      <c r="E241" s="415"/>
      <c r="F241" s="415"/>
      <c r="G241" s="415"/>
      <c r="J241" s="415"/>
      <c r="K241" s="415"/>
      <c r="L241" s="415"/>
      <c r="M241" s="415"/>
      <c r="N241" s="415"/>
      <c r="O241" s="415"/>
    </row>
    <row r="242" spans="2:7" ht="17.25" customHeight="1">
      <c r="B242" s="415"/>
      <c r="C242" s="415"/>
      <c r="D242" s="415"/>
      <c r="E242" s="415"/>
      <c r="F242" s="415"/>
      <c r="G242" s="415"/>
    </row>
    <row r="243" spans="2:9" ht="17.25" customHeight="1">
      <c r="B243" s="415"/>
      <c r="C243" s="415"/>
      <c r="D243" s="415"/>
      <c r="E243" s="415"/>
      <c r="F243" s="415"/>
      <c r="G243" s="415"/>
      <c r="I243" s="415" t="s">
        <v>398</v>
      </c>
    </row>
    <row r="244" spans="2:9" ht="17.25" customHeight="1">
      <c r="B244" s="415"/>
      <c r="C244" s="415"/>
      <c r="D244" s="415"/>
      <c r="E244" s="415"/>
      <c r="F244" s="415"/>
      <c r="G244" s="415"/>
      <c r="I244" s="415" t="s">
        <v>399</v>
      </c>
    </row>
    <row r="245" spans="2:7" ht="17.25" customHeight="1">
      <c r="B245" s="415"/>
      <c r="C245" s="415"/>
      <c r="D245" s="415"/>
      <c r="E245" s="415"/>
      <c r="F245" s="415"/>
      <c r="G245" s="415"/>
    </row>
    <row r="246" spans="2:7" ht="17.25" customHeight="1">
      <c r="B246" s="415"/>
      <c r="C246" s="415"/>
      <c r="D246" s="415"/>
      <c r="E246" s="415"/>
      <c r="F246" s="415"/>
      <c r="G246" s="415"/>
    </row>
    <row r="247" spans="2:7" ht="17.25" customHeight="1">
      <c r="B247" s="415"/>
      <c r="C247" s="415"/>
      <c r="D247" s="415"/>
      <c r="E247" s="415"/>
      <c r="F247" s="415"/>
      <c r="G247" s="415"/>
    </row>
    <row r="248" spans="2:7" ht="17.25" customHeight="1">
      <c r="B248" s="415"/>
      <c r="C248" s="415"/>
      <c r="D248" s="415"/>
      <c r="E248" s="415"/>
      <c r="F248" s="415"/>
      <c r="G248" s="415"/>
    </row>
    <row r="249" spans="2:7" ht="17.25" customHeight="1">
      <c r="B249" s="415"/>
      <c r="C249" s="415"/>
      <c r="D249" s="415"/>
      <c r="E249" s="415"/>
      <c r="F249" s="415"/>
      <c r="G249" s="415"/>
    </row>
    <row r="250" spans="2:7" ht="17.25" customHeight="1">
      <c r="B250" s="415"/>
      <c r="C250" s="415"/>
      <c r="D250" s="415"/>
      <c r="E250" s="415"/>
      <c r="F250" s="415"/>
      <c r="G250" s="415"/>
    </row>
    <row r="251" spans="2:7" ht="17.25" customHeight="1">
      <c r="B251" s="415"/>
      <c r="C251" s="415"/>
      <c r="D251" s="415"/>
      <c r="E251" s="415"/>
      <c r="F251" s="415"/>
      <c r="G251" s="415"/>
    </row>
  </sheetData>
  <mergeCells count="7">
    <mergeCell ref="A7:F7"/>
    <mergeCell ref="I7:O7"/>
    <mergeCell ref="I3:O3"/>
    <mergeCell ref="A4:F4"/>
    <mergeCell ref="I4:N4"/>
    <mergeCell ref="A5:F5"/>
    <mergeCell ref="I5:N5"/>
  </mergeCells>
  <printOptions/>
  <pageMargins left="0.6" right="0.19" top="0.4" bottom="0.51" header="0.17" footer="0.1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H1">
      <selection activeCell="B8" sqref="B8"/>
    </sheetView>
  </sheetViews>
  <sheetFormatPr defaultColWidth="9.140625" defaultRowHeight="12.75"/>
  <cols>
    <col min="1" max="1" width="36.28125" style="0" hidden="1" customWidth="1"/>
    <col min="2" max="2" width="11.00390625" style="0" hidden="1" customWidth="1"/>
    <col min="3" max="3" width="11.421875" style="0" hidden="1" customWidth="1"/>
    <col min="4" max="4" width="10.8515625" style="0" hidden="1" customWidth="1"/>
    <col min="5" max="5" width="7.7109375" style="0" hidden="1" customWidth="1"/>
    <col min="6" max="6" width="9.421875" style="0" hidden="1" customWidth="1"/>
    <col min="7" max="7" width="9.00390625" style="0" hidden="1" customWidth="1"/>
    <col min="8" max="8" width="36.8515625" style="0" customWidth="1"/>
    <col min="9" max="9" width="10.8515625" style="0" customWidth="1"/>
    <col min="11" max="11" width="10.7109375" style="0" customWidth="1"/>
  </cols>
  <sheetData>
    <row r="1" spans="7:14" ht="12.75">
      <c r="G1" s="1" t="s">
        <v>787</v>
      </c>
      <c r="N1" s="1" t="s">
        <v>787</v>
      </c>
    </row>
    <row r="2" spans="1:9" ht="12.75">
      <c r="A2" s="28"/>
      <c r="B2" s="108" t="s">
        <v>788</v>
      </c>
      <c r="H2" s="28"/>
      <c r="I2" s="108" t="s">
        <v>788</v>
      </c>
    </row>
    <row r="4" spans="1:14" ht="15">
      <c r="A4" s="625" t="s">
        <v>789</v>
      </c>
      <c r="B4" s="625"/>
      <c r="C4" s="625"/>
      <c r="D4" s="625"/>
      <c r="E4" s="625"/>
      <c r="F4" s="625"/>
      <c r="G4" s="625"/>
      <c r="H4" s="625" t="s">
        <v>789</v>
      </c>
      <c r="I4" s="625"/>
      <c r="J4" s="625"/>
      <c r="K4" s="625"/>
      <c r="L4" s="625"/>
      <c r="M4" s="625"/>
      <c r="N4" s="625"/>
    </row>
    <row r="5" spans="1:13" ht="12.75">
      <c r="A5" s="624" t="s">
        <v>790</v>
      </c>
      <c r="B5" s="624"/>
      <c r="C5" s="624"/>
      <c r="D5" s="624"/>
      <c r="E5" s="624"/>
      <c r="F5" s="624"/>
      <c r="H5" s="624" t="s">
        <v>791</v>
      </c>
      <c r="I5" s="624"/>
      <c r="J5" s="624"/>
      <c r="K5" s="624"/>
      <c r="L5" s="624"/>
      <c r="M5" s="624"/>
    </row>
    <row r="6" spans="1:13" ht="15">
      <c r="A6" s="332"/>
      <c r="B6" s="332"/>
      <c r="C6" s="332"/>
      <c r="D6" s="332"/>
      <c r="E6" s="332"/>
      <c r="F6" s="332"/>
      <c r="H6" s="332"/>
      <c r="I6" s="332"/>
      <c r="J6" s="332"/>
      <c r="K6" s="332"/>
      <c r="L6" s="332"/>
      <c r="M6" s="332"/>
    </row>
    <row r="7" spans="6:14" ht="12.75">
      <c r="F7" s="486" t="s">
        <v>317</v>
      </c>
      <c r="G7" s="486"/>
      <c r="M7" s="486" t="s">
        <v>317</v>
      </c>
      <c r="N7" s="486"/>
    </row>
    <row r="8" spans="1:14" ht="78.75">
      <c r="A8" s="34" t="s">
        <v>792</v>
      </c>
      <c r="B8" s="34" t="s">
        <v>403</v>
      </c>
      <c r="C8" s="34" t="s">
        <v>651</v>
      </c>
      <c r="D8" s="34" t="s">
        <v>404</v>
      </c>
      <c r="E8" s="34" t="s">
        <v>652</v>
      </c>
      <c r="F8" s="34" t="s">
        <v>793</v>
      </c>
      <c r="G8" s="34" t="s">
        <v>707</v>
      </c>
      <c r="H8" s="34" t="s">
        <v>792</v>
      </c>
      <c r="I8" s="34" t="s">
        <v>403</v>
      </c>
      <c r="J8" s="34" t="s">
        <v>651</v>
      </c>
      <c r="K8" s="34" t="s">
        <v>404</v>
      </c>
      <c r="L8" s="34" t="s">
        <v>652</v>
      </c>
      <c r="M8" s="34" t="s">
        <v>793</v>
      </c>
      <c r="N8" s="34" t="s">
        <v>601</v>
      </c>
    </row>
    <row r="9" spans="1:14" ht="12.75">
      <c r="A9" s="34">
        <v>1</v>
      </c>
      <c r="B9" s="34">
        <v>2</v>
      </c>
      <c r="C9" s="34">
        <v>3</v>
      </c>
      <c r="D9" s="34">
        <v>4</v>
      </c>
      <c r="E9" s="344">
        <v>5</v>
      </c>
      <c r="F9" s="34">
        <v>6</v>
      </c>
      <c r="G9" s="34">
        <v>7</v>
      </c>
      <c r="H9" s="34">
        <v>1</v>
      </c>
      <c r="I9" s="34">
        <v>2</v>
      </c>
      <c r="J9" s="34">
        <v>3</v>
      </c>
      <c r="K9" s="34">
        <v>4</v>
      </c>
      <c r="L9" s="344">
        <v>5</v>
      </c>
      <c r="M9" s="34">
        <v>6</v>
      </c>
      <c r="N9" s="34">
        <v>7</v>
      </c>
    </row>
    <row r="10" spans="1:14" ht="12.75">
      <c r="A10" s="345" t="s">
        <v>794</v>
      </c>
      <c r="B10" s="20">
        <v>795383031</v>
      </c>
      <c r="C10" s="346" t="s">
        <v>360</v>
      </c>
      <c r="D10" s="20">
        <v>114086103.11</v>
      </c>
      <c r="E10" s="347" t="s">
        <v>360</v>
      </c>
      <c r="F10" s="347" t="s">
        <v>360</v>
      </c>
      <c r="G10" s="20"/>
      <c r="H10" s="345" t="s">
        <v>794</v>
      </c>
      <c r="I10" s="20">
        <f>ROUND(B10/1000,0)</f>
        <v>795383</v>
      </c>
      <c r="J10" s="346" t="s">
        <v>360</v>
      </c>
      <c r="K10" s="348">
        <f>ROUND(D10/1000,0)</f>
        <v>114086</v>
      </c>
      <c r="L10" s="347" t="s">
        <v>360</v>
      </c>
      <c r="M10" s="347" t="s">
        <v>360</v>
      </c>
      <c r="N10" s="20">
        <f>K10-'[11]1Janvāris'!D10</f>
        <v>49621</v>
      </c>
    </row>
    <row r="11" spans="1:14" ht="12.75">
      <c r="A11" s="349" t="s">
        <v>795</v>
      </c>
      <c r="B11" s="348">
        <v>822566488</v>
      </c>
      <c r="C11" s="348">
        <f>C12+C13+C14+C15</f>
        <v>124629278</v>
      </c>
      <c r="D11" s="348">
        <f>D12+D13+D14+D15</f>
        <v>121208139.1</v>
      </c>
      <c r="E11" s="350">
        <f>IF(ISERROR(D11/B11)," ",(D11/B11))*100</f>
        <v>14.735360711655932</v>
      </c>
      <c r="F11" s="351">
        <f>IF(ISERROR(D11/C11)," ",(D11/C11))*100</f>
        <v>97.25494766967999</v>
      </c>
      <c r="G11" s="348">
        <f>SUM(G12:G15)</f>
        <v>0</v>
      </c>
      <c r="H11" s="349" t="s">
        <v>795</v>
      </c>
      <c r="I11" s="20">
        <f aca="true" t="shared" si="0" ref="I11:K20">ROUND(B11/1000,0)</f>
        <v>822566</v>
      </c>
      <c r="J11" s="348">
        <f>ROUND(C11/1000,0)</f>
        <v>124629</v>
      </c>
      <c r="K11" s="348">
        <f>ROUND(D11/1000,0)+1</f>
        <v>121209</v>
      </c>
      <c r="L11" s="350">
        <f>E11</f>
        <v>14.735360711655932</v>
      </c>
      <c r="M11" s="350">
        <f>F11</f>
        <v>97.25494766967999</v>
      </c>
      <c r="N11" s="20">
        <f>K11-'[11]1Janvāris'!D11+1</f>
        <v>60447</v>
      </c>
    </row>
    <row r="12" spans="1:14" ht="20.25" customHeight="1">
      <c r="A12" s="352" t="s">
        <v>796</v>
      </c>
      <c r="B12" s="348">
        <v>702268383</v>
      </c>
      <c r="C12" s="348">
        <v>107639502</v>
      </c>
      <c r="D12" s="348">
        <v>107639502</v>
      </c>
      <c r="E12" s="350">
        <f aca="true" t="shared" si="1" ref="E12:E19">IF(ISERROR(D12/B12)," ",(D12/B12))*100</f>
        <v>15.327402543765094</v>
      </c>
      <c r="F12" s="351">
        <f aca="true" t="shared" si="2" ref="F12:F22">IF(ISERROR(D12/C12)," ",(D12/C12))*100</f>
        <v>100</v>
      </c>
      <c r="G12" s="348"/>
      <c r="H12" s="352" t="s">
        <v>796</v>
      </c>
      <c r="I12" s="20">
        <f t="shared" si="0"/>
        <v>702268</v>
      </c>
      <c r="J12" s="348">
        <f t="shared" si="0"/>
        <v>107640</v>
      </c>
      <c r="K12" s="348">
        <f t="shared" si="0"/>
        <v>107640</v>
      </c>
      <c r="L12" s="350">
        <f aca="true" t="shared" si="3" ref="L12:M19">E12</f>
        <v>15.327402543765094</v>
      </c>
      <c r="M12" s="350">
        <f t="shared" si="3"/>
        <v>100</v>
      </c>
      <c r="N12" s="20">
        <f>K12-'[11]1Janvāris'!D12</f>
        <v>53036</v>
      </c>
    </row>
    <row r="13" spans="1:14" ht="17.25" customHeight="1">
      <c r="A13" s="352" t="s">
        <v>797</v>
      </c>
      <c r="B13" s="348">
        <v>3480024</v>
      </c>
      <c r="C13" s="348">
        <v>358339</v>
      </c>
      <c r="D13" s="348">
        <v>146255.1</v>
      </c>
      <c r="E13" s="350">
        <f t="shared" si="1"/>
        <v>4.202703774456728</v>
      </c>
      <c r="F13" s="351">
        <f t="shared" si="2"/>
        <v>40.8147313019236</v>
      </c>
      <c r="G13" s="348"/>
      <c r="H13" s="352" t="s">
        <v>797</v>
      </c>
      <c r="I13" s="20">
        <f t="shared" si="0"/>
        <v>3480</v>
      </c>
      <c r="J13" s="348">
        <f t="shared" si="0"/>
        <v>358</v>
      </c>
      <c r="K13" s="348">
        <f t="shared" si="0"/>
        <v>146</v>
      </c>
      <c r="L13" s="350">
        <f t="shared" si="3"/>
        <v>4.202703774456728</v>
      </c>
      <c r="M13" s="350">
        <f t="shared" si="3"/>
        <v>40.8147313019236</v>
      </c>
      <c r="N13" s="20">
        <f>K13-'[11]1Janvāris'!D13</f>
        <v>91</v>
      </c>
    </row>
    <row r="14" spans="1:14" ht="15" customHeight="1">
      <c r="A14" s="352" t="s">
        <v>749</v>
      </c>
      <c r="B14" s="348">
        <v>60659270</v>
      </c>
      <c r="C14" s="348">
        <v>9879762</v>
      </c>
      <c r="D14" s="348">
        <v>10472852</v>
      </c>
      <c r="E14" s="350">
        <f t="shared" si="1"/>
        <v>17.26504786490177</v>
      </c>
      <c r="F14" s="351">
        <f t="shared" si="2"/>
        <v>106.00307983127529</v>
      </c>
      <c r="G14" s="348"/>
      <c r="H14" s="352" t="s">
        <v>749</v>
      </c>
      <c r="I14" s="20">
        <f t="shared" si="0"/>
        <v>60659</v>
      </c>
      <c r="J14" s="348">
        <f t="shared" si="0"/>
        <v>9880</v>
      </c>
      <c r="K14" s="348">
        <f t="shared" si="0"/>
        <v>10473</v>
      </c>
      <c r="L14" s="350">
        <f t="shared" si="3"/>
        <v>17.26504786490177</v>
      </c>
      <c r="M14" s="350">
        <f t="shared" si="3"/>
        <v>106.00307983127529</v>
      </c>
      <c r="N14" s="20">
        <f>K14-'[11]1Janvāris'!D14</f>
        <v>5271</v>
      </c>
    </row>
    <row r="15" spans="1:14" ht="15" customHeight="1">
      <c r="A15" s="349" t="s">
        <v>750</v>
      </c>
      <c r="B15" s="348">
        <v>56158811</v>
      </c>
      <c r="C15" s="348">
        <v>6751675</v>
      </c>
      <c r="D15" s="348">
        <v>2949530</v>
      </c>
      <c r="E15" s="350">
        <f t="shared" si="1"/>
        <v>5.252123304391184</v>
      </c>
      <c r="F15" s="351">
        <f t="shared" si="2"/>
        <v>43.68590016551448</v>
      </c>
      <c r="G15" s="348"/>
      <c r="H15" s="349" t="s">
        <v>750</v>
      </c>
      <c r="I15" s="20">
        <f t="shared" si="0"/>
        <v>56159</v>
      </c>
      <c r="J15" s="348">
        <f t="shared" si="0"/>
        <v>6752</v>
      </c>
      <c r="K15" s="348">
        <f t="shared" si="0"/>
        <v>2950</v>
      </c>
      <c r="L15" s="350">
        <f t="shared" si="3"/>
        <v>5.252123304391184</v>
      </c>
      <c r="M15" s="350">
        <f t="shared" si="3"/>
        <v>43.68590016551448</v>
      </c>
      <c r="N15" s="20">
        <f>K15-'[11]1Janvāris'!D15</f>
        <v>2048</v>
      </c>
    </row>
    <row r="16" spans="1:14" ht="15" customHeight="1">
      <c r="A16" s="345" t="s">
        <v>659</v>
      </c>
      <c r="B16" s="20">
        <v>822563488</v>
      </c>
      <c r="C16" s="20">
        <v>124587338</v>
      </c>
      <c r="D16" s="20">
        <f>D17+D41</f>
        <v>112026988.09000002</v>
      </c>
      <c r="E16" s="350">
        <f t="shared" si="1"/>
        <v>13.619251246172503</v>
      </c>
      <c r="F16" s="351">
        <f t="shared" si="2"/>
        <v>89.91843785120444</v>
      </c>
      <c r="G16" s="20"/>
      <c r="H16" s="345" t="s">
        <v>659</v>
      </c>
      <c r="I16" s="20">
        <f t="shared" si="0"/>
        <v>822563</v>
      </c>
      <c r="J16" s="348">
        <f t="shared" si="0"/>
        <v>124587</v>
      </c>
      <c r="K16" s="348">
        <f t="shared" si="0"/>
        <v>112027</v>
      </c>
      <c r="L16" s="350">
        <f t="shared" si="3"/>
        <v>13.619251246172503</v>
      </c>
      <c r="M16" s="350">
        <f t="shared" si="3"/>
        <v>89.91843785120444</v>
      </c>
      <c r="N16" s="20">
        <f>K16-'[11]1Janvāris'!D16</f>
        <v>56494</v>
      </c>
    </row>
    <row r="17" spans="1:14" ht="12.75">
      <c r="A17" s="353" t="s">
        <v>798</v>
      </c>
      <c r="B17" s="20">
        <v>743343379</v>
      </c>
      <c r="C17" s="20">
        <v>116252164</v>
      </c>
      <c r="D17" s="20">
        <f>D18+D22+D26</f>
        <v>107105185.30000001</v>
      </c>
      <c r="E17" s="350">
        <f t="shared" si="1"/>
        <v>14.408574600353036</v>
      </c>
      <c r="F17" s="351">
        <f t="shared" si="2"/>
        <v>92.13177769318773</v>
      </c>
      <c r="G17" s="20"/>
      <c r="H17" s="353" t="s">
        <v>798</v>
      </c>
      <c r="I17" s="20">
        <f t="shared" si="0"/>
        <v>743343</v>
      </c>
      <c r="J17" s="348">
        <f t="shared" si="0"/>
        <v>116252</v>
      </c>
      <c r="K17" s="348">
        <f t="shared" si="0"/>
        <v>107105</v>
      </c>
      <c r="L17" s="350">
        <f t="shared" si="3"/>
        <v>14.408574600353036</v>
      </c>
      <c r="M17" s="350">
        <f t="shared" si="3"/>
        <v>92.13177769318773</v>
      </c>
      <c r="N17" s="20">
        <f>K17-'[11]1Janvāris'!D17</f>
        <v>53730</v>
      </c>
    </row>
    <row r="18" spans="1:14" ht="12.75">
      <c r="A18" s="354" t="s">
        <v>574</v>
      </c>
      <c r="B18" s="20">
        <v>378400026</v>
      </c>
      <c r="C18" s="20">
        <v>60163548</v>
      </c>
      <c r="D18" s="20">
        <f>D19+D20+D21</f>
        <v>53930871.230000004</v>
      </c>
      <c r="E18" s="350">
        <f t="shared" si="1"/>
        <v>14.252343426107483</v>
      </c>
      <c r="F18" s="351">
        <f t="shared" si="2"/>
        <v>89.64044346254315</v>
      </c>
      <c r="G18" s="20"/>
      <c r="H18" s="354" t="s">
        <v>574</v>
      </c>
      <c r="I18" s="20">
        <f t="shared" si="0"/>
        <v>378400</v>
      </c>
      <c r="J18" s="348">
        <f t="shared" si="0"/>
        <v>60164</v>
      </c>
      <c r="K18" s="348">
        <f t="shared" si="0"/>
        <v>53931</v>
      </c>
      <c r="L18" s="350">
        <f t="shared" si="3"/>
        <v>14.252343426107483</v>
      </c>
      <c r="M18" s="350">
        <f t="shared" si="3"/>
        <v>89.64044346254315</v>
      </c>
      <c r="N18" s="20">
        <f>K18-'[11]1Janvāris'!D18</f>
        <v>28173</v>
      </c>
    </row>
    <row r="19" spans="1:14" ht="12.75">
      <c r="A19" s="355" t="s">
        <v>575</v>
      </c>
      <c r="B19" s="348">
        <v>171195440</v>
      </c>
      <c r="C19" s="348">
        <v>26255422</v>
      </c>
      <c r="D19" s="348">
        <f>24675966.08</f>
        <v>24675966.08</v>
      </c>
      <c r="E19" s="350">
        <f t="shared" si="1"/>
        <v>14.4139155108337</v>
      </c>
      <c r="F19" s="351">
        <f t="shared" si="2"/>
        <v>93.98426763051076</v>
      </c>
      <c r="G19" s="348"/>
      <c r="H19" s="355" t="s">
        <v>575</v>
      </c>
      <c r="I19" s="20">
        <f t="shared" si="0"/>
        <v>171195</v>
      </c>
      <c r="J19" s="348">
        <f t="shared" si="0"/>
        <v>26255</v>
      </c>
      <c r="K19" s="348">
        <f t="shared" si="0"/>
        <v>24676</v>
      </c>
      <c r="L19" s="350">
        <f t="shared" si="3"/>
        <v>14.4139155108337</v>
      </c>
      <c r="M19" s="350">
        <f t="shared" si="3"/>
        <v>93.98426763051076</v>
      </c>
      <c r="N19" s="20">
        <f>K19-'[11]1Janvāris'!D19</f>
        <v>12666</v>
      </c>
    </row>
    <row r="20" spans="1:14" ht="27" customHeight="1">
      <c r="A20" s="352" t="s">
        <v>799</v>
      </c>
      <c r="B20" s="356" t="s">
        <v>360</v>
      </c>
      <c r="C20" s="356" t="s">
        <v>360</v>
      </c>
      <c r="D20" s="348">
        <v>6415217.8</v>
      </c>
      <c r="E20" s="357" t="s">
        <v>360</v>
      </c>
      <c r="F20" s="357" t="s">
        <v>360</v>
      </c>
      <c r="G20" s="348"/>
      <c r="H20" s="352" t="s">
        <v>799</v>
      </c>
      <c r="I20" s="356" t="s">
        <v>360</v>
      </c>
      <c r="J20" s="356" t="s">
        <v>360</v>
      </c>
      <c r="K20" s="348">
        <f t="shared" si="0"/>
        <v>6415</v>
      </c>
      <c r="L20" s="357" t="s">
        <v>360</v>
      </c>
      <c r="M20" s="357" t="s">
        <v>360</v>
      </c>
      <c r="N20" s="20">
        <f>K20-'[11]1Janvāris'!D20</f>
        <v>3188</v>
      </c>
    </row>
    <row r="21" spans="1:14" ht="18" customHeight="1">
      <c r="A21" s="87" t="s">
        <v>578</v>
      </c>
      <c r="B21" s="356" t="s">
        <v>360</v>
      </c>
      <c r="C21" s="348">
        <v>33908126</v>
      </c>
      <c r="D21" s="348">
        <f>22840097.25-409.9</f>
        <v>22839687.35</v>
      </c>
      <c r="E21" s="357" t="s">
        <v>360</v>
      </c>
      <c r="F21" s="351">
        <f t="shared" si="2"/>
        <v>67.35756305140545</v>
      </c>
      <c r="G21" s="348"/>
      <c r="H21" s="87" t="s">
        <v>578</v>
      </c>
      <c r="I21" s="356" t="s">
        <v>360</v>
      </c>
      <c r="J21" s="348">
        <f>ROUND(C21/1000,0)</f>
        <v>33908</v>
      </c>
      <c r="K21" s="348">
        <f>ROUND(D21/1000,0)</f>
        <v>22840</v>
      </c>
      <c r="L21" s="357" t="str">
        <f>E21</f>
        <v>x</v>
      </c>
      <c r="M21" s="351">
        <f>F21</f>
        <v>67.35756305140545</v>
      </c>
      <c r="N21" s="20">
        <f>K21-'[11]1Janvāris'!D21</f>
        <v>12319</v>
      </c>
    </row>
    <row r="22" spans="1:14" ht="28.5" customHeight="1">
      <c r="A22" s="80" t="s">
        <v>582</v>
      </c>
      <c r="B22" s="20">
        <v>44080640</v>
      </c>
      <c r="C22" s="20">
        <v>4047512</v>
      </c>
      <c r="D22" s="20">
        <v>3826427.75</v>
      </c>
      <c r="E22" s="358">
        <f>IF(ISERROR(D22/B22)," ",(D22/B22))*100</f>
        <v>8.680517683046345</v>
      </c>
      <c r="F22" s="359">
        <f t="shared" si="2"/>
        <v>94.53777406960128</v>
      </c>
      <c r="G22" s="20"/>
      <c r="H22" s="80" t="s">
        <v>582</v>
      </c>
      <c r="I22" s="20">
        <f>ROUND(B22/1000,0)</f>
        <v>44081</v>
      </c>
      <c r="J22" s="348">
        <f>ROUND(C22/1000,0)</f>
        <v>4048</v>
      </c>
      <c r="K22" s="348">
        <f>ROUND(D22/1000,0)</f>
        <v>3826</v>
      </c>
      <c r="L22" s="357">
        <f>E22</f>
        <v>8.680517683046345</v>
      </c>
      <c r="M22" s="351">
        <f>F22</f>
        <v>94.53777406960128</v>
      </c>
      <c r="N22" s="20">
        <f>K22-'[11]1Janvāris'!D22</f>
        <v>1626</v>
      </c>
    </row>
    <row r="23" spans="1:14" ht="31.5" customHeight="1">
      <c r="A23" s="352" t="s">
        <v>800</v>
      </c>
      <c r="B23" s="356" t="s">
        <v>360</v>
      </c>
      <c r="C23" s="356" t="s">
        <v>360</v>
      </c>
      <c r="D23" s="348">
        <v>1874246.78</v>
      </c>
      <c r="E23" s="357" t="s">
        <v>360</v>
      </c>
      <c r="F23" s="357" t="s">
        <v>360</v>
      </c>
      <c r="G23" s="348"/>
      <c r="H23" s="352" t="s">
        <v>800</v>
      </c>
      <c r="I23" s="356" t="s">
        <v>360</v>
      </c>
      <c r="J23" s="356" t="s">
        <v>360</v>
      </c>
      <c r="K23" s="348">
        <f aca="true" t="shared" si="4" ref="K23:K30">ROUND(D23/1000,0)</f>
        <v>1874</v>
      </c>
      <c r="L23" s="357" t="s">
        <v>360</v>
      </c>
      <c r="M23" s="357" t="s">
        <v>360</v>
      </c>
      <c r="N23" s="20">
        <f>K23-'[11]1Janvāris'!D23</f>
        <v>714</v>
      </c>
    </row>
    <row r="24" spans="1:14" ht="30" customHeight="1">
      <c r="A24" s="352" t="s">
        <v>801</v>
      </c>
      <c r="B24" s="356" t="s">
        <v>360</v>
      </c>
      <c r="C24" s="356" t="s">
        <v>360</v>
      </c>
      <c r="D24" s="348">
        <v>1890976.79</v>
      </c>
      <c r="E24" s="357" t="s">
        <v>360</v>
      </c>
      <c r="F24" s="357" t="s">
        <v>360</v>
      </c>
      <c r="G24" s="348"/>
      <c r="H24" s="352" t="s">
        <v>801</v>
      </c>
      <c r="I24" s="356" t="s">
        <v>360</v>
      </c>
      <c r="J24" s="356" t="s">
        <v>360</v>
      </c>
      <c r="K24" s="348">
        <f t="shared" si="4"/>
        <v>1891</v>
      </c>
      <c r="L24" s="357" t="s">
        <v>360</v>
      </c>
      <c r="M24" s="357" t="s">
        <v>360</v>
      </c>
      <c r="N24" s="20">
        <f>K24-'[11]1Janvāris'!D24</f>
        <v>883</v>
      </c>
    </row>
    <row r="25" spans="1:14" ht="26.25" customHeight="1">
      <c r="A25" s="352" t="s">
        <v>802</v>
      </c>
      <c r="B25" s="356" t="s">
        <v>360</v>
      </c>
      <c r="C25" s="356" t="s">
        <v>360</v>
      </c>
      <c r="D25" s="348">
        <v>61204.18</v>
      </c>
      <c r="E25" s="357" t="s">
        <v>360</v>
      </c>
      <c r="F25" s="357" t="s">
        <v>360</v>
      </c>
      <c r="G25" s="348"/>
      <c r="H25" s="352" t="s">
        <v>802</v>
      </c>
      <c r="I25" s="356" t="s">
        <v>360</v>
      </c>
      <c r="J25" s="356" t="s">
        <v>360</v>
      </c>
      <c r="K25" s="348">
        <f t="shared" si="4"/>
        <v>61</v>
      </c>
      <c r="L25" s="357" t="s">
        <v>360</v>
      </c>
      <c r="M25" s="357" t="s">
        <v>360</v>
      </c>
      <c r="N25" s="20">
        <f>K25-'[11]1Janvāris'!D25</f>
        <v>29</v>
      </c>
    </row>
    <row r="26" spans="1:14" ht="12.75">
      <c r="A26" s="360" t="s">
        <v>585</v>
      </c>
      <c r="B26" s="20">
        <v>320862713</v>
      </c>
      <c r="C26" s="20">
        <v>26065056</v>
      </c>
      <c r="D26" s="20">
        <v>49347886.32</v>
      </c>
      <c r="E26" s="358">
        <f>IF(ISERROR(D26/B26)," ",(D26/B26))*100</f>
        <v>15.379751002728698</v>
      </c>
      <c r="F26" s="359">
        <f>IF(ISERROR(D26/C26)," ",(D26/C26))*100</f>
        <v>189.32584038952382</v>
      </c>
      <c r="G26" s="20"/>
      <c r="H26" s="360" t="s">
        <v>585</v>
      </c>
      <c r="I26" s="348">
        <f>ROUND(B26/1000,0)</f>
        <v>320863</v>
      </c>
      <c r="J26" s="20">
        <f>ROUND(C26/1000,0)</f>
        <v>26065</v>
      </c>
      <c r="K26" s="20">
        <f t="shared" si="4"/>
        <v>49348</v>
      </c>
      <c r="L26" s="358">
        <f>E26</f>
        <v>15.379751002728698</v>
      </c>
      <c r="M26" s="359">
        <f>F26</f>
        <v>189.32584038952382</v>
      </c>
      <c r="N26" s="20">
        <f>K26-'[11]1Janvāris'!D26</f>
        <v>23931</v>
      </c>
    </row>
    <row r="27" spans="1:14" ht="12.75">
      <c r="A27" s="355" t="s">
        <v>586</v>
      </c>
      <c r="B27" s="356" t="s">
        <v>360</v>
      </c>
      <c r="C27" s="356" t="s">
        <v>360</v>
      </c>
      <c r="D27" s="348">
        <v>3524188.37</v>
      </c>
      <c r="E27" s="357" t="s">
        <v>360</v>
      </c>
      <c r="F27" s="357" t="s">
        <v>360</v>
      </c>
      <c r="G27" s="348"/>
      <c r="H27" s="355" t="s">
        <v>586</v>
      </c>
      <c r="I27" s="356" t="s">
        <v>360</v>
      </c>
      <c r="J27" s="356" t="s">
        <v>360</v>
      </c>
      <c r="K27" s="20">
        <f t="shared" si="4"/>
        <v>3524</v>
      </c>
      <c r="L27" s="357" t="s">
        <v>360</v>
      </c>
      <c r="M27" s="357" t="s">
        <v>360</v>
      </c>
      <c r="N27" s="20">
        <f>K27-'[11]1Janvāris'!D27</f>
        <v>1022</v>
      </c>
    </row>
    <row r="28" spans="1:14" ht="16.5" customHeight="1">
      <c r="A28" s="352" t="s">
        <v>587</v>
      </c>
      <c r="B28" s="356" t="s">
        <v>360</v>
      </c>
      <c r="C28" s="356" t="s">
        <v>360</v>
      </c>
      <c r="D28" s="348">
        <v>16422014</v>
      </c>
      <c r="E28" s="357" t="s">
        <v>360</v>
      </c>
      <c r="F28" s="357" t="s">
        <v>360</v>
      </c>
      <c r="G28" s="348"/>
      <c r="H28" s="352" t="s">
        <v>587</v>
      </c>
      <c r="I28" s="356" t="s">
        <v>360</v>
      </c>
      <c r="J28" s="356" t="s">
        <v>360</v>
      </c>
      <c r="K28" s="20">
        <f t="shared" si="4"/>
        <v>16422</v>
      </c>
      <c r="L28" s="357" t="s">
        <v>360</v>
      </c>
      <c r="M28" s="357" t="s">
        <v>360</v>
      </c>
      <c r="N28" s="20">
        <f>K28-'[11]1Janvāris'!D28</f>
        <v>8129</v>
      </c>
    </row>
    <row r="29" spans="1:14" ht="16.5" customHeight="1">
      <c r="A29" s="352" t="s">
        <v>588</v>
      </c>
      <c r="B29" s="356" t="s">
        <v>360</v>
      </c>
      <c r="C29" s="356" t="s">
        <v>360</v>
      </c>
      <c r="D29" s="348">
        <v>1287530</v>
      </c>
      <c r="E29" s="357" t="s">
        <v>360</v>
      </c>
      <c r="F29" s="357" t="s">
        <v>360</v>
      </c>
      <c r="G29" s="348"/>
      <c r="H29" s="352" t="s">
        <v>588</v>
      </c>
      <c r="I29" s="356" t="s">
        <v>360</v>
      </c>
      <c r="J29" s="356" t="s">
        <v>360</v>
      </c>
      <c r="K29" s="20">
        <f t="shared" si="4"/>
        <v>1288</v>
      </c>
      <c r="L29" s="357" t="s">
        <v>360</v>
      </c>
      <c r="M29" s="357" t="s">
        <v>360</v>
      </c>
      <c r="N29" s="20">
        <f>K29-'[11]1Janvāris'!D29</f>
        <v>644</v>
      </c>
    </row>
    <row r="30" spans="1:14" ht="15.75" customHeight="1">
      <c r="A30" s="352" t="s">
        <v>803</v>
      </c>
      <c r="B30" s="348">
        <v>28083326</v>
      </c>
      <c r="C30" s="348">
        <v>4344308</v>
      </c>
      <c r="D30" s="348">
        <v>3641335.5</v>
      </c>
      <c r="E30" s="357" t="s">
        <v>360</v>
      </c>
      <c r="F30" s="351">
        <f>IF(ISERROR(D30/C30)," ",(D30/C30))*100</f>
        <v>83.81853910910553</v>
      </c>
      <c r="G30" s="348"/>
      <c r="H30" s="352" t="s">
        <v>803</v>
      </c>
      <c r="I30" s="348">
        <f>ROUND(B30/1000,0)</f>
        <v>28083</v>
      </c>
      <c r="J30" s="348">
        <f>ROUND(C30/1000,0)</f>
        <v>4344</v>
      </c>
      <c r="K30" s="348">
        <f t="shared" si="4"/>
        <v>3641</v>
      </c>
      <c r="L30" s="358" t="str">
        <f>E30</f>
        <v>x</v>
      </c>
      <c r="M30" s="351">
        <f>F30</f>
        <v>83.81853910910553</v>
      </c>
      <c r="N30" s="20">
        <f>K30-'[11]1Janvāris'!D30</f>
        <v>1936</v>
      </c>
    </row>
    <row r="31" spans="1:14" ht="15.75" customHeight="1">
      <c r="A31" s="352" t="s">
        <v>804</v>
      </c>
      <c r="B31" s="348"/>
      <c r="C31" s="348"/>
      <c r="D31" s="348"/>
      <c r="E31" s="357"/>
      <c r="F31" s="351"/>
      <c r="G31" s="348"/>
      <c r="H31" s="352" t="s">
        <v>804</v>
      </c>
      <c r="I31" s="348">
        <f>ROUND(B31/1000,0)</f>
        <v>0</v>
      </c>
      <c r="J31" s="348"/>
      <c r="K31" s="348"/>
      <c r="L31" s="357"/>
      <c r="M31" s="351"/>
      <c r="N31" s="20">
        <f>K31-'[11]1Janvāris'!D31</f>
        <v>0</v>
      </c>
    </row>
    <row r="32" spans="1:14" ht="15.75" customHeight="1">
      <c r="A32" s="352" t="s">
        <v>590</v>
      </c>
      <c r="B32" s="348">
        <v>74179712</v>
      </c>
      <c r="C32" s="348">
        <v>13333657</v>
      </c>
      <c r="D32" s="348">
        <v>13141536.57</v>
      </c>
      <c r="E32" s="357" t="s">
        <v>360</v>
      </c>
      <c r="F32" s="351">
        <f>IF(ISERROR(D32/C32)," ",(D32/C32))*100</f>
        <v>98.55913175207672</v>
      </c>
      <c r="G32" s="348"/>
      <c r="H32" s="352" t="s">
        <v>590</v>
      </c>
      <c r="I32" s="348">
        <f>ROUND(B32/1000,0)</f>
        <v>74180</v>
      </c>
      <c r="J32" s="348">
        <f>ROUND(C32/1000,0)</f>
        <v>13334</v>
      </c>
      <c r="K32" s="348">
        <f>ROUND(D32/1000,0)-1</f>
        <v>13141</v>
      </c>
      <c r="L32" s="358" t="str">
        <f>E32</f>
        <v>x</v>
      </c>
      <c r="M32" s="351">
        <f>F32</f>
        <v>98.55913175207672</v>
      </c>
      <c r="N32" s="20">
        <f>K32-'[11]1Janvāris'!D32</f>
        <v>6362</v>
      </c>
    </row>
    <row r="33" spans="1:14" ht="15" customHeight="1">
      <c r="A33" s="361" t="s">
        <v>805</v>
      </c>
      <c r="B33" s="356" t="s">
        <v>360</v>
      </c>
      <c r="C33" s="356" t="s">
        <v>360</v>
      </c>
      <c r="D33" s="348">
        <v>235777</v>
      </c>
      <c r="E33" s="357" t="s">
        <v>360</v>
      </c>
      <c r="F33" s="357" t="s">
        <v>360</v>
      </c>
      <c r="G33" s="348"/>
      <c r="H33" s="361" t="s">
        <v>805</v>
      </c>
      <c r="I33" s="356" t="s">
        <v>360</v>
      </c>
      <c r="J33" s="356" t="s">
        <v>360</v>
      </c>
      <c r="K33" s="348">
        <f>ROUND(D33/1000,0)</f>
        <v>236</v>
      </c>
      <c r="L33" s="357" t="s">
        <v>360</v>
      </c>
      <c r="M33" s="357" t="s">
        <v>360</v>
      </c>
      <c r="N33" s="20">
        <f>K33-'[11]1Janvāris'!D33</f>
        <v>160</v>
      </c>
    </row>
    <row r="34" spans="1:14" ht="15" customHeight="1">
      <c r="A34" s="362" t="s">
        <v>806</v>
      </c>
      <c r="B34" s="356" t="s">
        <v>360</v>
      </c>
      <c r="C34" s="356" t="s">
        <v>360</v>
      </c>
      <c r="D34" s="348">
        <v>9780259.97</v>
      </c>
      <c r="E34" s="357" t="s">
        <v>360</v>
      </c>
      <c r="F34" s="357" t="s">
        <v>360</v>
      </c>
      <c r="G34" s="348"/>
      <c r="H34" s="362" t="s">
        <v>806</v>
      </c>
      <c r="I34" s="356" t="s">
        <v>360</v>
      </c>
      <c r="J34" s="356" t="s">
        <v>360</v>
      </c>
      <c r="K34" s="348">
        <f>ROUND(D34/1000,0)</f>
        <v>9780</v>
      </c>
      <c r="L34" s="357" t="s">
        <v>360</v>
      </c>
      <c r="M34" s="357" t="s">
        <v>360</v>
      </c>
      <c r="N34" s="20">
        <f>K34-'[11]1Janvāris'!D34</f>
        <v>4531</v>
      </c>
    </row>
    <row r="35" spans="1:14" ht="15" customHeight="1">
      <c r="A35" s="362" t="s">
        <v>807</v>
      </c>
      <c r="B35" s="356" t="s">
        <v>360</v>
      </c>
      <c r="C35" s="356" t="s">
        <v>360</v>
      </c>
      <c r="D35" s="348">
        <v>1182828.82</v>
      </c>
      <c r="E35" s="357" t="s">
        <v>360</v>
      </c>
      <c r="F35" s="357" t="s">
        <v>360</v>
      </c>
      <c r="G35" s="348"/>
      <c r="H35" s="362" t="s">
        <v>807</v>
      </c>
      <c r="I35" s="356" t="s">
        <v>360</v>
      </c>
      <c r="J35" s="356" t="s">
        <v>360</v>
      </c>
      <c r="K35" s="348">
        <f>ROUND(D35/1000,0)</f>
        <v>1183</v>
      </c>
      <c r="L35" s="357" t="s">
        <v>360</v>
      </c>
      <c r="M35" s="357" t="s">
        <v>360</v>
      </c>
      <c r="N35" s="20">
        <f>K35-'[11]1Janvāris'!D35</f>
        <v>595</v>
      </c>
    </row>
    <row r="36" spans="1:14" ht="15" customHeight="1">
      <c r="A36" s="362" t="s">
        <v>808</v>
      </c>
      <c r="B36" s="356" t="s">
        <v>360</v>
      </c>
      <c r="C36" s="356" t="s">
        <v>360</v>
      </c>
      <c r="D36" s="348">
        <v>1942671.36</v>
      </c>
      <c r="E36" s="357" t="s">
        <v>360</v>
      </c>
      <c r="F36" s="357" t="s">
        <v>360</v>
      </c>
      <c r="G36" s="348"/>
      <c r="H36" s="362" t="s">
        <v>808</v>
      </c>
      <c r="I36" s="356" t="s">
        <v>360</v>
      </c>
      <c r="J36" s="356" t="s">
        <v>360</v>
      </c>
      <c r="K36" s="348">
        <f>ROUND(D36/1000,0)-1</f>
        <v>1942</v>
      </c>
      <c r="L36" s="357" t="s">
        <v>360</v>
      </c>
      <c r="M36" s="357" t="s">
        <v>360</v>
      </c>
      <c r="N36" s="20">
        <f>K36-'[11]1Janvāris'!D36</f>
        <v>1076</v>
      </c>
    </row>
    <row r="37" spans="1:14" ht="27.75" customHeight="1">
      <c r="A37" s="352" t="s">
        <v>809</v>
      </c>
      <c r="B37" s="348">
        <v>6586805</v>
      </c>
      <c r="C37" s="348">
        <v>2895960</v>
      </c>
      <c r="D37" s="348">
        <v>1666130.88</v>
      </c>
      <c r="E37" s="350">
        <f>IF(ISERROR(D37/B37)," ",(D37/B37))*100</f>
        <v>25.294978065997093</v>
      </c>
      <c r="F37" s="351">
        <f>IF(ISERROR(D37/C37)," ",(D37/C37))*100</f>
        <v>57.532938300252766</v>
      </c>
      <c r="G37" s="348"/>
      <c r="H37" s="352" t="s">
        <v>809</v>
      </c>
      <c r="I37" s="348">
        <f>ROUND(B37/1000,0)</f>
        <v>6587</v>
      </c>
      <c r="J37" s="348">
        <f>ROUND(C37/1000,0)</f>
        <v>2896</v>
      </c>
      <c r="K37" s="348">
        <f>ROUND(D37/1000,0)</f>
        <v>1666</v>
      </c>
      <c r="L37" s="350">
        <f>E37</f>
        <v>25.294978065997093</v>
      </c>
      <c r="M37" s="351">
        <f>F37</f>
        <v>57.532938300252766</v>
      </c>
      <c r="N37" s="20">
        <f>K37-'[11]1Janvāris'!D37</f>
        <v>1237</v>
      </c>
    </row>
    <row r="38" spans="1:14" ht="15" customHeight="1">
      <c r="A38" s="363" t="s">
        <v>810</v>
      </c>
      <c r="B38" s="356" t="s">
        <v>360</v>
      </c>
      <c r="C38" s="348">
        <v>31467179</v>
      </c>
      <c r="D38" s="348">
        <v>9665151</v>
      </c>
      <c r="E38" s="357" t="s">
        <v>360</v>
      </c>
      <c r="F38" s="351">
        <f>IF(ISERROR(D38/C38)," ",(D38/C38))*100</f>
        <v>30.715022150539774</v>
      </c>
      <c r="G38" s="348"/>
      <c r="H38" s="363" t="s">
        <v>810</v>
      </c>
      <c r="I38" s="356" t="s">
        <v>360</v>
      </c>
      <c r="J38" s="348">
        <f>ROUND(C38/1000,0)</f>
        <v>31467</v>
      </c>
      <c r="K38" s="348">
        <f>ROUND(D38/1000,0)+1</f>
        <v>9666</v>
      </c>
      <c r="L38" s="357" t="s">
        <v>360</v>
      </c>
      <c r="M38" s="351">
        <f>F38</f>
        <v>30.715022150539774</v>
      </c>
      <c r="N38" s="20">
        <f>K38-'[11]1Janvāris'!D38</f>
        <v>4601</v>
      </c>
    </row>
    <row r="39" spans="1:14" ht="15" customHeight="1">
      <c r="A39" s="362" t="s">
        <v>811</v>
      </c>
      <c r="B39" s="356" t="s">
        <v>360</v>
      </c>
      <c r="C39" s="356" t="s">
        <v>360</v>
      </c>
      <c r="D39" s="348">
        <f>9623652+41499</f>
        <v>9665151</v>
      </c>
      <c r="E39" s="357" t="s">
        <v>360</v>
      </c>
      <c r="F39" s="357" t="s">
        <v>360</v>
      </c>
      <c r="G39" s="348"/>
      <c r="H39" s="362" t="s">
        <v>811</v>
      </c>
      <c r="I39" s="356" t="s">
        <v>360</v>
      </c>
      <c r="J39" s="356" t="s">
        <v>360</v>
      </c>
      <c r="K39" s="348">
        <f>ROUND(D39/1000,0)+1</f>
        <v>9666</v>
      </c>
      <c r="L39" s="357" t="s">
        <v>360</v>
      </c>
      <c r="M39" s="357" t="s">
        <v>360</v>
      </c>
      <c r="N39" s="20">
        <f>K39-'[11]1Janvāris'!D39</f>
        <v>4601</v>
      </c>
    </row>
    <row r="40" spans="1:14" ht="15" customHeight="1">
      <c r="A40" s="363" t="s">
        <v>812</v>
      </c>
      <c r="B40" s="356" t="s">
        <v>360</v>
      </c>
      <c r="C40" s="356" t="s">
        <v>360</v>
      </c>
      <c r="D40" s="356"/>
      <c r="E40" s="357" t="s">
        <v>360</v>
      </c>
      <c r="F40" s="357" t="s">
        <v>360</v>
      </c>
      <c r="G40" s="356"/>
      <c r="H40" s="363" t="s">
        <v>812</v>
      </c>
      <c r="I40" s="356" t="s">
        <v>360</v>
      </c>
      <c r="J40" s="356" t="s">
        <v>360</v>
      </c>
      <c r="K40" s="356"/>
      <c r="L40" s="357" t="s">
        <v>360</v>
      </c>
      <c r="M40" s="357" t="s">
        <v>360</v>
      </c>
      <c r="N40" s="20">
        <f>K40-'[11]1Janvāris'!D40</f>
        <v>0</v>
      </c>
    </row>
    <row r="41" spans="1:14" ht="15" customHeight="1">
      <c r="A41" s="364" t="s">
        <v>813</v>
      </c>
      <c r="B41" s="20">
        <v>79220109</v>
      </c>
      <c r="C41" s="20">
        <v>8335174</v>
      </c>
      <c r="D41" s="20">
        <v>4921802.79</v>
      </c>
      <c r="E41" s="358">
        <f>IF(ISERROR(D41/B41)," ",(D41/B41))*100</f>
        <v>6.212820017705353</v>
      </c>
      <c r="F41" s="365">
        <f>IF(ISERROR(D41/C41)," ",(D41/C41))*100</f>
        <v>59.048590827258074</v>
      </c>
      <c r="G41" s="20"/>
      <c r="H41" s="364" t="s">
        <v>813</v>
      </c>
      <c r="I41" s="20">
        <f>ROUND(B41/1000,0)</f>
        <v>79220</v>
      </c>
      <c r="J41" s="20">
        <f>ROUND(C41/1000,0)</f>
        <v>8335</v>
      </c>
      <c r="K41" s="20">
        <f>ROUND(D41/1000,0)</f>
        <v>4922</v>
      </c>
      <c r="L41" s="359">
        <f aca="true" t="shared" si="5" ref="L41:M43">E41</f>
        <v>6.212820017705353</v>
      </c>
      <c r="M41" s="359">
        <f t="shared" si="5"/>
        <v>59.048590827258074</v>
      </c>
      <c r="N41" s="20">
        <f>K41-'[11]1Janvāris'!D41</f>
        <v>2764</v>
      </c>
    </row>
    <row r="42" spans="1:14" ht="15" customHeight="1">
      <c r="A42" s="366" t="s">
        <v>814</v>
      </c>
      <c r="B42" s="348">
        <v>24674763</v>
      </c>
      <c r="C42" s="348">
        <v>1859269</v>
      </c>
      <c r="D42" s="348">
        <v>1742103.2</v>
      </c>
      <c r="E42" s="350">
        <f>IF(ISERROR(D42/B42)," ",(D42/B42))*100</f>
        <v>7.060263152274249</v>
      </c>
      <c r="F42" s="357">
        <f>IF(ISERROR(D42/C42)," ",(D42/C42))*100</f>
        <v>93.69828679981218</v>
      </c>
      <c r="G42" s="348"/>
      <c r="H42" s="366" t="s">
        <v>814</v>
      </c>
      <c r="I42" s="348">
        <f>ROUND(B42/1000,0)</f>
        <v>24675</v>
      </c>
      <c r="J42" s="20">
        <f>ROUND(C42/1000,0)</f>
        <v>1859</v>
      </c>
      <c r="K42" s="20">
        <f aca="true" t="shared" si="6" ref="K42:K55">ROUND(D42/1000,0)</f>
        <v>1742</v>
      </c>
      <c r="L42" s="359">
        <f t="shared" si="5"/>
        <v>7.060263152274249</v>
      </c>
      <c r="M42" s="359">
        <f t="shared" si="5"/>
        <v>93.69828679981218</v>
      </c>
      <c r="N42" s="20">
        <f>K42-'[11]1Janvāris'!D42</f>
        <v>1244</v>
      </c>
    </row>
    <row r="43" spans="1:14" ht="15" customHeight="1">
      <c r="A43" s="352" t="s">
        <v>815</v>
      </c>
      <c r="B43" s="348">
        <v>54545346</v>
      </c>
      <c r="C43" s="348">
        <v>5019250</v>
      </c>
      <c r="D43" s="348">
        <v>3179699.59</v>
      </c>
      <c r="E43" s="350">
        <f>IF(ISERROR(D43/B43)," ",(D43/B43))*100</f>
        <v>5.829460848960422</v>
      </c>
      <c r="F43" s="357">
        <f>IF(ISERROR(D43/C43)," ",(D43/C43))*100</f>
        <v>63.350093938337395</v>
      </c>
      <c r="G43" s="348"/>
      <c r="H43" s="352" t="s">
        <v>815</v>
      </c>
      <c r="I43" s="348">
        <f>ROUND(B43/1000,0)</f>
        <v>54545</v>
      </c>
      <c r="J43" s="20">
        <f>ROUND(C43/1000,0)</f>
        <v>5019</v>
      </c>
      <c r="K43" s="20">
        <f t="shared" si="6"/>
        <v>3180</v>
      </c>
      <c r="L43" s="359">
        <f t="shared" si="5"/>
        <v>5.829460848960422</v>
      </c>
      <c r="M43" s="359">
        <f t="shared" si="5"/>
        <v>63.350093938337395</v>
      </c>
      <c r="N43" s="20">
        <f>K43-'[11]1Janvāris'!D43</f>
        <v>1520</v>
      </c>
    </row>
    <row r="44" spans="1:14" ht="15" customHeight="1">
      <c r="A44" s="367" t="s">
        <v>816</v>
      </c>
      <c r="B44" s="356" t="s">
        <v>360</v>
      </c>
      <c r="C44" s="356" t="s">
        <v>360</v>
      </c>
      <c r="D44" s="348">
        <v>172000</v>
      </c>
      <c r="E44" s="357" t="s">
        <v>360</v>
      </c>
      <c r="F44" s="357" t="s">
        <v>360</v>
      </c>
      <c r="G44" s="348"/>
      <c r="H44" s="367" t="s">
        <v>816</v>
      </c>
      <c r="I44" s="356" t="s">
        <v>360</v>
      </c>
      <c r="J44" s="356" t="s">
        <v>360</v>
      </c>
      <c r="K44" s="20">
        <f t="shared" si="6"/>
        <v>172</v>
      </c>
      <c r="L44" s="357" t="s">
        <v>360</v>
      </c>
      <c r="M44" s="357" t="s">
        <v>360</v>
      </c>
      <c r="N44" s="20">
        <f>K44-'[11]1Janvāris'!D44</f>
        <v>52</v>
      </c>
    </row>
    <row r="45" spans="1:14" ht="15" customHeight="1">
      <c r="A45" s="367" t="s">
        <v>817</v>
      </c>
      <c r="B45" s="356" t="s">
        <v>360</v>
      </c>
      <c r="C45" s="356" t="s">
        <v>360</v>
      </c>
      <c r="D45" s="348">
        <v>492633</v>
      </c>
      <c r="E45" s="357" t="s">
        <v>360</v>
      </c>
      <c r="F45" s="357" t="s">
        <v>360</v>
      </c>
      <c r="G45" s="348"/>
      <c r="H45" s="367" t="s">
        <v>817</v>
      </c>
      <c r="I45" s="356" t="s">
        <v>360</v>
      </c>
      <c r="J45" s="356" t="s">
        <v>360</v>
      </c>
      <c r="K45" s="20">
        <f t="shared" si="6"/>
        <v>493</v>
      </c>
      <c r="L45" s="357" t="s">
        <v>360</v>
      </c>
      <c r="M45" s="357" t="s">
        <v>360</v>
      </c>
      <c r="N45" s="20">
        <f>K45-'[11]1Janvāris'!D45</f>
        <v>348</v>
      </c>
    </row>
    <row r="46" spans="1:14" ht="15" customHeight="1">
      <c r="A46" s="345" t="s">
        <v>818</v>
      </c>
      <c r="B46" s="20">
        <v>48898920</v>
      </c>
      <c r="C46" s="20">
        <v>0</v>
      </c>
      <c r="D46" s="20">
        <v>13590470</v>
      </c>
      <c r="E46" s="350">
        <f>IF(ISERROR(D46/B46)," ",(D46/B46))*100</f>
        <v>27.792986020959155</v>
      </c>
      <c r="F46" s="357"/>
      <c r="G46" s="20"/>
      <c r="H46" s="345" t="s">
        <v>818</v>
      </c>
      <c r="I46" s="20">
        <f>ROUND(B46/1000,0)</f>
        <v>48899</v>
      </c>
      <c r="J46" s="20"/>
      <c r="K46" s="20">
        <f t="shared" si="6"/>
        <v>13590</v>
      </c>
      <c r="L46" s="350">
        <f>E46</f>
        <v>27.792986020959155</v>
      </c>
      <c r="M46" s="357">
        <f>F46</f>
        <v>0</v>
      </c>
      <c r="N46" s="20">
        <f>K46-'[11]1Janvāris'!D46</f>
        <v>5684</v>
      </c>
    </row>
    <row r="47" spans="1:14" ht="12.75">
      <c r="A47" s="355" t="s">
        <v>819</v>
      </c>
      <c r="B47" s="356" t="s">
        <v>360</v>
      </c>
      <c r="C47" s="356" t="s">
        <v>360</v>
      </c>
      <c r="D47" s="348">
        <v>18459238</v>
      </c>
      <c r="E47" s="357" t="s">
        <v>360</v>
      </c>
      <c r="F47" s="357" t="s">
        <v>360</v>
      </c>
      <c r="G47" s="348"/>
      <c r="H47" s="355" t="s">
        <v>819</v>
      </c>
      <c r="I47" s="356" t="s">
        <v>360</v>
      </c>
      <c r="J47" s="356" t="s">
        <v>360</v>
      </c>
      <c r="K47" s="20">
        <f t="shared" si="6"/>
        <v>18459</v>
      </c>
      <c r="L47" s="357" t="s">
        <v>360</v>
      </c>
      <c r="M47" s="357" t="s">
        <v>360</v>
      </c>
      <c r="N47" s="20">
        <f>K47-'[11]1Janvāris'!D47</f>
        <v>8659</v>
      </c>
    </row>
    <row r="48" spans="1:14" ht="12.75">
      <c r="A48" s="368" t="s">
        <v>820</v>
      </c>
      <c r="B48" s="356" t="s">
        <v>360</v>
      </c>
      <c r="C48" s="356" t="s">
        <v>360</v>
      </c>
      <c r="D48" s="348">
        <v>15305354</v>
      </c>
      <c r="E48" s="357" t="s">
        <v>360</v>
      </c>
      <c r="F48" s="357" t="s">
        <v>360</v>
      </c>
      <c r="G48" s="348"/>
      <c r="H48" s="368" t="s">
        <v>820</v>
      </c>
      <c r="I48" s="356" t="s">
        <v>360</v>
      </c>
      <c r="J48" s="356" t="s">
        <v>360</v>
      </c>
      <c r="K48" s="20">
        <f t="shared" si="6"/>
        <v>15305</v>
      </c>
      <c r="L48" s="357" t="s">
        <v>360</v>
      </c>
      <c r="M48" s="357" t="s">
        <v>360</v>
      </c>
      <c r="N48" s="20">
        <f>K48-'[11]1Janvāris'!D48</f>
        <v>7049</v>
      </c>
    </row>
    <row r="49" spans="1:14" ht="15" customHeight="1">
      <c r="A49" s="363" t="s">
        <v>821</v>
      </c>
      <c r="B49" s="356" t="s">
        <v>360</v>
      </c>
      <c r="C49" s="356" t="s">
        <v>360</v>
      </c>
      <c r="D49" s="348">
        <v>4868768</v>
      </c>
      <c r="E49" s="357" t="s">
        <v>360</v>
      </c>
      <c r="F49" s="357" t="s">
        <v>360</v>
      </c>
      <c r="G49" s="348"/>
      <c r="H49" s="363" t="s">
        <v>821</v>
      </c>
      <c r="I49" s="356" t="s">
        <v>360</v>
      </c>
      <c r="J49" s="356" t="s">
        <v>360</v>
      </c>
      <c r="K49" s="20">
        <f t="shared" si="6"/>
        <v>4869</v>
      </c>
      <c r="L49" s="357" t="s">
        <v>360</v>
      </c>
      <c r="M49" s="357" t="s">
        <v>360</v>
      </c>
      <c r="N49" s="20">
        <f>K49-'[11]1Janvāris'!D49</f>
        <v>2975</v>
      </c>
    </row>
    <row r="50" spans="1:14" ht="15" customHeight="1">
      <c r="A50" s="368" t="s">
        <v>822</v>
      </c>
      <c r="B50" s="356" t="s">
        <v>360</v>
      </c>
      <c r="C50" s="356" t="s">
        <v>360</v>
      </c>
      <c r="D50" s="348">
        <v>708919</v>
      </c>
      <c r="E50" s="357" t="s">
        <v>360</v>
      </c>
      <c r="F50" s="357" t="s">
        <v>360</v>
      </c>
      <c r="G50" s="348"/>
      <c r="H50" s="368" t="s">
        <v>822</v>
      </c>
      <c r="I50" s="356" t="s">
        <v>360</v>
      </c>
      <c r="J50" s="356" t="s">
        <v>360</v>
      </c>
      <c r="K50" s="20">
        <f t="shared" si="6"/>
        <v>709</v>
      </c>
      <c r="L50" s="357" t="s">
        <v>360</v>
      </c>
      <c r="M50" s="357" t="s">
        <v>360</v>
      </c>
      <c r="N50" s="20">
        <f>K50-'[11]1Janvāris'!D50</f>
        <v>602</v>
      </c>
    </row>
    <row r="51" spans="1:14" ht="12.75">
      <c r="A51" s="355" t="s">
        <v>823</v>
      </c>
      <c r="B51" s="348">
        <v>-76079377</v>
      </c>
      <c r="C51" s="356" t="s">
        <v>360</v>
      </c>
      <c r="D51" s="348">
        <v>-11531355</v>
      </c>
      <c r="E51" s="357" t="s">
        <v>360</v>
      </c>
      <c r="F51" s="357" t="s">
        <v>360</v>
      </c>
      <c r="G51" s="348"/>
      <c r="H51" s="355" t="s">
        <v>823</v>
      </c>
      <c r="I51" s="348">
        <f>ROUND(B51/1000,0)</f>
        <v>-76079</v>
      </c>
      <c r="J51" s="356" t="s">
        <v>360</v>
      </c>
      <c r="K51" s="20">
        <f t="shared" si="6"/>
        <v>-11531</v>
      </c>
      <c r="L51" s="357" t="s">
        <v>360</v>
      </c>
      <c r="M51" s="357" t="s">
        <v>360</v>
      </c>
      <c r="N51" s="20">
        <f>K51-'[11]1Janvāris'!D51</f>
        <v>-12557</v>
      </c>
    </row>
    <row r="52" spans="1:14" ht="12.75">
      <c r="A52" s="369" t="s">
        <v>595</v>
      </c>
      <c r="B52" s="348">
        <f>SUM(B53:B55)</f>
        <v>76079377</v>
      </c>
      <c r="C52" s="356" t="s">
        <v>360</v>
      </c>
      <c r="D52" s="348">
        <v>11531355</v>
      </c>
      <c r="E52" s="357" t="s">
        <v>360</v>
      </c>
      <c r="F52" s="357" t="s">
        <v>360</v>
      </c>
      <c r="G52" s="348"/>
      <c r="H52" s="369" t="s">
        <v>595</v>
      </c>
      <c r="I52" s="348">
        <f>ROUND(B52/1000,0)</f>
        <v>76079</v>
      </c>
      <c r="J52" s="356" t="s">
        <v>360</v>
      </c>
      <c r="K52" s="20">
        <f t="shared" si="6"/>
        <v>11531</v>
      </c>
      <c r="L52" s="357" t="s">
        <v>360</v>
      </c>
      <c r="M52" s="357" t="s">
        <v>360</v>
      </c>
      <c r="N52" s="20">
        <f>K52-'[11]1Janvāris'!D52</f>
        <v>12557</v>
      </c>
    </row>
    <row r="53" spans="1:14" ht="35.25" customHeight="1">
      <c r="A53" s="370" t="s">
        <v>824</v>
      </c>
      <c r="B53" s="348">
        <v>15000000</v>
      </c>
      <c r="C53" s="356" t="s">
        <v>360</v>
      </c>
      <c r="D53" s="348"/>
      <c r="E53" s="357" t="s">
        <v>360</v>
      </c>
      <c r="F53" s="357" t="s">
        <v>360</v>
      </c>
      <c r="G53" s="348"/>
      <c r="H53" s="370" t="s">
        <v>824</v>
      </c>
      <c r="I53" s="348">
        <f>ROUND(B53/1000,0)</f>
        <v>15000</v>
      </c>
      <c r="J53" s="356" t="s">
        <v>360</v>
      </c>
      <c r="K53" s="20">
        <f t="shared" si="6"/>
        <v>0</v>
      </c>
      <c r="L53" s="357" t="s">
        <v>360</v>
      </c>
      <c r="M53" s="357" t="s">
        <v>360</v>
      </c>
      <c r="N53" s="20">
        <f>K53-'[11]1Janvāris'!D53</f>
        <v>0</v>
      </c>
    </row>
    <row r="54" spans="1:14" ht="27" customHeight="1">
      <c r="A54" s="370" t="s">
        <v>825</v>
      </c>
      <c r="B54" s="348">
        <v>300000</v>
      </c>
      <c r="C54" s="356" t="s">
        <v>360</v>
      </c>
      <c r="D54" s="348">
        <v>260034.19</v>
      </c>
      <c r="E54" s="357" t="s">
        <v>360</v>
      </c>
      <c r="F54" s="357" t="s">
        <v>360</v>
      </c>
      <c r="G54" s="348"/>
      <c r="H54" s="370" t="s">
        <v>825</v>
      </c>
      <c r="I54" s="348">
        <f>ROUND(B54/1000,0)</f>
        <v>300</v>
      </c>
      <c r="J54" s="356" t="s">
        <v>360</v>
      </c>
      <c r="K54" s="20">
        <f t="shared" si="6"/>
        <v>260</v>
      </c>
      <c r="L54" s="357" t="s">
        <v>360</v>
      </c>
      <c r="M54" s="357" t="s">
        <v>360</v>
      </c>
      <c r="N54" s="20">
        <f>K54-'[11]1Janvāris'!D54</f>
        <v>161</v>
      </c>
    </row>
    <row r="55" spans="1:14" ht="15" customHeight="1">
      <c r="A55" s="371" t="s">
        <v>826</v>
      </c>
      <c r="B55" s="348">
        <v>60779377</v>
      </c>
      <c r="C55" s="356" t="s">
        <v>360</v>
      </c>
      <c r="D55" s="348">
        <v>11271321</v>
      </c>
      <c r="E55" s="357" t="s">
        <v>360</v>
      </c>
      <c r="F55" s="357" t="s">
        <v>360</v>
      </c>
      <c r="G55" s="348"/>
      <c r="H55" s="371" t="s">
        <v>826</v>
      </c>
      <c r="I55" s="348">
        <f>ROUND(B55/1000,0)</f>
        <v>60779</v>
      </c>
      <c r="J55" s="356" t="s">
        <v>360</v>
      </c>
      <c r="K55" s="20">
        <f t="shared" si="6"/>
        <v>11271</v>
      </c>
      <c r="L55" s="357" t="s">
        <v>360</v>
      </c>
      <c r="M55" s="357" t="s">
        <v>360</v>
      </c>
      <c r="N55" s="20">
        <f>K55-'[11]1Janvāris'!D55</f>
        <v>12396</v>
      </c>
    </row>
    <row r="56" spans="5:6" ht="12.75">
      <c r="E56" s="372"/>
      <c r="F56" s="322"/>
    </row>
    <row r="58" spans="1:13" s="1" customFormat="1" ht="12.75">
      <c r="A58" s="64" t="s">
        <v>827</v>
      </c>
      <c r="B58" s="4"/>
      <c r="C58" s="4"/>
      <c r="F58" s="4" t="s">
        <v>348</v>
      </c>
      <c r="H58" s="64" t="s">
        <v>827</v>
      </c>
      <c r="I58" s="4"/>
      <c r="J58" s="4"/>
      <c r="M58" s="4" t="s">
        <v>348</v>
      </c>
    </row>
    <row r="66" spans="2:5" ht="12.75">
      <c r="B66" s="4"/>
      <c r="C66" s="4"/>
      <c r="D66" s="1"/>
      <c r="E66" s="4"/>
    </row>
    <row r="67" ht="12.75">
      <c r="F67" s="28"/>
    </row>
    <row r="68" ht="12.75">
      <c r="F68" s="28"/>
    </row>
    <row r="71" ht="12.75">
      <c r="H71" s="28" t="s">
        <v>828</v>
      </c>
    </row>
    <row r="72" ht="12.75">
      <c r="H72" s="28" t="s">
        <v>399</v>
      </c>
    </row>
    <row r="75" ht="12.75">
      <c r="A75" s="28" t="s">
        <v>398</v>
      </c>
    </row>
    <row r="76" ht="12.75">
      <c r="A76" s="106" t="s">
        <v>829</v>
      </c>
    </row>
  </sheetData>
  <mergeCells count="6">
    <mergeCell ref="F7:G7"/>
    <mergeCell ref="M7:N7"/>
    <mergeCell ref="A4:G4"/>
    <mergeCell ref="H4:N4"/>
    <mergeCell ref="A5:F5"/>
    <mergeCell ref="H5:M5"/>
  </mergeCells>
  <printOptions/>
  <pageMargins left="0.75" right="0.19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H1">
      <selection activeCell="A6" sqref="A6"/>
    </sheetView>
  </sheetViews>
  <sheetFormatPr defaultColWidth="9.140625" defaultRowHeight="17.25" customHeight="1"/>
  <cols>
    <col min="1" max="1" width="45.00390625" style="1" hidden="1" customWidth="1"/>
    <col min="2" max="2" width="9.28125" style="1" hidden="1" customWidth="1"/>
    <col min="3" max="3" width="13.140625" style="1" hidden="1" customWidth="1"/>
    <col min="4" max="4" width="12.140625" style="1" hidden="1" customWidth="1"/>
    <col min="5" max="5" width="10.28125" style="1" hidden="1" customWidth="1"/>
    <col min="6" max="6" width="12.140625" style="1" hidden="1" customWidth="1"/>
    <col min="7" max="7" width="7.8515625" style="1" hidden="1" customWidth="1"/>
    <col min="8" max="8" width="47.7109375" style="1" customWidth="1"/>
    <col min="9" max="9" width="9.8515625" style="1" customWidth="1"/>
    <col min="10" max="10" width="11.421875" style="1" customWidth="1"/>
    <col min="11" max="11" width="8.57421875" style="1" customWidth="1"/>
    <col min="12" max="12" width="7.140625" style="1" customWidth="1"/>
    <col min="13" max="13" width="7.7109375" style="1" customWidth="1"/>
    <col min="14" max="16384" width="7.8515625" style="1" customWidth="1"/>
  </cols>
  <sheetData>
    <row r="1" spans="5:12" ht="17.25" customHeight="1">
      <c r="E1" s="106" t="s">
        <v>781</v>
      </c>
      <c r="L1" s="106" t="s">
        <v>781</v>
      </c>
    </row>
    <row r="2" spans="1:12" ht="17.25" customHeight="1">
      <c r="A2" s="487" t="s">
        <v>312</v>
      </c>
      <c r="B2" s="487"/>
      <c r="C2" s="487"/>
      <c r="D2" s="487"/>
      <c r="E2" s="487"/>
      <c r="H2" s="654" t="s">
        <v>312</v>
      </c>
      <c r="I2" s="654"/>
      <c r="J2" s="654"/>
      <c r="K2" s="654"/>
      <c r="L2" s="654"/>
    </row>
    <row r="4" spans="1:12" ht="17.25" customHeight="1">
      <c r="A4" s="623" t="s">
        <v>782</v>
      </c>
      <c r="B4" s="623"/>
      <c r="C4" s="623"/>
      <c r="D4" s="623"/>
      <c r="E4" s="623"/>
      <c r="H4" s="625" t="s">
        <v>782</v>
      </c>
      <c r="I4" s="625"/>
      <c r="J4" s="625"/>
      <c r="K4" s="625"/>
      <c r="L4" s="625"/>
    </row>
    <row r="5" spans="1:12" ht="17.25" customHeight="1">
      <c r="A5" s="623" t="s">
        <v>783</v>
      </c>
      <c r="B5" s="623"/>
      <c r="C5" s="623"/>
      <c r="D5" s="623"/>
      <c r="E5" s="623"/>
      <c r="H5" s="653" t="s">
        <v>784</v>
      </c>
      <c r="I5" s="653"/>
      <c r="J5" s="653"/>
      <c r="K5" s="653"/>
      <c r="L5" s="653"/>
    </row>
    <row r="7" spans="6:12" ht="17.25" customHeight="1">
      <c r="F7" s="64" t="s">
        <v>489</v>
      </c>
      <c r="L7" s="106" t="s">
        <v>489</v>
      </c>
    </row>
    <row r="8" spans="1:13" s="28" customFormat="1" ht="56.25">
      <c r="A8" s="11" t="s">
        <v>318</v>
      </c>
      <c r="B8" s="34" t="s">
        <v>631</v>
      </c>
      <c r="C8" s="34" t="s">
        <v>403</v>
      </c>
      <c r="D8" s="34" t="s">
        <v>404</v>
      </c>
      <c r="E8" s="34" t="s">
        <v>632</v>
      </c>
      <c r="F8" s="34" t="s">
        <v>707</v>
      </c>
      <c r="H8" s="11" t="s">
        <v>318</v>
      </c>
      <c r="I8" s="34" t="s">
        <v>631</v>
      </c>
      <c r="J8" s="34" t="s">
        <v>403</v>
      </c>
      <c r="K8" s="34" t="s">
        <v>404</v>
      </c>
      <c r="L8" s="34" t="s">
        <v>632</v>
      </c>
      <c r="M8" s="34" t="s">
        <v>531</v>
      </c>
    </row>
    <row r="9" spans="1:13" ht="17.25" customHeight="1">
      <c r="A9" s="11">
        <v>1</v>
      </c>
      <c r="B9" s="11">
        <v>2</v>
      </c>
      <c r="C9" s="34">
        <v>3</v>
      </c>
      <c r="D9" s="34">
        <v>4</v>
      </c>
      <c r="E9" s="34">
        <v>5</v>
      </c>
      <c r="F9" s="81"/>
      <c r="H9" s="11">
        <v>1</v>
      </c>
      <c r="I9" s="11">
        <v>2</v>
      </c>
      <c r="J9" s="34">
        <v>3</v>
      </c>
      <c r="K9" s="34">
        <v>4</v>
      </c>
      <c r="L9" s="34">
        <v>5</v>
      </c>
      <c r="M9" s="81"/>
    </row>
    <row r="10" spans="1:13" ht="17.25" customHeight="1">
      <c r="A10" s="187" t="s">
        <v>635</v>
      </c>
      <c r="B10" s="16"/>
      <c r="C10" s="17">
        <f>SUM(C11:C24)</f>
        <v>871462409</v>
      </c>
      <c r="D10" s="17">
        <f>SUM(D11:D24)</f>
        <v>125617867.94</v>
      </c>
      <c r="E10" s="338">
        <f aca="true" t="shared" si="0" ref="E10:E25">IF(ISERROR(D10/C10)," ",(D10/C10))*100</f>
        <v>14.41460545431283</v>
      </c>
      <c r="F10" s="17">
        <f>SUM(F11:F24)</f>
        <v>62178577.72999999</v>
      </c>
      <c r="H10" s="187" t="s">
        <v>635</v>
      </c>
      <c r="I10" s="16"/>
      <c r="J10" s="17">
        <f aca="true" t="shared" si="1" ref="J10:K24">ROUND(C10/1000,0)</f>
        <v>871462</v>
      </c>
      <c r="K10" s="17">
        <f>ROUND(D10/1000,0)-1</f>
        <v>125617</v>
      </c>
      <c r="L10" s="339">
        <f aca="true" t="shared" si="2" ref="L10:L24">E10</f>
        <v>14.41460545431283</v>
      </c>
      <c r="M10" s="17">
        <f>ROUND(F10/1000,0)-1</f>
        <v>62178</v>
      </c>
    </row>
    <row r="11" spans="1:13" ht="17.25" customHeight="1">
      <c r="A11" s="189" t="s">
        <v>534</v>
      </c>
      <c r="B11" s="225">
        <v>1</v>
      </c>
      <c r="C11" s="312">
        <f>84377159+1062666+673249+1065604</f>
        <v>87178678</v>
      </c>
      <c r="D11" s="312">
        <v>13005106.21</v>
      </c>
      <c r="E11" s="338">
        <f t="shared" si="0"/>
        <v>14.91776029225862</v>
      </c>
      <c r="F11" s="312">
        <f>D11-'[10]janvāris'!D11</f>
        <v>7517484.8100000005</v>
      </c>
      <c r="H11" s="189" t="s">
        <v>534</v>
      </c>
      <c r="I11" s="225">
        <v>1</v>
      </c>
      <c r="J11" s="312">
        <f t="shared" si="1"/>
        <v>87179</v>
      </c>
      <c r="K11" s="312">
        <f t="shared" si="1"/>
        <v>13005</v>
      </c>
      <c r="L11" s="340">
        <f t="shared" si="2"/>
        <v>14.91776029225862</v>
      </c>
      <c r="M11" s="312">
        <f aca="true" t="shared" si="3" ref="M11:M23">ROUND(F11/1000,0)</f>
        <v>7517</v>
      </c>
    </row>
    <row r="12" spans="1:13" ht="17.25" customHeight="1">
      <c r="A12" s="81" t="s">
        <v>536</v>
      </c>
      <c r="B12" s="225">
        <v>2</v>
      </c>
      <c r="C12" s="312">
        <v>48368928</v>
      </c>
      <c r="D12" s="312">
        <v>6651767.82</v>
      </c>
      <c r="E12" s="338">
        <f t="shared" si="0"/>
        <v>13.752150595522814</v>
      </c>
      <c r="F12" s="312">
        <f>D12-'[10]janvāris'!D12</f>
        <v>3714153.8200000003</v>
      </c>
      <c r="H12" s="81" t="s">
        <v>536</v>
      </c>
      <c r="I12" s="225">
        <v>2</v>
      </c>
      <c r="J12" s="312">
        <f t="shared" si="1"/>
        <v>48369</v>
      </c>
      <c r="K12" s="312">
        <f t="shared" si="1"/>
        <v>6652</v>
      </c>
      <c r="L12" s="340">
        <f t="shared" si="2"/>
        <v>13.752150595522814</v>
      </c>
      <c r="M12" s="312">
        <f t="shared" si="3"/>
        <v>3714</v>
      </c>
    </row>
    <row r="13" spans="1:13" ht="17.25" customHeight="1">
      <c r="A13" s="89" t="s">
        <v>538</v>
      </c>
      <c r="B13" s="225">
        <v>3</v>
      </c>
      <c r="C13" s="312">
        <f>114611597+89862</f>
        <v>114701459</v>
      </c>
      <c r="D13" s="312">
        <v>16532265.61</v>
      </c>
      <c r="E13" s="338">
        <f t="shared" si="0"/>
        <v>14.41330019176129</v>
      </c>
      <c r="F13" s="312">
        <f>D13-'[10]janvāris'!D13</f>
        <v>8217775.709999999</v>
      </c>
      <c r="H13" s="89" t="s">
        <v>538</v>
      </c>
      <c r="I13" s="225">
        <v>3</v>
      </c>
      <c r="J13" s="312">
        <f t="shared" si="1"/>
        <v>114701</v>
      </c>
      <c r="K13" s="312">
        <f t="shared" si="1"/>
        <v>16532</v>
      </c>
      <c r="L13" s="340">
        <f t="shared" si="2"/>
        <v>14.41330019176129</v>
      </c>
      <c r="M13" s="312">
        <f t="shared" si="3"/>
        <v>8218</v>
      </c>
    </row>
    <row r="14" spans="1:13" ht="17.25" customHeight="1">
      <c r="A14" s="81" t="s">
        <v>540</v>
      </c>
      <c r="B14" s="225">
        <v>4</v>
      </c>
      <c r="C14" s="312">
        <f>95095099+612420+951120+188894</f>
        <v>96847533</v>
      </c>
      <c r="D14" s="312">
        <v>13043110.04</v>
      </c>
      <c r="E14" s="338">
        <f t="shared" si="0"/>
        <v>13.46767401912034</v>
      </c>
      <c r="F14" s="312">
        <f>D14-'[10]janvāris'!D14</f>
        <v>6761010.339999999</v>
      </c>
      <c r="H14" s="81" t="s">
        <v>540</v>
      </c>
      <c r="I14" s="225">
        <v>4</v>
      </c>
      <c r="J14" s="312">
        <f t="shared" si="1"/>
        <v>96848</v>
      </c>
      <c r="K14" s="312">
        <f t="shared" si="1"/>
        <v>13043</v>
      </c>
      <c r="L14" s="340">
        <f t="shared" si="2"/>
        <v>13.46767401912034</v>
      </c>
      <c r="M14" s="312">
        <f t="shared" si="3"/>
        <v>6761</v>
      </c>
    </row>
    <row r="15" spans="1:13" ht="17.25" customHeight="1">
      <c r="A15" s="81" t="s">
        <v>542</v>
      </c>
      <c r="B15" s="225">
        <v>5</v>
      </c>
      <c r="C15" s="312">
        <f>69612995+109302</f>
        <v>69722297</v>
      </c>
      <c r="D15" s="312">
        <v>10028050.6</v>
      </c>
      <c r="E15" s="338">
        <f t="shared" si="0"/>
        <v>14.382845992581112</v>
      </c>
      <c r="F15" s="312">
        <f>D15-'[10]janvāris'!D15</f>
        <v>4915598.1</v>
      </c>
      <c r="H15" s="81" t="s">
        <v>542</v>
      </c>
      <c r="I15" s="225">
        <v>5</v>
      </c>
      <c r="J15" s="312">
        <f t="shared" si="1"/>
        <v>69722</v>
      </c>
      <c r="K15" s="312">
        <f t="shared" si="1"/>
        <v>10028</v>
      </c>
      <c r="L15" s="340">
        <f t="shared" si="2"/>
        <v>14.382845992581112</v>
      </c>
      <c r="M15" s="312">
        <f t="shared" si="3"/>
        <v>4916</v>
      </c>
    </row>
    <row r="16" spans="1:13" ht="17.25" customHeight="1">
      <c r="A16" s="89" t="s">
        <v>544</v>
      </c>
      <c r="B16" s="225">
        <v>6</v>
      </c>
      <c r="C16" s="312">
        <v>81822152</v>
      </c>
      <c r="D16" s="312">
        <v>13869184.8</v>
      </c>
      <c r="E16" s="338">
        <f t="shared" si="0"/>
        <v>16.950403357760624</v>
      </c>
      <c r="F16" s="312">
        <f>D16-'[10]janvāris'!D16</f>
        <v>6723328.600000001</v>
      </c>
      <c r="H16" s="89" t="s">
        <v>544</v>
      </c>
      <c r="I16" s="225">
        <v>6</v>
      </c>
      <c r="J16" s="312">
        <f t="shared" si="1"/>
        <v>81822</v>
      </c>
      <c r="K16" s="312">
        <f t="shared" si="1"/>
        <v>13869</v>
      </c>
      <c r="L16" s="340">
        <f t="shared" si="2"/>
        <v>16.950403357760624</v>
      </c>
      <c r="M16" s="312">
        <f t="shared" si="3"/>
        <v>6723</v>
      </c>
    </row>
    <row r="17" spans="1:13" ht="17.25" customHeight="1">
      <c r="A17" s="89" t="s">
        <v>546</v>
      </c>
      <c r="B17" s="225">
        <v>7</v>
      </c>
      <c r="C17" s="312">
        <f>10701593+1353550</f>
        <v>12055143</v>
      </c>
      <c r="D17" s="312">
        <v>1223740.47</v>
      </c>
      <c r="E17" s="338">
        <f t="shared" si="0"/>
        <v>10.151189994179248</v>
      </c>
      <c r="F17" s="312">
        <f>D17-'[10]janvāris'!D17</f>
        <v>496563.97</v>
      </c>
      <c r="H17" s="89" t="s">
        <v>546</v>
      </c>
      <c r="I17" s="225">
        <v>7</v>
      </c>
      <c r="J17" s="312">
        <f t="shared" si="1"/>
        <v>12055</v>
      </c>
      <c r="K17" s="312">
        <f t="shared" si="1"/>
        <v>1224</v>
      </c>
      <c r="L17" s="340">
        <f t="shared" si="2"/>
        <v>10.151189994179248</v>
      </c>
      <c r="M17" s="312">
        <f t="shared" si="3"/>
        <v>497</v>
      </c>
    </row>
    <row r="18" spans="1:13" ht="17.25" customHeight="1">
      <c r="A18" s="81" t="s">
        <v>639</v>
      </c>
      <c r="B18" s="225">
        <v>8</v>
      </c>
      <c r="C18" s="312">
        <v>22888050</v>
      </c>
      <c r="D18" s="312">
        <v>3643005.87</v>
      </c>
      <c r="E18" s="338">
        <f t="shared" si="0"/>
        <v>15.916628415264736</v>
      </c>
      <c r="F18" s="312">
        <f>D18-'[10]janvāris'!D18</f>
        <v>1868333.9700000002</v>
      </c>
      <c r="H18" s="81" t="s">
        <v>639</v>
      </c>
      <c r="I18" s="225">
        <v>8</v>
      </c>
      <c r="J18" s="312">
        <f t="shared" si="1"/>
        <v>22888</v>
      </c>
      <c r="K18" s="312">
        <f t="shared" si="1"/>
        <v>3643</v>
      </c>
      <c r="L18" s="340">
        <f t="shared" si="2"/>
        <v>15.916628415264736</v>
      </c>
      <c r="M18" s="312">
        <f t="shared" si="3"/>
        <v>1868</v>
      </c>
    </row>
    <row r="19" spans="1:13" ht="17.25" customHeight="1">
      <c r="A19" s="89" t="s">
        <v>550</v>
      </c>
      <c r="B19" s="225">
        <v>9</v>
      </c>
      <c r="C19" s="312">
        <v>202127</v>
      </c>
      <c r="D19" s="312">
        <v>28535.36</v>
      </c>
      <c r="E19" s="338">
        <f t="shared" si="0"/>
        <v>14.117539962498826</v>
      </c>
      <c r="F19" s="312">
        <f>D19-'[10]janvāris'!D19</f>
        <v>14072.76</v>
      </c>
      <c r="H19" s="89" t="s">
        <v>550</v>
      </c>
      <c r="I19" s="225">
        <v>9</v>
      </c>
      <c r="J19" s="312">
        <f t="shared" si="1"/>
        <v>202</v>
      </c>
      <c r="K19" s="312">
        <f t="shared" si="1"/>
        <v>29</v>
      </c>
      <c r="L19" s="340">
        <f t="shared" si="2"/>
        <v>14.117539962498826</v>
      </c>
      <c r="M19" s="312">
        <f>ROUND(F19/1000,0)</f>
        <v>14</v>
      </c>
    </row>
    <row r="20" spans="1:13" ht="14.25" customHeight="1">
      <c r="A20" s="89" t="s">
        <v>640</v>
      </c>
      <c r="B20" s="225">
        <v>10</v>
      </c>
      <c r="C20" s="312">
        <f>79963495+713839</f>
        <v>80677334</v>
      </c>
      <c r="D20" s="312">
        <v>8563182.89</v>
      </c>
      <c r="E20" s="338">
        <f t="shared" si="0"/>
        <v>10.614112372627485</v>
      </c>
      <c r="F20" s="312">
        <f>D20-'[10]janvāris'!D20</f>
        <v>3839220.540000001</v>
      </c>
      <c r="G20" s="341"/>
      <c r="H20" s="89" t="s">
        <v>640</v>
      </c>
      <c r="I20" s="225">
        <v>10</v>
      </c>
      <c r="J20" s="312">
        <f t="shared" si="1"/>
        <v>80677</v>
      </c>
      <c r="K20" s="312">
        <f t="shared" si="1"/>
        <v>8563</v>
      </c>
      <c r="L20" s="340">
        <f t="shared" si="2"/>
        <v>10.614112372627485</v>
      </c>
      <c r="M20" s="312">
        <f t="shared" si="3"/>
        <v>3839</v>
      </c>
    </row>
    <row r="21" spans="1:13" ht="25.5">
      <c r="A21" s="89" t="s">
        <v>554</v>
      </c>
      <c r="B21" s="225">
        <v>11</v>
      </c>
      <c r="C21" s="312">
        <v>866523</v>
      </c>
      <c r="D21" s="312">
        <v>107760.79</v>
      </c>
      <c r="E21" s="338">
        <f t="shared" si="0"/>
        <v>12.435998813649492</v>
      </c>
      <c r="F21" s="312">
        <f>D21-'[10]janvāris'!D21</f>
        <v>54986.95999999999</v>
      </c>
      <c r="H21" s="89" t="s">
        <v>554</v>
      </c>
      <c r="I21" s="225">
        <v>11</v>
      </c>
      <c r="J21" s="312">
        <f t="shared" si="1"/>
        <v>867</v>
      </c>
      <c r="K21" s="312">
        <f t="shared" si="1"/>
        <v>108</v>
      </c>
      <c r="L21" s="340">
        <f t="shared" si="2"/>
        <v>12.435998813649492</v>
      </c>
      <c r="M21" s="312">
        <f t="shared" si="3"/>
        <v>55</v>
      </c>
    </row>
    <row r="22" spans="1:13" ht="17.25" customHeight="1">
      <c r="A22" s="81" t="s">
        <v>556</v>
      </c>
      <c r="B22" s="225">
        <v>12</v>
      </c>
      <c r="C22" s="312">
        <f>17685677+158332</f>
        <v>17844009</v>
      </c>
      <c r="D22" s="312">
        <v>1002269</v>
      </c>
      <c r="E22" s="338">
        <f t="shared" si="0"/>
        <v>5.616837561559176</v>
      </c>
      <c r="F22" s="312">
        <f>D22-'[10]janvāris'!D22</f>
        <v>478293.16</v>
      </c>
      <c r="H22" s="81" t="s">
        <v>556</v>
      </c>
      <c r="I22" s="225">
        <v>12</v>
      </c>
      <c r="J22" s="312">
        <f t="shared" si="1"/>
        <v>17844</v>
      </c>
      <c r="K22" s="312">
        <f t="shared" si="1"/>
        <v>1002</v>
      </c>
      <c r="L22" s="340">
        <f t="shared" si="2"/>
        <v>5.616837561559176</v>
      </c>
      <c r="M22" s="312">
        <f t="shared" si="3"/>
        <v>478</v>
      </c>
    </row>
    <row r="23" spans="1:13" ht="16.5" customHeight="1">
      <c r="A23" s="81" t="s">
        <v>558</v>
      </c>
      <c r="B23" s="225">
        <v>13</v>
      </c>
      <c r="C23" s="312">
        <f>24501923+3579879</f>
        <v>28081802</v>
      </c>
      <c r="D23" s="312">
        <v>2206515.6</v>
      </c>
      <c r="E23" s="338">
        <f t="shared" si="0"/>
        <v>7.857457295653606</v>
      </c>
      <c r="F23" s="312">
        <f>D23-'[10]janvāris'!D23</f>
        <v>1073812.11</v>
      </c>
      <c r="H23" s="81" t="s">
        <v>558</v>
      </c>
      <c r="I23" s="225">
        <v>13</v>
      </c>
      <c r="J23" s="312">
        <f t="shared" si="1"/>
        <v>28082</v>
      </c>
      <c r="K23" s="312">
        <f t="shared" si="1"/>
        <v>2207</v>
      </c>
      <c r="L23" s="340">
        <f t="shared" si="2"/>
        <v>7.857457295653606</v>
      </c>
      <c r="M23" s="312">
        <f t="shared" si="3"/>
        <v>1074</v>
      </c>
    </row>
    <row r="24" spans="1:13" ht="12.75">
      <c r="A24" s="89" t="s">
        <v>785</v>
      </c>
      <c r="B24" s="225">
        <v>14</v>
      </c>
      <c r="C24" s="312">
        <v>210206374</v>
      </c>
      <c r="D24" s="312">
        <f>22122902.88+13590470</f>
        <v>35713372.879999995</v>
      </c>
      <c r="E24" s="338">
        <f t="shared" si="0"/>
        <v>16.98967172137225</v>
      </c>
      <c r="F24" s="312">
        <f>D24-'[10]janvāris'!D24</f>
        <v>16503942.879999995</v>
      </c>
      <c r="H24" s="89" t="s">
        <v>785</v>
      </c>
      <c r="I24" s="225">
        <v>14</v>
      </c>
      <c r="J24" s="312">
        <f t="shared" si="1"/>
        <v>210206</v>
      </c>
      <c r="K24" s="312">
        <f>ROUND(D24/1000,0)-1</f>
        <v>35712</v>
      </c>
      <c r="L24" s="340">
        <f t="shared" si="2"/>
        <v>16.98967172137225</v>
      </c>
      <c r="M24" s="312">
        <f>ROUND(F24/1000,0)</f>
        <v>16504</v>
      </c>
    </row>
    <row r="25" spans="1:13" ht="13.5" customHeight="1">
      <c r="A25" s="81" t="s">
        <v>563</v>
      </c>
      <c r="B25" s="222"/>
      <c r="C25" s="282">
        <v>48898920</v>
      </c>
      <c r="D25" s="282">
        <v>13590470</v>
      </c>
      <c r="E25" s="338">
        <f t="shared" si="0"/>
        <v>27.792986020959155</v>
      </c>
      <c r="F25" s="312">
        <f>D25-'[10]janvāris'!D25</f>
        <v>5684591</v>
      </c>
      <c r="H25" s="81" t="s">
        <v>563</v>
      </c>
      <c r="I25" s="222"/>
      <c r="J25" s="312">
        <f>ROUND(C25/1000,0)</f>
        <v>48899</v>
      </c>
      <c r="K25" s="312">
        <f>ROUND(D25/1000,0)</f>
        <v>13590</v>
      </c>
      <c r="L25" s="340">
        <f>E25</f>
        <v>27.792986020959155</v>
      </c>
      <c r="M25" s="312">
        <f>ROUND(F25/1000,0)</f>
        <v>5685</v>
      </c>
    </row>
    <row r="26" spans="2:12" ht="17.25" customHeight="1">
      <c r="B26" s="4"/>
      <c r="C26" s="70"/>
      <c r="D26" s="70"/>
      <c r="E26" s="342"/>
      <c r="I26" s="4"/>
      <c r="J26" s="70"/>
      <c r="K26" s="70"/>
      <c r="L26" s="342"/>
    </row>
    <row r="27" spans="2:12" ht="17.25" customHeight="1">
      <c r="B27" s="4"/>
      <c r="C27" s="70"/>
      <c r="D27" s="70"/>
      <c r="E27" s="342"/>
      <c r="I27" s="4"/>
      <c r="J27" s="70"/>
      <c r="K27" s="70"/>
      <c r="L27" s="342"/>
    </row>
    <row r="28" spans="2:12" ht="17.25" customHeight="1">
      <c r="B28" s="4"/>
      <c r="C28" s="70"/>
      <c r="D28" s="70"/>
      <c r="E28" s="342"/>
      <c r="I28" s="4"/>
      <c r="J28" s="70"/>
      <c r="K28" s="70"/>
      <c r="L28" s="342"/>
    </row>
    <row r="29" spans="1:12" ht="17.25" customHeight="1">
      <c r="A29" s="64" t="s">
        <v>786</v>
      </c>
      <c r="B29" s="4"/>
      <c r="C29" s="4"/>
      <c r="D29" s="4"/>
      <c r="E29" s="28"/>
      <c r="F29" s="1" t="s">
        <v>626</v>
      </c>
      <c r="H29" s="141" t="s">
        <v>564</v>
      </c>
      <c r="I29" s="32"/>
      <c r="J29" s="32"/>
      <c r="K29" s="31"/>
      <c r="L29" s="32" t="s">
        <v>348</v>
      </c>
    </row>
    <row r="30" spans="2:5" ht="17.25" customHeight="1">
      <c r="B30" s="4"/>
      <c r="C30" s="70"/>
      <c r="D30" s="70"/>
      <c r="E30" s="342"/>
    </row>
    <row r="31" spans="2:5" ht="17.25" customHeight="1">
      <c r="B31" s="4"/>
      <c r="C31" s="70"/>
      <c r="D31" s="70"/>
      <c r="E31" s="342"/>
    </row>
    <row r="32" spans="2:7" ht="17.25" customHeight="1">
      <c r="B32" s="4"/>
      <c r="D32" s="70"/>
      <c r="E32" s="342"/>
      <c r="G32" s="4"/>
    </row>
    <row r="33" spans="2:5" ht="17.25" customHeight="1">
      <c r="B33" s="4"/>
      <c r="C33" s="70"/>
      <c r="D33" s="70"/>
      <c r="E33" s="342"/>
    </row>
    <row r="34" spans="2:5" ht="17.25" customHeight="1">
      <c r="B34" s="4"/>
      <c r="C34" s="70"/>
      <c r="D34" s="70"/>
      <c r="E34" s="342"/>
    </row>
    <row r="35" spans="4:5" ht="17.25" customHeight="1">
      <c r="D35" s="70"/>
      <c r="E35" s="342"/>
    </row>
    <row r="36" spans="2:8" ht="17.25" customHeight="1">
      <c r="B36" s="4"/>
      <c r="C36" s="70"/>
      <c r="D36" s="70"/>
      <c r="E36" s="342"/>
      <c r="H36" s="343" t="s">
        <v>398</v>
      </c>
    </row>
    <row r="37" spans="3:8" ht="17.25" customHeight="1">
      <c r="C37" s="70"/>
      <c r="D37" s="70"/>
      <c r="E37" s="342"/>
      <c r="H37" s="28" t="s">
        <v>399</v>
      </c>
    </row>
    <row r="38" spans="3:5" ht="17.25" customHeight="1">
      <c r="C38" s="70"/>
      <c r="D38" s="70"/>
      <c r="E38" s="342"/>
    </row>
    <row r="39" spans="3:5" ht="17.25" customHeight="1">
      <c r="C39" s="70"/>
      <c r="D39" s="70"/>
      <c r="E39" s="342"/>
    </row>
    <row r="40" spans="1:5" ht="17.25" customHeight="1">
      <c r="A40" s="24"/>
      <c r="C40" s="70"/>
      <c r="D40" s="70"/>
      <c r="E40" s="342"/>
    </row>
    <row r="41" spans="1:5" ht="17.25" customHeight="1">
      <c r="A41" s="24"/>
      <c r="C41" s="70"/>
      <c r="D41" s="70"/>
      <c r="E41" s="342"/>
    </row>
    <row r="42" spans="3:5" ht="17.25" customHeight="1">
      <c r="C42" s="70"/>
      <c r="D42" s="70"/>
      <c r="E42" s="342"/>
    </row>
    <row r="43" spans="3:5" ht="17.25" customHeight="1">
      <c r="C43" s="70"/>
      <c r="D43" s="70"/>
      <c r="E43" s="342"/>
    </row>
    <row r="44" spans="3:5" ht="17.25" customHeight="1">
      <c r="C44" s="70"/>
      <c r="D44" s="70"/>
      <c r="E44" s="342"/>
    </row>
    <row r="45" spans="3:5" ht="17.25" customHeight="1">
      <c r="C45" s="70"/>
      <c r="D45" s="70"/>
      <c r="E45" s="342"/>
    </row>
    <row r="46" spans="2:4" ht="17.25" customHeight="1">
      <c r="B46" s="70"/>
      <c r="C46" s="70"/>
      <c r="D46" s="342"/>
    </row>
    <row r="47" spans="2:4" ht="17.25" customHeight="1">
      <c r="B47" s="70"/>
      <c r="C47" s="70"/>
      <c r="D47" s="342"/>
    </row>
    <row r="48" spans="2:4" ht="17.25" customHeight="1">
      <c r="B48" s="70"/>
      <c r="C48" s="70"/>
      <c r="D48" s="342"/>
    </row>
    <row r="49" spans="2:4" ht="17.25" customHeight="1">
      <c r="B49" s="70"/>
      <c r="C49" s="70"/>
      <c r="D49" s="342"/>
    </row>
    <row r="50" spans="2:4" ht="17.25" customHeight="1">
      <c r="B50" s="70"/>
      <c r="C50" s="70"/>
      <c r="D50" s="342"/>
    </row>
    <row r="51" spans="2:4" ht="17.25" customHeight="1">
      <c r="B51" s="70"/>
      <c r="C51" s="70"/>
      <c r="D51" s="342"/>
    </row>
    <row r="52" spans="2:4" ht="17.25" customHeight="1">
      <c r="B52" s="70"/>
      <c r="D52" s="342"/>
    </row>
    <row r="53" spans="2:4" ht="17.25" customHeight="1">
      <c r="B53" s="70"/>
      <c r="D53" s="342"/>
    </row>
    <row r="54" spans="2:4" ht="17.25" customHeight="1">
      <c r="B54" s="70"/>
      <c r="D54" s="342"/>
    </row>
    <row r="55" spans="2:4" ht="17.25" customHeight="1">
      <c r="B55" s="70"/>
      <c r="D55" s="342"/>
    </row>
    <row r="56" spans="2:4" ht="17.25" customHeight="1">
      <c r="B56" s="70"/>
      <c r="D56" s="342"/>
    </row>
    <row r="57" spans="2:4" ht="17.25" customHeight="1">
      <c r="B57" s="70"/>
      <c r="D57" s="342"/>
    </row>
    <row r="58" spans="2:4" ht="17.25" customHeight="1">
      <c r="B58" s="70"/>
      <c r="D58" s="342"/>
    </row>
    <row r="59" spans="2:4" ht="17.25" customHeight="1">
      <c r="B59" s="70"/>
      <c r="D59" s="342"/>
    </row>
    <row r="60" spans="2:4" ht="17.25" customHeight="1">
      <c r="B60" s="70"/>
      <c r="D60" s="342"/>
    </row>
    <row r="61" spans="2:4" ht="17.25" customHeight="1">
      <c r="B61" s="70"/>
      <c r="D61" s="342"/>
    </row>
    <row r="62" spans="2:4" ht="17.25" customHeight="1">
      <c r="B62" s="70"/>
      <c r="D62" s="342"/>
    </row>
    <row r="63" spans="2:4" ht="17.25" customHeight="1">
      <c r="B63" s="70"/>
      <c r="D63" s="342"/>
    </row>
    <row r="64" spans="2:4" ht="17.25" customHeight="1">
      <c r="B64" s="70"/>
      <c r="D64" s="342"/>
    </row>
    <row r="65" spans="2:4" ht="17.25" customHeight="1">
      <c r="B65" s="70"/>
      <c r="D65" s="342"/>
    </row>
    <row r="66" spans="2:4" ht="17.25" customHeight="1">
      <c r="B66" s="70"/>
      <c r="D66" s="342"/>
    </row>
    <row r="67" spans="2:4" ht="17.25" customHeight="1">
      <c r="B67" s="70"/>
      <c r="D67" s="342"/>
    </row>
    <row r="68" spans="2:4" ht="17.25" customHeight="1">
      <c r="B68" s="70"/>
      <c r="D68" s="342"/>
    </row>
    <row r="69" spans="2:4" ht="17.25" customHeight="1">
      <c r="B69" s="70"/>
      <c r="D69" s="342"/>
    </row>
    <row r="70" spans="2:4" ht="17.25" customHeight="1">
      <c r="B70" s="70"/>
      <c r="D70" s="342"/>
    </row>
    <row r="71" spans="2:4" ht="17.25" customHeight="1">
      <c r="B71" s="70"/>
      <c r="D71" s="342"/>
    </row>
    <row r="72" spans="2:4" ht="17.25" customHeight="1">
      <c r="B72" s="70"/>
      <c r="D72" s="342"/>
    </row>
    <row r="73" spans="2:4" ht="17.25" customHeight="1">
      <c r="B73" s="70"/>
      <c r="D73" s="342"/>
    </row>
    <row r="74" spans="2:4" ht="17.25" customHeight="1">
      <c r="B74" s="70"/>
      <c r="D74" s="342"/>
    </row>
    <row r="75" spans="2:4" ht="17.25" customHeight="1">
      <c r="B75" s="70"/>
      <c r="D75" s="342"/>
    </row>
    <row r="76" spans="2:4" ht="17.25" customHeight="1">
      <c r="B76" s="70"/>
      <c r="D76" s="342"/>
    </row>
    <row r="77" spans="2:4" ht="17.25" customHeight="1">
      <c r="B77" s="70"/>
      <c r="D77" s="342"/>
    </row>
    <row r="78" spans="2:4" ht="17.25" customHeight="1">
      <c r="B78" s="70"/>
      <c r="D78" s="342"/>
    </row>
    <row r="79" spans="2:4" ht="17.25" customHeight="1">
      <c r="B79" s="70"/>
      <c r="D79" s="342"/>
    </row>
    <row r="80" spans="2:4" ht="17.25" customHeight="1">
      <c r="B80" s="70"/>
      <c r="D80" s="342"/>
    </row>
    <row r="81" spans="2:4" ht="17.25" customHeight="1">
      <c r="B81" s="70"/>
      <c r="D81" s="342"/>
    </row>
    <row r="82" spans="2:4" ht="17.25" customHeight="1">
      <c r="B82" s="70"/>
      <c r="D82" s="342"/>
    </row>
    <row r="83" spans="2:4" ht="17.25" customHeight="1">
      <c r="B83" s="70"/>
      <c r="D83" s="342"/>
    </row>
    <row r="84" spans="2:4" ht="17.25" customHeight="1">
      <c r="B84" s="70"/>
      <c r="D84" s="342"/>
    </row>
    <row r="85" spans="2:4" ht="17.25" customHeight="1">
      <c r="B85" s="70"/>
      <c r="D85" s="342"/>
    </row>
    <row r="86" spans="2:4" ht="17.25" customHeight="1">
      <c r="B86" s="70"/>
      <c r="D86" s="342"/>
    </row>
    <row r="87" spans="2:4" ht="17.25" customHeight="1">
      <c r="B87" s="70"/>
      <c r="D87" s="342"/>
    </row>
    <row r="88" spans="2:4" ht="17.25" customHeight="1">
      <c r="B88" s="70"/>
      <c r="D88" s="342"/>
    </row>
    <row r="89" spans="2:4" ht="17.25" customHeight="1">
      <c r="B89" s="70"/>
      <c r="D89" s="342"/>
    </row>
    <row r="90" spans="2:4" ht="17.25" customHeight="1">
      <c r="B90" s="70"/>
      <c r="D90" s="342"/>
    </row>
    <row r="91" spans="2:4" ht="17.25" customHeight="1">
      <c r="B91" s="70"/>
      <c r="D91" s="342"/>
    </row>
    <row r="92" spans="2:4" ht="17.25" customHeight="1">
      <c r="B92" s="70"/>
      <c r="D92" s="342"/>
    </row>
    <row r="93" spans="2:4" ht="17.25" customHeight="1">
      <c r="B93" s="70"/>
      <c r="D93" s="342"/>
    </row>
    <row r="94" spans="2:4" ht="17.25" customHeight="1">
      <c r="B94" s="70"/>
      <c r="D94" s="342"/>
    </row>
    <row r="95" spans="2:4" ht="17.25" customHeight="1">
      <c r="B95" s="70"/>
      <c r="D95" s="342"/>
    </row>
    <row r="96" spans="2:4" ht="17.25" customHeight="1">
      <c r="B96" s="70"/>
      <c r="D96" s="342"/>
    </row>
    <row r="97" spans="2:4" ht="17.25" customHeight="1">
      <c r="B97" s="70"/>
      <c r="D97" s="342"/>
    </row>
    <row r="98" spans="2:4" ht="17.25" customHeight="1">
      <c r="B98" s="70"/>
      <c r="D98" s="342"/>
    </row>
    <row r="99" ht="17.25" customHeight="1">
      <c r="B99" s="70"/>
    </row>
    <row r="100" ht="17.25" customHeight="1">
      <c r="B100" s="70"/>
    </row>
    <row r="101" ht="17.25" customHeight="1">
      <c r="B101" s="70"/>
    </row>
    <row r="102" ht="17.25" customHeight="1">
      <c r="B102" s="70"/>
    </row>
    <row r="103" ht="17.25" customHeight="1">
      <c r="B103" s="70"/>
    </row>
    <row r="104" ht="17.25" customHeight="1">
      <c r="B104" s="70"/>
    </row>
    <row r="105" ht="17.25" customHeight="1">
      <c r="B105" s="70"/>
    </row>
    <row r="106" ht="17.25" customHeight="1">
      <c r="B106" s="70"/>
    </row>
    <row r="107" ht="17.25" customHeight="1">
      <c r="B107" s="70"/>
    </row>
  </sheetData>
  <mergeCells count="6">
    <mergeCell ref="A5:E5"/>
    <mergeCell ref="H5:L5"/>
    <mergeCell ref="A2:E2"/>
    <mergeCell ref="H2:L2"/>
    <mergeCell ref="A4:E4"/>
    <mergeCell ref="H4:L4"/>
  </mergeCells>
  <printOptions/>
  <pageMargins left="0.75" right="0.19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5"/>
  <sheetViews>
    <sheetView workbookViewId="0" topLeftCell="G1">
      <selection activeCell="A8" sqref="A8"/>
    </sheetView>
  </sheetViews>
  <sheetFormatPr defaultColWidth="9.140625" defaultRowHeight="17.25" customHeight="1"/>
  <cols>
    <col min="1" max="1" width="40.57421875" style="1" hidden="1" customWidth="1"/>
    <col min="2" max="2" width="13.421875" style="1" hidden="1" customWidth="1"/>
    <col min="3" max="3" width="12.421875" style="1" hidden="1" customWidth="1"/>
    <col min="4" max="4" width="13.140625" style="1" hidden="1" customWidth="1"/>
    <col min="5" max="5" width="8.28125" style="294" hidden="1" customWidth="1"/>
    <col min="6" max="6" width="11.7109375" style="1" hidden="1" customWidth="1"/>
    <col min="7" max="7" width="41.57421875" style="1" customWidth="1"/>
    <col min="8" max="8" width="11.7109375" style="1" customWidth="1"/>
    <col min="9" max="9" width="11.421875" style="1" customWidth="1"/>
    <col min="10" max="10" width="12.421875" style="1" customWidth="1"/>
    <col min="11" max="11" width="8.28125" style="295" customWidth="1"/>
    <col min="12" max="12" width="9.140625" style="1" customWidth="1"/>
  </cols>
  <sheetData>
    <row r="1" spans="6:12" ht="17.25" customHeight="1">
      <c r="F1" s="167" t="s">
        <v>701</v>
      </c>
      <c r="L1" s="167" t="s">
        <v>701</v>
      </c>
    </row>
    <row r="2" spans="1:12" ht="17.25" customHeight="1">
      <c r="A2" s="655" t="s">
        <v>702</v>
      </c>
      <c r="B2" s="655"/>
      <c r="C2" s="655"/>
      <c r="D2" s="655"/>
      <c r="E2" s="655"/>
      <c r="F2" s="655"/>
      <c r="G2" s="656" t="s">
        <v>401</v>
      </c>
      <c r="H2" s="656"/>
      <c r="I2" s="656"/>
      <c r="J2" s="656"/>
      <c r="K2" s="656"/>
      <c r="L2" s="656"/>
    </row>
    <row r="4" spans="1:12" ht="17.25" customHeight="1">
      <c r="A4" s="657" t="s">
        <v>703</v>
      </c>
      <c r="B4" s="657"/>
      <c r="C4" s="657"/>
      <c r="D4" s="657"/>
      <c r="E4" s="657"/>
      <c r="F4" s="657"/>
      <c r="G4" s="658" t="s">
        <v>703</v>
      </c>
      <c r="H4" s="658"/>
      <c r="I4" s="658"/>
      <c r="J4" s="658"/>
      <c r="K4" s="658"/>
      <c r="L4" s="658"/>
    </row>
    <row r="5" spans="1:12" ht="17.25" customHeight="1">
      <c r="A5" s="479" t="s">
        <v>527</v>
      </c>
      <c r="B5" s="479"/>
      <c r="C5" s="479"/>
      <c r="D5" s="479"/>
      <c r="E5" s="479"/>
      <c r="F5" s="479"/>
      <c r="G5" s="480" t="s">
        <v>527</v>
      </c>
      <c r="H5" s="480"/>
      <c r="I5" s="480"/>
      <c r="J5" s="480"/>
      <c r="K5" s="480"/>
      <c r="L5" s="480"/>
    </row>
    <row r="6" spans="1:12" ht="7.5" customHeight="1">
      <c r="A6" s="296"/>
      <c r="B6" s="296"/>
      <c r="C6" s="296"/>
      <c r="D6" s="296"/>
      <c r="E6" s="297"/>
      <c r="F6" s="296"/>
      <c r="G6" s="296"/>
      <c r="H6" s="296"/>
      <c r="I6" s="296"/>
      <c r="J6" s="296"/>
      <c r="K6" s="298"/>
      <c r="L6" s="296"/>
    </row>
    <row r="7" spans="6:12" ht="12.75">
      <c r="F7" s="299" t="s">
        <v>599</v>
      </c>
      <c r="L7" s="299" t="s">
        <v>704</v>
      </c>
    </row>
    <row r="8" spans="1:12" ht="47.25" customHeight="1">
      <c r="A8" s="207" t="s">
        <v>318</v>
      </c>
      <c r="B8" s="207" t="s">
        <v>403</v>
      </c>
      <c r="C8" s="207" t="s">
        <v>705</v>
      </c>
      <c r="D8" s="207" t="s">
        <v>404</v>
      </c>
      <c r="E8" s="300" t="s">
        <v>706</v>
      </c>
      <c r="F8" s="301" t="s">
        <v>707</v>
      </c>
      <c r="G8" s="207" t="s">
        <v>318</v>
      </c>
      <c r="H8" s="207" t="s">
        <v>403</v>
      </c>
      <c r="I8" s="207" t="s">
        <v>705</v>
      </c>
      <c r="J8" s="207" t="s">
        <v>404</v>
      </c>
      <c r="K8" s="302" t="s">
        <v>706</v>
      </c>
      <c r="L8" s="303" t="s">
        <v>601</v>
      </c>
    </row>
    <row r="9" spans="1:12" ht="12.75">
      <c r="A9" s="221">
        <v>1</v>
      </c>
      <c r="B9" s="222">
        <v>2</v>
      </c>
      <c r="C9" s="174">
        <v>3</v>
      </c>
      <c r="D9" s="174">
        <v>4</v>
      </c>
      <c r="E9" s="304">
        <v>5</v>
      </c>
      <c r="F9" s="221">
        <v>6</v>
      </c>
      <c r="G9" s="221">
        <v>1</v>
      </c>
      <c r="H9" s="222">
        <v>2</v>
      </c>
      <c r="I9" s="174">
        <v>3</v>
      </c>
      <c r="J9" s="174">
        <v>4</v>
      </c>
      <c r="K9" s="174">
        <v>5</v>
      </c>
      <c r="L9" s="221">
        <v>6</v>
      </c>
    </row>
    <row r="10" spans="1:12" ht="12.75" customHeight="1">
      <c r="A10" s="189" t="s">
        <v>708</v>
      </c>
      <c r="B10" s="185">
        <f>SUM(B20,B27,B39,B44,B50,B57,B69,B77,B89,B95,B102,B114,B169,B178,B184)</f>
        <v>725518701</v>
      </c>
      <c r="C10" s="185">
        <f>SUM(C20,C27,C39,C44,C50,C57,C69,C77,C89,C95,C102,C114,C169,C178,C184)</f>
        <v>108642260</v>
      </c>
      <c r="D10" s="185">
        <f>SUM(D20,D27,D39,D44,D50,D57,D69,D77,D89,D95,D102,D114,D169,D178,D184)</f>
        <v>108373622</v>
      </c>
      <c r="E10" s="305">
        <f>D10/B10*100</f>
        <v>14.937398836256877</v>
      </c>
      <c r="F10" s="185">
        <f>SUM(F20,F27,F39,F44,F50,F57,F69,F77,F89,F95,F102,F114,F169,F178,F184)</f>
        <v>52510441</v>
      </c>
      <c r="G10" s="189" t="s">
        <v>708</v>
      </c>
      <c r="H10" s="306">
        <f>ROUND(B10/1000,0)</f>
        <v>725519</v>
      </c>
      <c r="I10" s="306">
        <f>ROUND(C10/1000,0)</f>
        <v>108642</v>
      </c>
      <c r="J10" s="307">
        <f>SUM(J20,J27,J39,J44,J50,J57,J69,J77,J89,J95,J102,J114,J169,J178,J184)</f>
        <v>108374</v>
      </c>
      <c r="K10" s="308">
        <f>J10/H10*100</f>
        <v>14.937444780908562</v>
      </c>
      <c r="L10" s="306">
        <f>SUM(L20,L27,L39,L44,L50,L57,L69,L77,L89,L95,L102,L114,L169,L178,L184)</f>
        <v>52511</v>
      </c>
    </row>
    <row r="11" spans="1:12" ht="12.75" customHeight="1">
      <c r="A11" s="189" t="s">
        <v>635</v>
      </c>
      <c r="B11" s="185">
        <f>B12+B14</f>
        <v>765146600</v>
      </c>
      <c r="C11" s="185">
        <f>C12+C14</f>
        <v>126332205</v>
      </c>
      <c r="D11" s="185">
        <f>D12+D14</f>
        <v>117828665</v>
      </c>
      <c r="E11" s="305">
        <f aca="true" t="shared" si="0" ref="E11:E73">D11/B11*100</f>
        <v>15.39948880384491</v>
      </c>
      <c r="F11" s="185">
        <f>F12+F14</f>
        <v>57149867</v>
      </c>
      <c r="G11" s="57" t="s">
        <v>635</v>
      </c>
      <c r="H11" s="185">
        <f>H12+H14</f>
        <v>765147</v>
      </c>
      <c r="I11" s="185">
        <f aca="true" t="shared" si="1" ref="I11:I17">ROUND(C11/1000,0)</f>
        <v>126332</v>
      </c>
      <c r="J11" s="310">
        <f>J12+J14</f>
        <v>117829</v>
      </c>
      <c r="K11" s="311">
        <f aca="true" t="shared" si="2" ref="K11:K73">J11/H11*100</f>
        <v>15.399524535808151</v>
      </c>
      <c r="L11" s="185">
        <f>L12+L14</f>
        <v>57150</v>
      </c>
    </row>
    <row r="12" spans="1:12" ht="12.75" customHeight="1">
      <c r="A12" s="189" t="s">
        <v>709</v>
      </c>
      <c r="B12" s="312">
        <f>SUM(B23,B37,B42,B53,B61,B73,B83,B92,B98,B108,B119,B174,B182,B187)</f>
        <v>731908893</v>
      </c>
      <c r="C12" s="312">
        <f>SUM(C23,C37,C42,C53,C61,C73,C83,C92,C98,C108,C119,C174,C182,C187)</f>
        <v>121047978</v>
      </c>
      <c r="D12" s="312">
        <f>SUM(D23,D37,D42,D53,D61,D73,D83,D92,D98,D108,D119,D174,D182,D187)</f>
        <v>113672481</v>
      </c>
      <c r="E12" s="313">
        <f t="shared" si="0"/>
        <v>15.530960490734195</v>
      </c>
      <c r="F12" s="312">
        <f>SUM(F23,F37,F42,F53,F61,F73,F83,F92,F98,F108,F119,F174,F182,F187)</f>
        <v>56555616</v>
      </c>
      <c r="G12" s="189" t="s">
        <v>709</v>
      </c>
      <c r="H12" s="226">
        <f aca="true" t="shared" si="3" ref="H12:H17">ROUND(B12/1000,0)</f>
        <v>731909</v>
      </c>
      <c r="I12" s="306">
        <f t="shared" si="1"/>
        <v>121048</v>
      </c>
      <c r="J12" s="314">
        <f>SUM(J23,J37,J42,J53,J61,J73,J83,J92,J98,J108,J119,J174,J182,J187)</f>
        <v>113672</v>
      </c>
      <c r="K12" s="308">
        <f t="shared" si="2"/>
        <v>15.530892501663457</v>
      </c>
      <c r="L12" s="312">
        <f>SUM(L23,L37,L42,L53,L61,L73,L83,L92,L98,L108,L119,L174,L182,L187)</f>
        <v>56555</v>
      </c>
    </row>
    <row r="13" spans="1:12" ht="12.75" customHeight="1">
      <c r="A13" s="265" t="s">
        <v>710</v>
      </c>
      <c r="B13" s="312">
        <f>SUM(B54,B62,B84,B109,B120,B188)</f>
        <v>5473101</v>
      </c>
      <c r="C13" s="312">
        <f>SUM(C54,C62,C84,C109,C120,C188)</f>
        <v>0</v>
      </c>
      <c r="D13" s="312">
        <f>SUM(D54,D62,D84,D109,D120,D188)</f>
        <v>708919</v>
      </c>
      <c r="E13" s="313">
        <f t="shared" si="0"/>
        <v>12.952784902014416</v>
      </c>
      <c r="F13" s="312">
        <f>SUM(F54,F62,F84,F109,F120,F188)</f>
        <v>602319</v>
      </c>
      <c r="G13" s="265" t="s">
        <v>710</v>
      </c>
      <c r="H13" s="226">
        <f t="shared" si="3"/>
        <v>5473</v>
      </c>
      <c r="I13" s="306"/>
      <c r="J13" s="314">
        <f>SUM(J54,J62,J84,J109,J120,J188)</f>
        <v>709</v>
      </c>
      <c r="K13" s="308">
        <f t="shared" si="2"/>
        <v>12.954503928375663</v>
      </c>
      <c r="L13" s="312">
        <f>SUM(L54,L62,L84,L109,L120,L188)</f>
        <v>602</v>
      </c>
    </row>
    <row r="14" spans="1:12" ht="12.75" customHeight="1">
      <c r="A14" s="189" t="s">
        <v>711</v>
      </c>
      <c r="B14" s="312">
        <f>SUM(B24,B55,B63,B74,B85,B93,B99,B110,B121,B175,B189)</f>
        <v>33237707</v>
      </c>
      <c r="C14" s="312">
        <f>SUM(C24,C55,C63,C74,C85,C93,C99,C110,C121,C175,C189)</f>
        <v>5284227</v>
      </c>
      <c r="D14" s="312">
        <f>SUM(D24,D55,D63,D74,D85,D93,D99,D110,D121,D175,D189)</f>
        <v>4156184</v>
      </c>
      <c r="E14" s="313">
        <f t="shared" si="0"/>
        <v>12.504424568156884</v>
      </c>
      <c r="F14" s="312">
        <f>SUM(F24,F55,F63,F74,F85,F93,F99,F110,F121,F175,F189)</f>
        <v>594251</v>
      </c>
      <c r="G14" s="189" t="s">
        <v>711</v>
      </c>
      <c r="H14" s="226">
        <f t="shared" si="3"/>
        <v>33238</v>
      </c>
      <c r="I14" s="306">
        <f t="shared" si="1"/>
        <v>5284</v>
      </c>
      <c r="J14" s="314">
        <f>SUM(J24,J55,J63,J74,J85,J93,J99,J110,J121,J175,J189)</f>
        <v>4157</v>
      </c>
      <c r="K14" s="308">
        <f t="shared" si="2"/>
        <v>12.50676936037066</v>
      </c>
      <c r="L14" s="312">
        <f>SUM(L24,L55,L63,L74,L85,L93,L99,L110,L121,L175,L189)+1</f>
        <v>595</v>
      </c>
    </row>
    <row r="15" spans="1:12" ht="12.75" customHeight="1">
      <c r="A15" s="189" t="s">
        <v>712</v>
      </c>
      <c r="B15" s="185">
        <f>SUM(B64)</f>
        <v>6699203</v>
      </c>
      <c r="C15" s="185">
        <f>SUM(C64)</f>
        <v>1366732</v>
      </c>
      <c r="D15" s="185">
        <f>SUM(D64)</f>
        <v>1124535</v>
      </c>
      <c r="E15" s="305">
        <f t="shared" si="0"/>
        <v>16.78610127204684</v>
      </c>
      <c r="F15" s="185">
        <f>SUM(F64)</f>
        <v>656144</v>
      </c>
      <c r="G15" s="57" t="s">
        <v>712</v>
      </c>
      <c r="H15" s="185">
        <f t="shared" si="3"/>
        <v>6699</v>
      </c>
      <c r="I15" s="185">
        <f t="shared" si="1"/>
        <v>1367</v>
      </c>
      <c r="J15" s="310">
        <f>SUM(J64)</f>
        <v>1125</v>
      </c>
      <c r="K15" s="311">
        <f t="shared" si="2"/>
        <v>16.7935512763099</v>
      </c>
      <c r="L15" s="185">
        <f>SUM(L64)</f>
        <v>657</v>
      </c>
    </row>
    <row r="16" spans="1:12" ht="12.75" customHeight="1">
      <c r="A16" s="189" t="s">
        <v>713</v>
      </c>
      <c r="B16" s="185">
        <f>B10-B11-B15</f>
        <v>-46327102</v>
      </c>
      <c r="C16" s="185">
        <f>C10-C11-C15</f>
        <v>-19056677</v>
      </c>
      <c r="D16" s="185">
        <f>D10-D11-D15</f>
        <v>-10579578</v>
      </c>
      <c r="E16" s="305">
        <f t="shared" si="0"/>
        <v>22.836692871485898</v>
      </c>
      <c r="F16" s="185">
        <f>F10-F11-F15</f>
        <v>-5295570</v>
      </c>
      <c r="G16" s="57" t="s">
        <v>713</v>
      </c>
      <c r="H16" s="185">
        <f t="shared" si="3"/>
        <v>-46327</v>
      </c>
      <c r="I16" s="185">
        <f t="shared" si="1"/>
        <v>-19057</v>
      </c>
      <c r="J16" s="310">
        <f>J10-J11-J15</f>
        <v>-10580</v>
      </c>
      <c r="K16" s="311">
        <f t="shared" si="2"/>
        <v>22.837654067822218</v>
      </c>
      <c r="L16" s="185">
        <f>L10-L11-L15</f>
        <v>-5296</v>
      </c>
    </row>
    <row r="17" spans="1:12" ht="12.75" customHeight="1">
      <c r="A17" s="89" t="s">
        <v>714</v>
      </c>
      <c r="B17" s="185">
        <f>SUM(B66,B87,B112,B123,B191)</f>
        <v>48698241</v>
      </c>
      <c r="C17" s="185">
        <f>SUM(C66,C87,C112,C123,C191)</f>
        <v>19263181</v>
      </c>
      <c r="D17" s="185">
        <f>SUM(D66,D87,D112,D123,D191)</f>
        <v>15305354</v>
      </c>
      <c r="E17" s="305">
        <f t="shared" si="0"/>
        <v>31.42896680806192</v>
      </c>
      <c r="F17" s="185">
        <f>SUM(F66,F87,F112,F123,F191)</f>
        <v>7049736</v>
      </c>
      <c r="G17" s="95" t="s">
        <v>714</v>
      </c>
      <c r="H17" s="185">
        <f t="shared" si="3"/>
        <v>48698</v>
      </c>
      <c r="I17" s="185">
        <f t="shared" si="1"/>
        <v>19263</v>
      </c>
      <c r="J17" s="310">
        <f>SUM(J66,J87,J112,J123,J191)</f>
        <v>15305</v>
      </c>
      <c r="K17" s="311">
        <f t="shared" si="2"/>
        <v>31.428395416649558</v>
      </c>
      <c r="L17" s="185">
        <f>SUM(L66,L87,L112,L123,L191)</f>
        <v>7049</v>
      </c>
    </row>
    <row r="18" spans="1:12" ht="20.25" customHeight="1">
      <c r="A18" s="57" t="s">
        <v>505</v>
      </c>
      <c r="B18" s="306"/>
      <c r="C18" s="306"/>
      <c r="D18" s="306"/>
      <c r="E18" s="313"/>
      <c r="F18" s="306"/>
      <c r="G18" s="57" t="s">
        <v>505</v>
      </c>
      <c r="H18" s="306"/>
      <c r="I18" s="306"/>
      <c r="J18" s="307"/>
      <c r="K18" s="308"/>
      <c r="L18" s="306"/>
    </row>
    <row r="19" spans="1:12" ht="12.75" customHeight="1">
      <c r="A19" s="315" t="s">
        <v>715</v>
      </c>
      <c r="B19" s="306"/>
      <c r="C19" s="306"/>
      <c r="D19" s="306"/>
      <c r="E19" s="313"/>
      <c r="F19" s="306"/>
      <c r="G19" s="315" t="s">
        <v>715</v>
      </c>
      <c r="H19" s="306"/>
      <c r="I19" s="306"/>
      <c r="J19" s="307"/>
      <c r="K19" s="308"/>
      <c r="L19" s="306"/>
    </row>
    <row r="20" spans="1:12" ht="12.75" customHeight="1">
      <c r="A20" s="189" t="s">
        <v>607</v>
      </c>
      <c r="B20" s="312">
        <f>B21</f>
        <v>2874300</v>
      </c>
      <c r="C20" s="314">
        <v>437300</v>
      </c>
      <c r="D20" s="312">
        <f>D21</f>
        <v>351571</v>
      </c>
      <c r="E20" s="313">
        <f t="shared" si="0"/>
        <v>12.231534634519708</v>
      </c>
      <c r="F20" s="306">
        <f>D20-'[8]Janvāris'!D20</f>
        <v>349806</v>
      </c>
      <c r="G20" s="189" t="s">
        <v>607</v>
      </c>
      <c r="H20" s="312">
        <f>ROUND(B20/1000,0)</f>
        <v>2874</v>
      </c>
      <c r="I20" s="312">
        <f>ROUND(C20/1000,0)</f>
        <v>437</v>
      </c>
      <c r="J20" s="314">
        <f>J21</f>
        <v>352</v>
      </c>
      <c r="K20" s="308">
        <f t="shared" si="2"/>
        <v>12.247738343771747</v>
      </c>
      <c r="L20" s="306">
        <f>J20-'[8]Janvāris'!J20</f>
        <v>350</v>
      </c>
    </row>
    <row r="21" spans="1:12" ht="12.75" customHeight="1">
      <c r="A21" s="189" t="s">
        <v>716</v>
      </c>
      <c r="B21" s="312">
        <v>2874300</v>
      </c>
      <c r="C21" s="314"/>
      <c r="D21" s="314">
        <f>'[6]Februāris'!$K$6</f>
        <v>351571</v>
      </c>
      <c r="E21" s="313">
        <f t="shared" si="0"/>
        <v>12.231534634519708</v>
      </c>
      <c r="F21" s="306">
        <f>D21-'[8]Janvāris'!D21</f>
        <v>349806</v>
      </c>
      <c r="G21" s="189" t="s">
        <v>716</v>
      </c>
      <c r="H21" s="312">
        <f aca="true" t="shared" si="4" ref="H21:H85">ROUND(B21/1000,0)</f>
        <v>2874</v>
      </c>
      <c r="I21" s="312"/>
      <c r="J21" s="314">
        <f>ROUND(D21/1000,0)</f>
        <v>352</v>
      </c>
      <c r="K21" s="308">
        <f t="shared" si="2"/>
        <v>12.247738343771747</v>
      </c>
      <c r="L21" s="306">
        <f>J21-'[8]Janvāris'!J21</f>
        <v>350</v>
      </c>
    </row>
    <row r="22" spans="1:12" ht="12.75" customHeight="1">
      <c r="A22" s="189" t="s">
        <v>717</v>
      </c>
      <c r="B22" s="306">
        <f>B23+B24</f>
        <v>2874300</v>
      </c>
      <c r="C22" s="306">
        <f>C23+C24</f>
        <v>437300</v>
      </c>
      <c r="D22" s="306">
        <f>D23+D24</f>
        <v>345705</v>
      </c>
      <c r="E22" s="313">
        <f t="shared" si="0"/>
        <v>12.027450161778521</v>
      </c>
      <c r="F22" s="306">
        <f>D22-'[8]Janvāris'!D22</f>
        <v>151838</v>
      </c>
      <c r="G22" s="189" t="s">
        <v>717</v>
      </c>
      <c r="H22" s="312">
        <f t="shared" si="4"/>
        <v>2874</v>
      </c>
      <c r="I22" s="312">
        <f>ROUND(C22/1000,0)</f>
        <v>437</v>
      </c>
      <c r="J22" s="314">
        <f>SUM(J23:J24)</f>
        <v>346</v>
      </c>
      <c r="K22" s="308">
        <f t="shared" si="2"/>
        <v>12.038970076548365</v>
      </c>
      <c r="L22" s="306">
        <f>J22-'[8]Janvāris'!J22</f>
        <v>152</v>
      </c>
    </row>
    <row r="23" spans="1:12" ht="12.75" customHeight="1">
      <c r="A23" s="189" t="s">
        <v>718</v>
      </c>
      <c r="B23" s="312">
        <v>2856700</v>
      </c>
      <c r="C23" s="314">
        <v>425300</v>
      </c>
      <c r="D23" s="314">
        <f>'[6]Februāris'!$K$8</f>
        <v>341682</v>
      </c>
      <c r="E23" s="313">
        <f t="shared" si="0"/>
        <v>11.960723912206392</v>
      </c>
      <c r="F23" s="306">
        <f>D23-'[8]Janvāris'!D23</f>
        <v>151420</v>
      </c>
      <c r="G23" s="189" t="s">
        <v>718</v>
      </c>
      <c r="H23" s="312">
        <f t="shared" si="4"/>
        <v>2857</v>
      </c>
      <c r="I23" s="312">
        <f>ROUND(C23/1000,0)</f>
        <v>425</v>
      </c>
      <c r="J23" s="314">
        <f>ROUND(D23/1000,0)</f>
        <v>342</v>
      </c>
      <c r="K23" s="308">
        <f t="shared" si="2"/>
        <v>11.970598529926496</v>
      </c>
      <c r="L23" s="306">
        <f>J23-'[8]Janvāris'!J23</f>
        <v>152</v>
      </c>
    </row>
    <row r="24" spans="1:12" ht="12.75" customHeight="1">
      <c r="A24" s="189" t="s">
        <v>711</v>
      </c>
      <c r="B24" s="312">
        <v>17600</v>
      </c>
      <c r="C24" s="314">
        <v>12000</v>
      </c>
      <c r="D24" s="314">
        <f>'[6]Februāris'!$K$31</f>
        <v>4023</v>
      </c>
      <c r="E24" s="313">
        <f t="shared" si="0"/>
        <v>22.857954545454547</v>
      </c>
      <c r="F24" s="306">
        <f>D24-'[8]Janvāris'!D24</f>
        <v>418</v>
      </c>
      <c r="G24" s="189" t="s">
        <v>711</v>
      </c>
      <c r="H24" s="312">
        <f t="shared" si="4"/>
        <v>18</v>
      </c>
      <c r="I24" s="312">
        <f>ROUND(C24/1000,0)</f>
        <v>12</v>
      </c>
      <c r="J24" s="314">
        <f>ROUND(D24/1000,0)</f>
        <v>4</v>
      </c>
      <c r="K24" s="308">
        <f t="shared" si="2"/>
        <v>22.22222222222222</v>
      </c>
      <c r="L24" s="306">
        <f>J24-'[8]Janvāris'!J24</f>
        <v>0</v>
      </c>
    </row>
    <row r="25" spans="1:12" ht="12.75" customHeight="1">
      <c r="A25" s="57" t="s">
        <v>506</v>
      </c>
      <c r="B25" s="306"/>
      <c r="C25" s="306"/>
      <c r="D25" s="306"/>
      <c r="E25" s="313"/>
      <c r="F25" s="306"/>
      <c r="G25" s="57" t="s">
        <v>506</v>
      </c>
      <c r="H25" s="312"/>
      <c r="I25" s="312"/>
      <c r="J25" s="314"/>
      <c r="K25" s="308"/>
      <c r="L25" s="306"/>
    </row>
    <row r="26" spans="1:12" ht="24" customHeight="1">
      <c r="A26" s="177" t="s">
        <v>719</v>
      </c>
      <c r="B26" s="306"/>
      <c r="C26" s="306"/>
      <c r="D26" s="306"/>
      <c r="E26" s="313"/>
      <c r="F26" s="306"/>
      <c r="G26" s="197" t="s">
        <v>719</v>
      </c>
      <c r="H26" s="312"/>
      <c r="I26" s="312"/>
      <c r="J26" s="314"/>
      <c r="K26" s="308"/>
      <c r="L26" s="306"/>
    </row>
    <row r="27" spans="1:12" ht="12.75" customHeight="1">
      <c r="A27" s="189" t="s">
        <v>607</v>
      </c>
      <c r="B27" s="306">
        <f>B28+B33+B34+B35</f>
        <v>2820000</v>
      </c>
      <c r="C27" s="307">
        <v>476850</v>
      </c>
      <c r="D27" s="306">
        <f>D28+D33+D34+D35</f>
        <v>470060</v>
      </c>
      <c r="E27" s="313">
        <f t="shared" si="0"/>
        <v>16.668794326241134</v>
      </c>
      <c r="F27" s="306">
        <f>D27-'[8]Janvāris'!D27</f>
        <v>208270</v>
      </c>
      <c r="G27" s="189" t="s">
        <v>607</v>
      </c>
      <c r="H27" s="312">
        <f t="shared" si="4"/>
        <v>2820</v>
      </c>
      <c r="I27" s="312">
        <f>ROUND(C27/1000,0)</f>
        <v>477</v>
      </c>
      <c r="J27" s="314">
        <f>SUM(J28,J33:J35)</f>
        <v>470</v>
      </c>
      <c r="K27" s="308">
        <f t="shared" si="2"/>
        <v>16.666666666666664</v>
      </c>
      <c r="L27" s="306">
        <f>J27-'[8]Janvāris'!J27</f>
        <v>209</v>
      </c>
    </row>
    <row r="28" spans="1:12" ht="12.75" customHeight="1">
      <c r="A28" s="89" t="s">
        <v>720</v>
      </c>
      <c r="B28" s="312">
        <f>SUM(B29:B32)</f>
        <v>2555000</v>
      </c>
      <c r="C28" s="314"/>
      <c r="D28" s="312">
        <f>SUM(D29:D32)</f>
        <v>402749</v>
      </c>
      <c r="E28" s="313">
        <f t="shared" si="0"/>
        <v>15.76317025440313</v>
      </c>
      <c r="F28" s="306">
        <f>D28-'[8]Janvāris'!D28</f>
        <v>157585</v>
      </c>
      <c r="G28" s="89" t="s">
        <v>720</v>
      </c>
      <c r="H28" s="312">
        <f t="shared" si="4"/>
        <v>2555</v>
      </c>
      <c r="I28" s="312"/>
      <c r="J28" s="314">
        <f>SUM(J29:J32)</f>
        <v>403</v>
      </c>
      <c r="K28" s="308">
        <f t="shared" si="2"/>
        <v>15.772994129158512</v>
      </c>
      <c r="L28" s="306">
        <f>J28-'[8]Janvāris'!J28</f>
        <v>158</v>
      </c>
    </row>
    <row r="29" spans="1:12" ht="51">
      <c r="A29" s="96" t="s">
        <v>721</v>
      </c>
      <c r="B29" s="312">
        <v>2000000</v>
      </c>
      <c r="C29" s="314"/>
      <c r="D29" s="314">
        <v>287129</v>
      </c>
      <c r="E29" s="313">
        <f t="shared" si="0"/>
        <v>14.35645</v>
      </c>
      <c r="F29" s="306">
        <f>D29-'[8]Janvāris'!D29</f>
        <v>136625</v>
      </c>
      <c r="G29" s="96" t="s">
        <v>721</v>
      </c>
      <c r="H29" s="312">
        <f t="shared" si="4"/>
        <v>2000</v>
      </c>
      <c r="I29" s="312"/>
      <c r="J29" s="314">
        <f>ROUND(D29/1000,0)</f>
        <v>287</v>
      </c>
      <c r="K29" s="308">
        <f t="shared" si="2"/>
        <v>14.35</v>
      </c>
      <c r="L29" s="306">
        <f>J29-'[8]Janvāris'!J29</f>
        <v>137</v>
      </c>
    </row>
    <row r="30" spans="1:12" ht="38.25">
      <c r="A30" s="96" t="s">
        <v>722</v>
      </c>
      <c r="B30" s="312">
        <v>240000</v>
      </c>
      <c r="C30" s="314"/>
      <c r="D30" s="314">
        <v>50589</v>
      </c>
      <c r="E30" s="313">
        <f t="shared" si="0"/>
        <v>21.07875</v>
      </c>
      <c r="F30" s="306">
        <f>D30-'[8]Janvāris'!D30</f>
        <v>2790</v>
      </c>
      <c r="G30" s="96" t="s">
        <v>722</v>
      </c>
      <c r="H30" s="312">
        <f t="shared" si="4"/>
        <v>240</v>
      </c>
      <c r="I30" s="312"/>
      <c r="J30" s="314">
        <f>ROUND(D30/1000,0)</f>
        <v>51</v>
      </c>
      <c r="K30" s="308">
        <f t="shared" si="2"/>
        <v>21.25</v>
      </c>
      <c r="L30" s="306">
        <f>J30-'[8]Janvāris'!J30</f>
        <v>3</v>
      </c>
    </row>
    <row r="31" spans="1:12" ht="25.5" customHeight="1">
      <c r="A31" s="96" t="s">
        <v>723</v>
      </c>
      <c r="B31" s="312">
        <v>145000</v>
      </c>
      <c r="C31" s="314"/>
      <c r="D31" s="314">
        <v>30786</v>
      </c>
      <c r="E31" s="313">
        <f t="shared" si="0"/>
        <v>21.231724137931035</v>
      </c>
      <c r="F31" s="306">
        <f>D31-'[8]Janvāris'!D31</f>
        <v>2105</v>
      </c>
      <c r="G31" s="96" t="s">
        <v>723</v>
      </c>
      <c r="H31" s="312">
        <f t="shared" si="4"/>
        <v>145</v>
      </c>
      <c r="I31" s="312"/>
      <c r="J31" s="314">
        <f>ROUND(D31/1000,0)</f>
        <v>31</v>
      </c>
      <c r="K31" s="308">
        <f t="shared" si="2"/>
        <v>21.379310344827587</v>
      </c>
      <c r="L31" s="306">
        <f>J31-'[8]Janvāris'!J31</f>
        <v>2</v>
      </c>
    </row>
    <row r="32" spans="1:12" ht="38.25">
      <c r="A32" s="96" t="s">
        <v>724</v>
      </c>
      <c r="B32" s="312">
        <v>170000</v>
      </c>
      <c r="C32" s="314"/>
      <c r="D32" s="314">
        <v>34245</v>
      </c>
      <c r="E32" s="313">
        <f t="shared" si="0"/>
        <v>20.144117647058824</v>
      </c>
      <c r="F32" s="306">
        <f>D32-'[8]Janvāris'!D32</f>
        <v>16065</v>
      </c>
      <c r="G32" s="96" t="s">
        <v>724</v>
      </c>
      <c r="H32" s="312">
        <f t="shared" si="4"/>
        <v>170</v>
      </c>
      <c r="I32" s="312"/>
      <c r="J32" s="314">
        <f>ROUND(D32/1000,0)</f>
        <v>34</v>
      </c>
      <c r="K32" s="308">
        <f t="shared" si="2"/>
        <v>20</v>
      </c>
      <c r="L32" s="306">
        <f>J32-'[8]Janvāris'!J32</f>
        <v>16</v>
      </c>
    </row>
    <row r="33" spans="1:12" ht="12.75" customHeight="1">
      <c r="A33" s="89" t="s">
        <v>725</v>
      </c>
      <c r="B33" s="312">
        <v>90000</v>
      </c>
      <c r="C33" s="314"/>
      <c r="D33" s="314"/>
      <c r="E33" s="313">
        <f t="shared" si="0"/>
        <v>0</v>
      </c>
      <c r="F33" s="306">
        <f>D33-'[8]Janvāris'!D33</f>
        <v>0</v>
      </c>
      <c r="G33" s="89" t="s">
        <v>725</v>
      </c>
      <c r="H33" s="312">
        <f t="shared" si="4"/>
        <v>90</v>
      </c>
      <c r="I33" s="312"/>
      <c r="J33" s="314"/>
      <c r="K33" s="308"/>
      <c r="L33" s="306">
        <f>J33-'[8]Janvāris'!J33</f>
        <v>0</v>
      </c>
    </row>
    <row r="34" spans="1:12" ht="12.75" customHeight="1">
      <c r="A34" s="89" t="s">
        <v>726</v>
      </c>
      <c r="B34" s="312">
        <v>170000</v>
      </c>
      <c r="C34" s="314"/>
      <c r="D34" s="314">
        <v>35518</v>
      </c>
      <c r="E34" s="313">
        <f t="shared" si="0"/>
        <v>20.89294117647059</v>
      </c>
      <c r="F34" s="306">
        <f>D34-'[8]Janvāris'!D34</f>
        <v>17088</v>
      </c>
      <c r="G34" s="89" t="s">
        <v>726</v>
      </c>
      <c r="H34" s="312">
        <f t="shared" si="4"/>
        <v>170</v>
      </c>
      <c r="I34" s="312"/>
      <c r="J34" s="314">
        <f>ROUND(D34/1000,0)-1</f>
        <v>35</v>
      </c>
      <c r="K34" s="308">
        <f t="shared" si="2"/>
        <v>20.588235294117645</v>
      </c>
      <c r="L34" s="306">
        <f>J34-'[8]Janvāris'!J34</f>
        <v>17</v>
      </c>
    </row>
    <row r="35" spans="1:12" ht="12.75" customHeight="1">
      <c r="A35" s="316" t="s">
        <v>727</v>
      </c>
      <c r="B35" s="312">
        <v>5000</v>
      </c>
      <c r="C35" s="314"/>
      <c r="D35" s="314">
        <f>1268+30525</f>
        <v>31793</v>
      </c>
      <c r="E35" s="313">
        <f t="shared" si="0"/>
        <v>635.86</v>
      </c>
      <c r="F35" s="306">
        <f>D35-'[8]Janvāris'!D35</f>
        <v>33597</v>
      </c>
      <c r="G35" s="316" t="s">
        <v>727</v>
      </c>
      <c r="H35" s="312">
        <f t="shared" si="4"/>
        <v>5</v>
      </c>
      <c r="I35" s="312"/>
      <c r="J35" s="314">
        <f>ROUND(D35/1000,0)</f>
        <v>32</v>
      </c>
      <c r="K35" s="308"/>
      <c r="L35" s="306">
        <f>J35-'[8]Janvāris'!J35</f>
        <v>34</v>
      </c>
    </row>
    <row r="36" spans="1:12" ht="12.75" customHeight="1">
      <c r="A36" s="189" t="s">
        <v>717</v>
      </c>
      <c r="B36" s="306">
        <f>B37</f>
        <v>1205000</v>
      </c>
      <c r="C36" s="306">
        <f>C37</f>
        <v>229570</v>
      </c>
      <c r="D36" s="306">
        <f>D37</f>
        <v>105369</v>
      </c>
      <c r="E36" s="313">
        <f>D36/B36*100</f>
        <v>8.744315352697095</v>
      </c>
      <c r="F36" s="306">
        <f>D36-'[8]Janvāris'!D36</f>
        <v>65154</v>
      </c>
      <c r="G36" s="189" t="s">
        <v>717</v>
      </c>
      <c r="H36" s="312">
        <f t="shared" si="4"/>
        <v>1205</v>
      </c>
      <c r="I36" s="312">
        <f>ROUND(C36/1000,0)</f>
        <v>230</v>
      </c>
      <c r="J36" s="314">
        <f>SUM(J37)</f>
        <v>105</v>
      </c>
      <c r="K36" s="308">
        <f t="shared" si="2"/>
        <v>8.71369294605809</v>
      </c>
      <c r="L36" s="306">
        <f>J36-'[8]Janvāris'!J36</f>
        <v>65</v>
      </c>
    </row>
    <row r="37" spans="1:12" ht="12.75" customHeight="1">
      <c r="A37" s="189" t="s">
        <v>718</v>
      </c>
      <c r="B37" s="312">
        <v>1205000</v>
      </c>
      <c r="C37" s="314">
        <v>229570</v>
      </c>
      <c r="D37" s="314">
        <f>'[6]Februāris'!$W$8</f>
        <v>105369</v>
      </c>
      <c r="E37" s="313">
        <f t="shared" si="0"/>
        <v>8.744315352697095</v>
      </c>
      <c r="F37" s="306">
        <f>D37-'[8]Janvāris'!D37</f>
        <v>65154</v>
      </c>
      <c r="G37" s="189" t="s">
        <v>718</v>
      </c>
      <c r="H37" s="312">
        <f t="shared" si="4"/>
        <v>1205</v>
      </c>
      <c r="I37" s="312">
        <f>ROUND(C37/1000,0)</f>
        <v>230</v>
      </c>
      <c r="J37" s="314">
        <f>ROUND(D37/1000,0)</f>
        <v>105</v>
      </c>
      <c r="K37" s="308">
        <f t="shared" si="2"/>
        <v>8.71369294605809</v>
      </c>
      <c r="L37" s="306">
        <f>J37-'[8]Janvāris'!J37</f>
        <v>65</v>
      </c>
    </row>
    <row r="38" spans="1:12" ht="24" customHeight="1">
      <c r="A38" s="177" t="s">
        <v>728</v>
      </c>
      <c r="B38" s="317"/>
      <c r="C38" s="317"/>
      <c r="D38" s="317"/>
      <c r="E38" s="313"/>
      <c r="F38" s="306"/>
      <c r="G38" s="177" t="s">
        <v>728</v>
      </c>
      <c r="H38" s="312"/>
      <c r="I38" s="312"/>
      <c r="J38" s="314"/>
      <c r="K38" s="308"/>
      <c r="L38" s="306"/>
    </row>
    <row r="39" spans="1:12" ht="12.75" customHeight="1">
      <c r="A39" s="189" t="s">
        <v>607</v>
      </c>
      <c r="B39" s="306">
        <f>B40</f>
        <v>500000</v>
      </c>
      <c r="C39" s="307">
        <v>250000</v>
      </c>
      <c r="D39" s="306">
        <f>D40</f>
        <v>369527</v>
      </c>
      <c r="E39" s="313">
        <f t="shared" si="0"/>
        <v>73.9054</v>
      </c>
      <c r="F39" s="306">
        <f>D39-'[8]Janvāris'!D39</f>
        <v>10872</v>
      </c>
      <c r="G39" s="189" t="s">
        <v>607</v>
      </c>
      <c r="H39" s="312">
        <f t="shared" si="4"/>
        <v>500</v>
      </c>
      <c r="I39" s="312">
        <f>ROUND(C39/1000,0)</f>
        <v>250</v>
      </c>
      <c r="J39" s="314">
        <f>J40</f>
        <v>369</v>
      </c>
      <c r="K39" s="308">
        <f t="shared" si="2"/>
        <v>73.8</v>
      </c>
      <c r="L39" s="306">
        <f>J39-'[8]Janvāris'!J39</f>
        <v>10</v>
      </c>
    </row>
    <row r="40" spans="1:12" ht="12.75" customHeight="1">
      <c r="A40" s="318" t="s">
        <v>729</v>
      </c>
      <c r="B40" s="312">
        <v>500000</v>
      </c>
      <c r="C40" s="314"/>
      <c r="D40" s="314">
        <f>'[6]Februāris'!$X$6</f>
        <v>369527</v>
      </c>
      <c r="E40" s="313">
        <f t="shared" si="0"/>
        <v>73.9054</v>
      </c>
      <c r="F40" s="306">
        <f>D40-'[8]Janvāris'!D40</f>
        <v>10872</v>
      </c>
      <c r="G40" s="318" t="s">
        <v>729</v>
      </c>
      <c r="H40" s="312">
        <f t="shared" si="4"/>
        <v>500</v>
      </c>
      <c r="I40" s="312"/>
      <c r="J40" s="314">
        <f>ROUND(D40/1000,0)-1</f>
        <v>369</v>
      </c>
      <c r="K40" s="308">
        <f t="shared" si="2"/>
        <v>73.8</v>
      </c>
      <c r="L40" s="306">
        <f>J40-'[8]Janvāris'!J40</f>
        <v>10</v>
      </c>
    </row>
    <row r="41" spans="1:12" ht="12.75" customHeight="1">
      <c r="A41" s="189" t="s">
        <v>717</v>
      </c>
      <c r="B41" s="306">
        <f>B42</f>
        <v>31300</v>
      </c>
      <c r="C41" s="306">
        <f>C42</f>
        <v>9550</v>
      </c>
      <c r="D41" s="306">
        <f>D42</f>
        <v>5493</v>
      </c>
      <c r="E41" s="313">
        <f t="shared" si="0"/>
        <v>17.549520766773163</v>
      </c>
      <c r="F41" s="306">
        <f>D41-'[8]Janvāris'!D41</f>
        <v>2736</v>
      </c>
      <c r="G41" s="189" t="s">
        <v>717</v>
      </c>
      <c r="H41" s="312">
        <f t="shared" si="4"/>
        <v>31</v>
      </c>
      <c r="I41" s="312">
        <f>ROUND(C41/1000,0)</f>
        <v>10</v>
      </c>
      <c r="J41" s="314">
        <f>J42</f>
        <v>5</v>
      </c>
      <c r="K41" s="308">
        <f t="shared" si="2"/>
        <v>16.129032258064516</v>
      </c>
      <c r="L41" s="306">
        <f>J41-'[8]Janvāris'!J41</f>
        <v>2</v>
      </c>
    </row>
    <row r="42" spans="1:12" ht="12.75" customHeight="1">
      <c r="A42" s="189" t="s">
        <v>730</v>
      </c>
      <c r="B42" s="312">
        <v>31300</v>
      </c>
      <c r="C42" s="314">
        <v>9550</v>
      </c>
      <c r="D42" s="314">
        <f>'[6]Februāris'!$X$7</f>
        <v>5493</v>
      </c>
      <c r="E42" s="313">
        <f t="shared" si="0"/>
        <v>17.549520766773163</v>
      </c>
      <c r="F42" s="306">
        <f>D42-'[8]Janvāris'!D42</f>
        <v>2736</v>
      </c>
      <c r="G42" s="189" t="s">
        <v>730</v>
      </c>
      <c r="H42" s="312">
        <f t="shared" si="4"/>
        <v>31</v>
      </c>
      <c r="I42" s="312">
        <f>ROUND(C42/1000,0)</f>
        <v>10</v>
      </c>
      <c r="J42" s="314">
        <f>ROUND(D42/1000,0)</f>
        <v>5</v>
      </c>
      <c r="K42" s="308">
        <f t="shared" si="2"/>
        <v>16.129032258064516</v>
      </c>
      <c r="L42" s="306">
        <f>J42-'[8]Janvāris'!J42</f>
        <v>2</v>
      </c>
    </row>
    <row r="43" spans="1:12" ht="12.75" customHeight="1">
      <c r="A43" s="177" t="s">
        <v>731</v>
      </c>
      <c r="B43" s="312"/>
      <c r="C43" s="312"/>
      <c r="D43" s="312"/>
      <c r="E43" s="313"/>
      <c r="F43" s="306">
        <f>D43-'[8]Janvāris'!D43</f>
        <v>0</v>
      </c>
      <c r="G43" s="177" t="s">
        <v>731</v>
      </c>
      <c r="H43" s="312"/>
      <c r="I43" s="312"/>
      <c r="J43" s="314"/>
      <c r="K43" s="308"/>
      <c r="L43" s="306"/>
    </row>
    <row r="44" spans="1:12" ht="12.75" customHeight="1">
      <c r="A44" s="189" t="s">
        <v>607</v>
      </c>
      <c r="B44" s="312">
        <f>B45</f>
        <v>75000</v>
      </c>
      <c r="C44" s="314">
        <v>37500</v>
      </c>
      <c r="D44" s="312">
        <f>D45</f>
        <v>47652</v>
      </c>
      <c r="E44" s="313">
        <f t="shared" si="0"/>
        <v>63.536</v>
      </c>
      <c r="F44" s="306">
        <f>D44-'[8]Janvāris'!D44</f>
        <v>18055</v>
      </c>
      <c r="G44" s="189" t="s">
        <v>607</v>
      </c>
      <c r="H44" s="312">
        <f t="shared" si="4"/>
        <v>75</v>
      </c>
      <c r="I44" s="312">
        <f>ROUND(C44/1000,0)</f>
        <v>38</v>
      </c>
      <c r="J44" s="314">
        <f>J45</f>
        <v>48</v>
      </c>
      <c r="K44" s="308">
        <f t="shared" si="2"/>
        <v>64</v>
      </c>
      <c r="L44" s="306">
        <f>J44-'[8]Janvāris'!J44</f>
        <v>18</v>
      </c>
    </row>
    <row r="45" spans="1:12" ht="12.75" customHeight="1">
      <c r="A45" s="89" t="s">
        <v>720</v>
      </c>
      <c r="B45" s="312">
        <f>SUM(B46:B47)</f>
        <v>75000</v>
      </c>
      <c r="C45" s="314"/>
      <c r="D45" s="314">
        <f>D46+D47</f>
        <v>47652</v>
      </c>
      <c r="E45" s="313">
        <f t="shared" si="0"/>
        <v>63.536</v>
      </c>
      <c r="F45" s="306">
        <f>D45-'[8]Janvāris'!D45</f>
        <v>18055</v>
      </c>
      <c r="G45" s="89" t="s">
        <v>720</v>
      </c>
      <c r="H45" s="312">
        <f t="shared" si="4"/>
        <v>75</v>
      </c>
      <c r="I45" s="312"/>
      <c r="J45" s="314">
        <f>ROUND(D45/1000,0)</f>
        <v>48</v>
      </c>
      <c r="K45" s="308">
        <f t="shared" si="2"/>
        <v>64</v>
      </c>
      <c r="L45" s="306">
        <f>J45-'[8]Janvāris'!J45</f>
        <v>18</v>
      </c>
    </row>
    <row r="46" spans="1:12" ht="12.75">
      <c r="A46" s="96" t="s">
        <v>732</v>
      </c>
      <c r="B46" s="312">
        <v>15000</v>
      </c>
      <c r="C46" s="314"/>
      <c r="D46" s="314">
        <v>4975</v>
      </c>
      <c r="E46" s="313">
        <f t="shared" si="0"/>
        <v>33.166666666666664</v>
      </c>
      <c r="F46" s="306">
        <f>D46-'[8]Janvāris'!D46</f>
        <v>1921</v>
      </c>
      <c r="G46" s="96" t="s">
        <v>732</v>
      </c>
      <c r="H46" s="312">
        <f t="shared" si="4"/>
        <v>15</v>
      </c>
      <c r="I46" s="312"/>
      <c r="J46" s="314">
        <f>ROUND(D46/1000,0)</f>
        <v>5</v>
      </c>
      <c r="K46" s="308">
        <f t="shared" si="2"/>
        <v>33.33333333333333</v>
      </c>
      <c r="L46" s="306">
        <f>J46-'[8]Janvāris'!J46</f>
        <v>2</v>
      </c>
    </row>
    <row r="47" spans="1:12" ht="12.75">
      <c r="A47" s="96" t="s">
        <v>733</v>
      </c>
      <c r="B47" s="312">
        <v>60000</v>
      </c>
      <c r="C47" s="314"/>
      <c r="D47" s="314">
        <v>42677</v>
      </c>
      <c r="E47" s="313">
        <f t="shared" si="0"/>
        <v>71.12833333333334</v>
      </c>
      <c r="F47" s="306">
        <f>D47-'[8]Janvāris'!D47</f>
        <v>16134</v>
      </c>
      <c r="G47" s="96" t="s">
        <v>733</v>
      </c>
      <c r="H47" s="312">
        <f t="shared" si="4"/>
        <v>60</v>
      </c>
      <c r="I47" s="312"/>
      <c r="J47" s="314">
        <f>ROUND(D47/1000,0)</f>
        <v>43</v>
      </c>
      <c r="K47" s="308">
        <f t="shared" si="2"/>
        <v>71.66666666666667</v>
      </c>
      <c r="L47" s="306">
        <f>J47-'[8]Janvāris'!J47</f>
        <v>16</v>
      </c>
    </row>
    <row r="48" spans="1:12" ht="12.75" customHeight="1">
      <c r="A48" s="57" t="s">
        <v>508</v>
      </c>
      <c r="B48" s="306"/>
      <c r="C48" s="306"/>
      <c r="D48" s="306"/>
      <c r="E48" s="313"/>
      <c r="F48" s="306"/>
      <c r="G48" s="57" t="s">
        <v>508</v>
      </c>
      <c r="H48" s="312"/>
      <c r="I48" s="312"/>
      <c r="J48" s="314"/>
      <c r="K48" s="308"/>
      <c r="L48" s="306"/>
    </row>
    <row r="49" spans="1:12" ht="12.75" customHeight="1">
      <c r="A49" s="16" t="s">
        <v>734</v>
      </c>
      <c r="B49" s="306"/>
      <c r="C49" s="306"/>
      <c r="D49" s="306"/>
      <c r="E49" s="313"/>
      <c r="F49" s="306"/>
      <c r="G49" s="16" t="s">
        <v>734</v>
      </c>
      <c r="H49" s="312"/>
      <c r="I49" s="312"/>
      <c r="J49" s="314"/>
      <c r="K49" s="308"/>
      <c r="L49" s="306"/>
    </row>
    <row r="50" spans="1:12" ht="12.75" customHeight="1">
      <c r="A50" s="189" t="s">
        <v>607</v>
      </c>
      <c r="B50" s="306">
        <f>B51</f>
        <v>1508663</v>
      </c>
      <c r="C50" s="307">
        <v>428000</v>
      </c>
      <c r="D50" s="306">
        <f>D51</f>
        <v>428000</v>
      </c>
      <c r="E50" s="313">
        <f t="shared" si="0"/>
        <v>28.369490071672733</v>
      </c>
      <c r="F50" s="306">
        <f>D50-'[8]Janvāris'!D50</f>
        <v>228000</v>
      </c>
      <c r="G50" s="189" t="s">
        <v>607</v>
      </c>
      <c r="H50" s="312">
        <f t="shared" si="4"/>
        <v>1509</v>
      </c>
      <c r="I50" s="312">
        <f>ROUND(C50/1000,0)</f>
        <v>428</v>
      </c>
      <c r="J50" s="314">
        <f>J51</f>
        <v>428</v>
      </c>
      <c r="K50" s="308">
        <f t="shared" si="2"/>
        <v>28.363154406891983</v>
      </c>
      <c r="L50" s="306">
        <f>J50-'[8]Janvāris'!J50</f>
        <v>228</v>
      </c>
    </row>
    <row r="51" spans="1:12" ht="12.75" customHeight="1">
      <c r="A51" s="89" t="s">
        <v>735</v>
      </c>
      <c r="B51" s="312">
        <v>1508663</v>
      </c>
      <c r="C51" s="314"/>
      <c r="D51" s="314">
        <f>'[6]Februāris'!$N$6</f>
        <v>428000</v>
      </c>
      <c r="E51" s="313">
        <f t="shared" si="0"/>
        <v>28.369490071672733</v>
      </c>
      <c r="F51" s="306">
        <f>D51-'[8]Janvāris'!D51</f>
        <v>228000</v>
      </c>
      <c r="G51" s="89" t="s">
        <v>735</v>
      </c>
      <c r="H51" s="312">
        <f t="shared" si="4"/>
        <v>1509</v>
      </c>
      <c r="I51" s="312"/>
      <c r="J51" s="314">
        <f>ROUND(D51/1000,0)</f>
        <v>428</v>
      </c>
      <c r="K51" s="308">
        <f t="shared" si="2"/>
        <v>28.363154406891983</v>
      </c>
      <c r="L51" s="306">
        <f>J51-'[8]Janvāris'!J51</f>
        <v>228</v>
      </c>
    </row>
    <row r="52" spans="1:12" ht="12.75" customHeight="1">
      <c r="A52" s="189" t="s">
        <v>717</v>
      </c>
      <c r="B52" s="306">
        <f>SUM(B53+B55)</f>
        <v>1508663</v>
      </c>
      <c r="C52" s="306">
        <f>SUM(C53+C55)</f>
        <v>428000</v>
      </c>
      <c r="D52" s="306">
        <f>SUM(D53+D55)</f>
        <v>419558</v>
      </c>
      <c r="E52" s="313">
        <f t="shared" si="0"/>
        <v>27.80992176516558</v>
      </c>
      <c r="F52" s="306">
        <f>D52-'[8]Janvāris'!D52</f>
        <v>224558</v>
      </c>
      <c r="G52" s="189" t="s">
        <v>717</v>
      </c>
      <c r="H52" s="312">
        <f t="shared" si="4"/>
        <v>1509</v>
      </c>
      <c r="I52" s="312">
        <f>ROUND(C52/1000,0)</f>
        <v>428</v>
      </c>
      <c r="J52" s="314">
        <f>J53+J55</f>
        <v>420</v>
      </c>
      <c r="K52" s="308">
        <f t="shared" si="2"/>
        <v>27.833001988071572</v>
      </c>
      <c r="L52" s="306">
        <f>J52-'[8]Janvāris'!J52</f>
        <v>225</v>
      </c>
    </row>
    <row r="53" spans="1:12" ht="12.75" customHeight="1">
      <c r="A53" s="189" t="s">
        <v>736</v>
      </c>
      <c r="B53" s="312">
        <v>1333663</v>
      </c>
      <c r="C53" s="314">
        <v>370000</v>
      </c>
      <c r="D53" s="314">
        <f>'[6]Februāris'!$N$8</f>
        <v>369558</v>
      </c>
      <c r="E53" s="313">
        <f t="shared" si="0"/>
        <v>27.709998702820727</v>
      </c>
      <c r="F53" s="306">
        <f>D53-'[8]Janvāris'!D53</f>
        <v>194558</v>
      </c>
      <c r="G53" s="189" t="s">
        <v>736</v>
      </c>
      <c r="H53" s="312">
        <f t="shared" si="4"/>
        <v>1334</v>
      </c>
      <c r="I53" s="312">
        <f>ROUND(C53/1000,0)</f>
        <v>370</v>
      </c>
      <c r="J53" s="314">
        <f>ROUND(D53/1000,0)</f>
        <v>370</v>
      </c>
      <c r="K53" s="308">
        <f t="shared" si="2"/>
        <v>27.736131934032983</v>
      </c>
      <c r="L53" s="306">
        <f>J53-'[8]Janvāris'!J53</f>
        <v>195</v>
      </c>
    </row>
    <row r="54" spans="1:12" ht="12.75" customHeight="1">
      <c r="A54" s="265" t="s">
        <v>737</v>
      </c>
      <c r="B54" s="312">
        <v>300000</v>
      </c>
      <c r="C54" s="314"/>
      <c r="D54" s="314">
        <f>'[6]Februāris'!$N$15</f>
        <v>200000</v>
      </c>
      <c r="E54" s="313">
        <f t="shared" si="0"/>
        <v>66.66666666666666</v>
      </c>
      <c r="F54" s="306">
        <f>D54-'[8]Janvāris'!D54</f>
        <v>100000</v>
      </c>
      <c r="G54" s="265" t="s">
        <v>737</v>
      </c>
      <c r="H54" s="312">
        <f t="shared" si="4"/>
        <v>300</v>
      </c>
      <c r="I54" s="312"/>
      <c r="J54" s="314">
        <f>ROUND(D54/1000,0)</f>
        <v>200</v>
      </c>
      <c r="K54" s="308">
        <f t="shared" si="2"/>
        <v>66.66666666666666</v>
      </c>
      <c r="L54" s="306">
        <f>J54-'[8]Janvāris'!J54</f>
        <v>100</v>
      </c>
    </row>
    <row r="55" spans="1:12" ht="12.75" customHeight="1">
      <c r="A55" s="189" t="s">
        <v>738</v>
      </c>
      <c r="B55" s="312">
        <v>175000</v>
      </c>
      <c r="C55" s="314">
        <v>58000</v>
      </c>
      <c r="D55" s="314">
        <f>'[6]Februāris'!$N$30</f>
        <v>50000</v>
      </c>
      <c r="E55" s="313">
        <f t="shared" si="0"/>
        <v>28.57142857142857</v>
      </c>
      <c r="F55" s="306">
        <f>D55-'[8]Janvāris'!D55</f>
        <v>30000</v>
      </c>
      <c r="G55" s="189" t="s">
        <v>738</v>
      </c>
      <c r="H55" s="312">
        <f t="shared" si="4"/>
        <v>175</v>
      </c>
      <c r="I55" s="312">
        <f>ROUND(C55/1000,0)</f>
        <v>58</v>
      </c>
      <c r="J55" s="314">
        <f>ROUND(D55/1000,0)</f>
        <v>50</v>
      </c>
      <c r="K55" s="308">
        <f t="shared" si="2"/>
        <v>28.57142857142857</v>
      </c>
      <c r="L55" s="306">
        <f>J55-'[8]Janvāris'!J55</f>
        <v>30</v>
      </c>
    </row>
    <row r="56" spans="1:12" ht="12.75" customHeight="1">
      <c r="A56" s="177" t="s">
        <v>739</v>
      </c>
      <c r="B56" s="306"/>
      <c r="C56" s="306"/>
      <c r="D56" s="306"/>
      <c r="E56" s="313"/>
      <c r="F56" s="306"/>
      <c r="G56" s="177" t="s">
        <v>739</v>
      </c>
      <c r="H56" s="312"/>
      <c r="I56" s="312"/>
      <c r="J56" s="314"/>
      <c r="K56" s="308"/>
      <c r="L56" s="306"/>
    </row>
    <row r="57" spans="1:12" ht="12.75" customHeight="1">
      <c r="A57" s="189" t="s">
        <v>607</v>
      </c>
      <c r="B57" s="306">
        <f>B58</f>
        <v>1181502</v>
      </c>
      <c r="C57" s="307">
        <v>295501</v>
      </c>
      <c r="D57" s="306">
        <f>D58+D59</f>
        <v>295721</v>
      </c>
      <c r="E57" s="313">
        <f t="shared" si="0"/>
        <v>25.029242438861722</v>
      </c>
      <c r="F57" s="306">
        <f>D57-'[8]Janvāris'!D57</f>
        <v>9450</v>
      </c>
      <c r="G57" s="189" t="s">
        <v>607</v>
      </c>
      <c r="H57" s="312">
        <f t="shared" si="4"/>
        <v>1182</v>
      </c>
      <c r="I57" s="312">
        <f>ROUND(C57/1000,0)</f>
        <v>296</v>
      </c>
      <c r="J57" s="314">
        <f>J58</f>
        <v>296</v>
      </c>
      <c r="K57" s="308">
        <f t="shared" si="2"/>
        <v>25.042301184433164</v>
      </c>
      <c r="L57" s="306">
        <f>SUM(L58)</f>
        <v>10</v>
      </c>
    </row>
    <row r="58" spans="1:12" ht="12.75" customHeight="1">
      <c r="A58" s="89" t="s">
        <v>735</v>
      </c>
      <c r="B58" s="312">
        <v>1181502</v>
      </c>
      <c r="C58" s="314"/>
      <c r="D58" s="314">
        <f>16402+1620+277479</f>
        <v>295501</v>
      </c>
      <c r="E58" s="313">
        <f t="shared" si="0"/>
        <v>25.01062207258219</v>
      </c>
      <c r="F58" s="306">
        <f>D58-'[8]Janvāris'!D58</f>
        <v>9230</v>
      </c>
      <c r="G58" s="89" t="s">
        <v>735</v>
      </c>
      <c r="H58" s="312">
        <f t="shared" si="4"/>
        <v>1182</v>
      </c>
      <c r="I58" s="312"/>
      <c r="J58" s="314">
        <f>ROUND(D58/1000,0)</f>
        <v>296</v>
      </c>
      <c r="K58" s="308">
        <f t="shared" si="2"/>
        <v>25.042301184433164</v>
      </c>
      <c r="L58" s="306">
        <f>J58-'[8]Janvāris'!J58</f>
        <v>10</v>
      </c>
    </row>
    <row r="59" spans="1:12" ht="12.75" customHeight="1">
      <c r="A59" s="89" t="s">
        <v>740</v>
      </c>
      <c r="B59" s="312"/>
      <c r="C59" s="314"/>
      <c r="D59" s="314">
        <v>220</v>
      </c>
      <c r="E59" s="313"/>
      <c r="F59" s="306"/>
      <c r="G59" s="89" t="s">
        <v>741</v>
      </c>
      <c r="H59" s="312"/>
      <c r="I59" s="312"/>
      <c r="J59" s="314">
        <f>ROUND(D59/1000,0)</f>
        <v>0</v>
      </c>
      <c r="K59" s="308"/>
      <c r="L59" s="306"/>
    </row>
    <row r="60" spans="1:12" ht="12.75" customHeight="1">
      <c r="A60" s="189" t="s">
        <v>717</v>
      </c>
      <c r="B60" s="306">
        <f>B61+B63</f>
        <v>1238299</v>
      </c>
      <c r="C60" s="306">
        <f>C61+C63</f>
        <v>314969</v>
      </c>
      <c r="D60" s="306">
        <f>D61+D63</f>
        <v>254504</v>
      </c>
      <c r="E60" s="313">
        <f t="shared" si="0"/>
        <v>20.55270980595155</v>
      </c>
      <c r="F60" s="306">
        <f>D60-'[8]Janvāris'!D59</f>
        <v>1771</v>
      </c>
      <c r="G60" s="189" t="s">
        <v>717</v>
      </c>
      <c r="H60" s="312">
        <f t="shared" si="4"/>
        <v>1238</v>
      </c>
      <c r="I60" s="312">
        <f>ROUND(C60/1000,0)</f>
        <v>315</v>
      </c>
      <c r="J60" s="314">
        <f>J61+J63</f>
        <v>255</v>
      </c>
      <c r="K60" s="308">
        <f t="shared" si="2"/>
        <v>20.59773828756058</v>
      </c>
      <c r="L60" s="306">
        <f>J60-'[8]Janvāris'!J59</f>
        <v>2</v>
      </c>
    </row>
    <row r="61" spans="1:12" ht="12.75" customHeight="1">
      <c r="A61" s="189" t="s">
        <v>736</v>
      </c>
      <c r="B61" s="312">
        <v>1235299</v>
      </c>
      <c r="C61" s="314">
        <v>314969</v>
      </c>
      <c r="D61" s="314">
        <f>'[6]Februāris'!$O$8</f>
        <v>254504</v>
      </c>
      <c r="E61" s="313">
        <f t="shared" si="0"/>
        <v>20.602623332488733</v>
      </c>
      <c r="F61" s="306">
        <f>D61-'[8]Janvāris'!D60</f>
        <v>1771</v>
      </c>
      <c r="G61" s="189" t="s">
        <v>736</v>
      </c>
      <c r="H61" s="312">
        <f t="shared" si="4"/>
        <v>1235</v>
      </c>
      <c r="I61" s="312">
        <f>ROUND(C61/1000,0)</f>
        <v>315</v>
      </c>
      <c r="J61" s="314">
        <f>ROUND(D61/1000,0)</f>
        <v>255</v>
      </c>
      <c r="K61" s="308">
        <f t="shared" si="2"/>
        <v>20.647773279352226</v>
      </c>
      <c r="L61" s="306">
        <f>J61-'[8]Janvāris'!J60</f>
        <v>2</v>
      </c>
    </row>
    <row r="62" spans="1:12" ht="12.75" customHeight="1">
      <c r="A62" s="265" t="s">
        <v>737</v>
      </c>
      <c r="B62" s="312">
        <f>115807+13080</f>
        <v>128887</v>
      </c>
      <c r="C62" s="314"/>
      <c r="D62" s="314">
        <f>'[6]Februāris'!$O$15</f>
        <v>6600</v>
      </c>
      <c r="E62" s="313">
        <f t="shared" si="0"/>
        <v>5.120764700861995</v>
      </c>
      <c r="F62" s="306">
        <f>D62-'[8]Janvāris'!D61</f>
        <v>0</v>
      </c>
      <c r="G62" s="265" t="s">
        <v>737</v>
      </c>
      <c r="H62" s="312">
        <f t="shared" si="4"/>
        <v>129</v>
      </c>
      <c r="I62" s="312"/>
      <c r="J62" s="314">
        <f>ROUND(D62/1000,0)</f>
        <v>7</v>
      </c>
      <c r="K62" s="308">
        <f t="shared" si="2"/>
        <v>5.426356589147287</v>
      </c>
      <c r="L62" s="306">
        <f>J62-'[8]Janvāris'!J61</f>
        <v>0</v>
      </c>
    </row>
    <row r="63" spans="1:12" ht="12.75" customHeight="1">
      <c r="A63" s="189" t="s">
        <v>738</v>
      </c>
      <c r="B63" s="312">
        <v>3000</v>
      </c>
      <c r="C63" s="314"/>
      <c r="D63" s="314"/>
      <c r="E63" s="313"/>
      <c r="F63" s="306">
        <f>D63-'[8]Janvāris'!D62</f>
        <v>0</v>
      </c>
      <c r="G63" s="189" t="s">
        <v>738</v>
      </c>
      <c r="H63" s="312">
        <f t="shared" si="4"/>
        <v>3</v>
      </c>
      <c r="I63" s="312"/>
      <c r="J63" s="314"/>
      <c r="K63" s="308"/>
      <c r="L63" s="306">
        <f>J63-'[8]Janvāris'!J62</f>
        <v>0</v>
      </c>
    </row>
    <row r="64" spans="1:12" ht="12.75" customHeight="1">
      <c r="A64" s="189" t="s">
        <v>712</v>
      </c>
      <c r="B64" s="312">
        <v>6699203</v>
      </c>
      <c r="C64" s="314">
        <f>538100+848100-18034-1434</f>
        <v>1366732</v>
      </c>
      <c r="D64" s="314">
        <f>'[6]Februāris'!$O$33</f>
        <v>1124535</v>
      </c>
      <c r="E64" s="313">
        <f t="shared" si="0"/>
        <v>16.78610127204684</v>
      </c>
      <c r="F64" s="306">
        <f>D64-'[8]Janvāris'!D63</f>
        <v>656144</v>
      </c>
      <c r="G64" s="189" t="s">
        <v>712</v>
      </c>
      <c r="H64" s="312">
        <f t="shared" si="4"/>
        <v>6699</v>
      </c>
      <c r="I64" s="312">
        <f>ROUND(C64/1000,0)</f>
        <v>1367</v>
      </c>
      <c r="J64" s="314">
        <f>ROUND(D64/1000,0)</f>
        <v>1125</v>
      </c>
      <c r="K64" s="308">
        <f t="shared" si="2"/>
        <v>16.7935512763099</v>
      </c>
      <c r="L64" s="306">
        <f>J64-'[8]Janvāris'!J63</f>
        <v>657</v>
      </c>
    </row>
    <row r="65" spans="1:12" ht="12.75" customHeight="1">
      <c r="A65" s="189" t="s">
        <v>713</v>
      </c>
      <c r="B65" s="312">
        <f>B57-B60-B64</f>
        <v>-6756000</v>
      </c>
      <c r="C65" s="314">
        <f>C57-C60</f>
        <v>-19468</v>
      </c>
      <c r="D65" s="312">
        <f>D57-D60-D64</f>
        <v>-1083318</v>
      </c>
      <c r="E65" s="313">
        <f t="shared" si="0"/>
        <v>16.034902309058616</v>
      </c>
      <c r="F65" s="306">
        <f>D65-'[8]Janvāris'!D64</f>
        <v>-648465</v>
      </c>
      <c r="G65" s="189" t="s">
        <v>713</v>
      </c>
      <c r="H65" s="312">
        <f t="shared" si="4"/>
        <v>-6756</v>
      </c>
      <c r="I65" s="312"/>
      <c r="J65" s="314">
        <f>J57-J60-J64</f>
        <v>-1084</v>
      </c>
      <c r="K65" s="308"/>
      <c r="L65" s="306">
        <f>J65-'[8]Janvāris'!J64</f>
        <v>-649</v>
      </c>
    </row>
    <row r="66" spans="1:12" ht="12.75" customHeight="1">
      <c r="A66" s="189" t="s">
        <v>742</v>
      </c>
      <c r="B66" s="312">
        <v>6756000</v>
      </c>
      <c r="C66" s="314">
        <f>538100+848100</f>
        <v>1386200</v>
      </c>
      <c r="D66" s="314">
        <f>618020+517048</f>
        <v>1135068</v>
      </c>
      <c r="E66" s="313">
        <f t="shared" si="0"/>
        <v>16.80088809946714</v>
      </c>
      <c r="F66" s="306">
        <f>D66-'[8]Janvāris'!D65</f>
        <v>660506</v>
      </c>
      <c r="G66" s="189" t="s">
        <v>742</v>
      </c>
      <c r="H66" s="312">
        <f t="shared" si="4"/>
        <v>6756</v>
      </c>
      <c r="I66" s="312">
        <f>ROUND(C66/1000,0)</f>
        <v>1386</v>
      </c>
      <c r="J66" s="314">
        <f>ROUND(D66/1000,0)</f>
        <v>1135</v>
      </c>
      <c r="K66" s="308">
        <f t="shared" si="2"/>
        <v>16.799881586737715</v>
      </c>
      <c r="L66" s="306">
        <f>J66-'[8]Janvāris'!J65</f>
        <v>660</v>
      </c>
    </row>
    <row r="67" spans="1:12" ht="12.75" customHeight="1">
      <c r="A67" s="95" t="s">
        <v>509</v>
      </c>
      <c r="B67" s="306"/>
      <c r="C67" s="306"/>
      <c r="D67" s="306"/>
      <c r="E67" s="313"/>
      <c r="F67" s="306"/>
      <c r="G67" s="95" t="s">
        <v>509</v>
      </c>
      <c r="H67" s="312"/>
      <c r="I67" s="312"/>
      <c r="J67" s="314"/>
      <c r="K67" s="308"/>
      <c r="L67" s="306"/>
    </row>
    <row r="68" spans="1:12" ht="12.75" customHeight="1">
      <c r="A68" s="16" t="s">
        <v>743</v>
      </c>
      <c r="B68" s="306"/>
      <c r="C68" s="306"/>
      <c r="D68" s="306"/>
      <c r="E68" s="313"/>
      <c r="F68" s="306"/>
      <c r="G68" s="16" t="s">
        <v>743</v>
      </c>
      <c r="H68" s="312"/>
      <c r="I68" s="312"/>
      <c r="J68" s="314"/>
      <c r="K68" s="308"/>
      <c r="L68" s="306"/>
    </row>
    <row r="69" spans="1:12" ht="12.75" customHeight="1">
      <c r="A69" s="189" t="s">
        <v>607</v>
      </c>
      <c r="B69" s="306">
        <f>SUM(B70:B71)</f>
        <v>500000</v>
      </c>
      <c r="C69" s="307">
        <v>100000</v>
      </c>
      <c r="D69" s="306">
        <f>SUM(D70:D71)</f>
        <v>168326</v>
      </c>
      <c r="E69" s="313">
        <f t="shared" si="0"/>
        <v>33.6652</v>
      </c>
      <c r="F69" s="306">
        <f>D69-'[8]Janvāris'!D68</f>
        <v>138249</v>
      </c>
      <c r="G69" s="189" t="s">
        <v>607</v>
      </c>
      <c r="H69" s="312">
        <f t="shared" si="4"/>
        <v>500</v>
      </c>
      <c r="I69" s="312">
        <f>ROUND(C69/1000,0)</f>
        <v>100</v>
      </c>
      <c r="J69" s="314">
        <f>SUM(J70:J71)</f>
        <v>168</v>
      </c>
      <c r="K69" s="308">
        <f t="shared" si="2"/>
        <v>33.6</v>
      </c>
      <c r="L69" s="306">
        <f>J69-'[8]Janvāris'!J68</f>
        <v>138</v>
      </c>
    </row>
    <row r="70" spans="1:12" ht="12.75" customHeight="1">
      <c r="A70" s="89" t="s">
        <v>744</v>
      </c>
      <c r="B70" s="312">
        <v>300000</v>
      </c>
      <c r="C70" s="314"/>
      <c r="D70" s="314">
        <f>57556+1643</f>
        <v>59199</v>
      </c>
      <c r="E70" s="313">
        <f t="shared" si="0"/>
        <v>19.733</v>
      </c>
      <c r="F70" s="306">
        <f>D70-'[8]Janvāris'!D69</f>
        <v>31904</v>
      </c>
      <c r="G70" s="89" t="s">
        <v>744</v>
      </c>
      <c r="H70" s="312">
        <f t="shared" si="4"/>
        <v>300</v>
      </c>
      <c r="I70" s="312"/>
      <c r="J70" s="314">
        <f>ROUND(D70/1000,0)</f>
        <v>59</v>
      </c>
      <c r="K70" s="308">
        <f t="shared" si="2"/>
        <v>19.666666666666664</v>
      </c>
      <c r="L70" s="306">
        <f>J70-'[8]Janvāris'!J69</f>
        <v>32</v>
      </c>
    </row>
    <row r="71" spans="1:12" ht="12.75" customHeight="1">
      <c r="A71" s="89" t="s">
        <v>745</v>
      </c>
      <c r="B71" s="312">
        <v>200000</v>
      </c>
      <c r="C71" s="314"/>
      <c r="D71" s="314">
        <v>109127</v>
      </c>
      <c r="E71" s="313">
        <f t="shared" si="0"/>
        <v>54.5635</v>
      </c>
      <c r="F71" s="306">
        <f>D71-'[8]Janvāris'!D70</f>
        <v>106345</v>
      </c>
      <c r="G71" s="89" t="s">
        <v>745</v>
      </c>
      <c r="H71" s="312">
        <f t="shared" si="4"/>
        <v>200</v>
      </c>
      <c r="I71" s="312"/>
      <c r="J71" s="314">
        <f>ROUND(D71/1000,0)</f>
        <v>109</v>
      </c>
      <c r="K71" s="308">
        <f t="shared" si="2"/>
        <v>54.50000000000001</v>
      </c>
      <c r="L71" s="306">
        <f>J71-'[8]Janvāris'!J70</f>
        <v>106</v>
      </c>
    </row>
    <row r="72" spans="1:12" ht="12.75" customHeight="1">
      <c r="A72" s="189" t="s">
        <v>717</v>
      </c>
      <c r="B72" s="306">
        <f>SUM(B73:B74)</f>
        <v>500000</v>
      </c>
      <c r="C72" s="306">
        <f>SUM(C73:C74)</f>
        <v>100000</v>
      </c>
      <c r="D72" s="306">
        <f>SUM(D73:D74)</f>
        <v>33649</v>
      </c>
      <c r="E72" s="313">
        <f t="shared" si="0"/>
        <v>6.7298</v>
      </c>
      <c r="F72" s="306">
        <f>D72-'[8]Janvāris'!D71</f>
        <v>27150</v>
      </c>
      <c r="G72" s="189" t="s">
        <v>717</v>
      </c>
      <c r="H72" s="312">
        <f t="shared" si="4"/>
        <v>500</v>
      </c>
      <c r="I72" s="312">
        <f>ROUND(C72/1000,0)</f>
        <v>100</v>
      </c>
      <c r="J72" s="314">
        <f>SUM(J73:J74)</f>
        <v>34</v>
      </c>
      <c r="K72" s="308">
        <f t="shared" si="2"/>
        <v>6.800000000000001</v>
      </c>
      <c r="L72" s="306">
        <f>J72-'[8]Janvāris'!J71</f>
        <v>27</v>
      </c>
    </row>
    <row r="73" spans="1:12" ht="12.75" customHeight="1">
      <c r="A73" s="189" t="s">
        <v>718</v>
      </c>
      <c r="B73" s="312">
        <v>413000</v>
      </c>
      <c r="C73" s="314">
        <v>100000</v>
      </c>
      <c r="D73" s="314">
        <f>'[6]Februāris'!$L$8</f>
        <v>33649</v>
      </c>
      <c r="E73" s="313">
        <f t="shared" si="0"/>
        <v>8.147457627118644</v>
      </c>
      <c r="F73" s="306">
        <f>D73-'[8]Janvāris'!D72</f>
        <v>27150</v>
      </c>
      <c r="G73" s="189" t="s">
        <v>718</v>
      </c>
      <c r="H73" s="312">
        <f t="shared" si="4"/>
        <v>413</v>
      </c>
      <c r="I73" s="312">
        <f>ROUND(C73/1000,0)</f>
        <v>100</v>
      </c>
      <c r="J73" s="314">
        <f>ROUND(D73/1000,0)</f>
        <v>34</v>
      </c>
      <c r="K73" s="308">
        <f t="shared" si="2"/>
        <v>8.232445520581114</v>
      </c>
      <c r="L73" s="306">
        <f>J73-'[8]Janvāris'!J72</f>
        <v>27</v>
      </c>
    </row>
    <row r="74" spans="1:12" ht="12.75" customHeight="1">
      <c r="A74" s="189" t="s">
        <v>711</v>
      </c>
      <c r="B74" s="312">
        <v>87000</v>
      </c>
      <c r="C74" s="314"/>
      <c r="D74" s="314"/>
      <c r="E74" s="313"/>
      <c r="F74" s="306">
        <f>D74-'[8]Janvāris'!D73</f>
        <v>0</v>
      </c>
      <c r="G74" s="189" t="s">
        <v>711</v>
      </c>
      <c r="H74" s="312">
        <f t="shared" si="4"/>
        <v>87</v>
      </c>
      <c r="I74" s="312"/>
      <c r="J74" s="314"/>
      <c r="K74" s="308"/>
      <c r="L74" s="306">
        <f>J74-'[8]Janvāris'!J73</f>
        <v>0</v>
      </c>
    </row>
    <row r="75" spans="1:12" ht="12.75" customHeight="1">
      <c r="A75" s="57" t="s">
        <v>510</v>
      </c>
      <c r="B75" s="312"/>
      <c r="C75" s="312"/>
      <c r="D75" s="312"/>
      <c r="E75" s="313"/>
      <c r="F75" s="306"/>
      <c r="G75" s="57" t="s">
        <v>510</v>
      </c>
      <c r="H75" s="312"/>
      <c r="I75" s="312"/>
      <c r="J75" s="314"/>
      <c r="K75" s="308"/>
      <c r="L75" s="306"/>
    </row>
    <row r="76" spans="1:12" ht="12.75" customHeight="1">
      <c r="A76" s="16" t="s">
        <v>746</v>
      </c>
      <c r="B76" s="306"/>
      <c r="C76" s="306"/>
      <c r="D76" s="306"/>
      <c r="E76" s="313"/>
      <c r="F76" s="306"/>
      <c r="G76" s="16" t="s">
        <v>746</v>
      </c>
      <c r="H76" s="312"/>
      <c r="I76" s="312"/>
      <c r="J76" s="314"/>
      <c r="K76" s="308"/>
      <c r="L76" s="306"/>
    </row>
    <row r="77" spans="1:12" ht="12.75" customHeight="1">
      <c r="A77" s="189" t="s">
        <v>607</v>
      </c>
      <c r="B77" s="306">
        <f>SUM(B78:B81)</f>
        <v>59956437</v>
      </c>
      <c r="C77" s="307">
        <v>9252000</v>
      </c>
      <c r="D77" s="306">
        <f>SUM(D78:D81)</f>
        <v>8247341</v>
      </c>
      <c r="E77" s="313">
        <f aca="true" t="shared" si="5" ref="E77:E140">D77/B77*100</f>
        <v>13.755555554443639</v>
      </c>
      <c r="F77" s="306">
        <f>D77-'[8]Janvāris'!D76</f>
        <v>3461175</v>
      </c>
      <c r="G77" s="189" t="s">
        <v>607</v>
      </c>
      <c r="H77" s="312">
        <f t="shared" si="4"/>
        <v>59956</v>
      </c>
      <c r="I77" s="312">
        <f>ROUND(C77/1000,0)</f>
        <v>9252</v>
      </c>
      <c r="J77" s="314">
        <f>SUM(J78:J81)</f>
        <v>8247</v>
      </c>
      <c r="K77" s="308">
        <f aca="true" t="shared" si="6" ref="K77:K139">J77/H77*100</f>
        <v>13.75508706384682</v>
      </c>
      <c r="L77" s="306">
        <f>J77-'[8]Janvāris'!J76</f>
        <v>3461</v>
      </c>
    </row>
    <row r="78" spans="1:12" ht="12.75" customHeight="1">
      <c r="A78" s="189" t="s">
        <v>747</v>
      </c>
      <c r="B78" s="312">
        <v>8300000</v>
      </c>
      <c r="C78" s="314"/>
      <c r="D78" s="314">
        <v>1488630</v>
      </c>
      <c r="E78" s="313">
        <f>D78/B78*100</f>
        <v>17.935301204819275</v>
      </c>
      <c r="F78" s="306">
        <f>D78-'[8]Janvāris'!D77</f>
        <v>664628</v>
      </c>
      <c r="G78" s="189" t="s">
        <v>747</v>
      </c>
      <c r="H78" s="312">
        <f t="shared" si="4"/>
        <v>8300</v>
      </c>
      <c r="I78" s="312"/>
      <c r="J78" s="314">
        <f>ROUND(D78/1000,0)</f>
        <v>1489</v>
      </c>
      <c r="K78" s="308">
        <f t="shared" si="6"/>
        <v>17.93975903614458</v>
      </c>
      <c r="L78" s="306">
        <f>J78-'[8]Janvāris'!J77</f>
        <v>665</v>
      </c>
    </row>
    <row r="79" spans="1:12" ht="12.75" customHeight="1">
      <c r="A79" s="189" t="s">
        <v>748</v>
      </c>
      <c r="B79" s="312">
        <v>49067000</v>
      </c>
      <c r="C79" s="314"/>
      <c r="D79" s="314">
        <v>6237869</v>
      </c>
      <c r="E79" s="313">
        <f t="shared" si="5"/>
        <v>12.712961868465566</v>
      </c>
      <c r="F79" s="306">
        <f>D79-'[8]Janvāris'!D78</f>
        <v>2765788</v>
      </c>
      <c r="G79" s="189" t="s">
        <v>748</v>
      </c>
      <c r="H79" s="312">
        <f t="shared" si="4"/>
        <v>49067</v>
      </c>
      <c r="I79" s="312"/>
      <c r="J79" s="314">
        <f>ROUND(D79/1000,0)</f>
        <v>6238</v>
      </c>
      <c r="K79" s="308">
        <f t="shared" si="6"/>
        <v>12.713228850347482</v>
      </c>
      <c r="L79" s="306">
        <f>J79-'[8]Janvāris'!J78</f>
        <v>2766</v>
      </c>
    </row>
    <row r="80" spans="1:12" ht="12.75" customHeight="1">
      <c r="A80" s="319" t="s">
        <v>749</v>
      </c>
      <c r="B80" s="312">
        <v>50000</v>
      </c>
      <c r="C80" s="314"/>
      <c r="D80" s="314">
        <v>1002</v>
      </c>
      <c r="E80" s="313">
        <f>D80/B80*100</f>
        <v>2.004</v>
      </c>
      <c r="F80" s="306">
        <f>D80-'[8]Janvāris'!D79</f>
        <v>772</v>
      </c>
      <c r="G80" s="320" t="s">
        <v>749</v>
      </c>
      <c r="H80" s="312">
        <f t="shared" si="4"/>
        <v>50</v>
      </c>
      <c r="I80" s="312"/>
      <c r="J80" s="314"/>
      <c r="K80" s="308"/>
      <c r="L80" s="306">
        <f>J80-'[8]Janvāris'!J79</f>
        <v>0</v>
      </c>
    </row>
    <row r="81" spans="1:12" ht="12.75" customHeight="1">
      <c r="A81" s="189" t="s">
        <v>750</v>
      </c>
      <c r="B81" s="312">
        <v>2539437</v>
      </c>
      <c r="C81" s="314"/>
      <c r="D81" s="314">
        <v>519840</v>
      </c>
      <c r="E81" s="313">
        <f t="shared" si="5"/>
        <v>20.47067913084672</v>
      </c>
      <c r="F81" s="306">
        <f>D81-'[8]Janvāris'!D80</f>
        <v>29987</v>
      </c>
      <c r="G81" s="189" t="s">
        <v>750</v>
      </c>
      <c r="H81" s="312">
        <f t="shared" si="4"/>
        <v>2539</v>
      </c>
      <c r="I81" s="312"/>
      <c r="J81" s="314">
        <f>ROUND(D81/1000,0)</f>
        <v>520</v>
      </c>
      <c r="K81" s="308">
        <f t="shared" si="6"/>
        <v>20.480504135486413</v>
      </c>
      <c r="L81" s="306">
        <f>J81-'[8]Janvāris'!J80</f>
        <v>30</v>
      </c>
    </row>
    <row r="82" spans="1:12" ht="12.75" customHeight="1">
      <c r="A82" s="189" t="s">
        <v>717</v>
      </c>
      <c r="B82" s="306">
        <f>B83+B85</f>
        <v>69956437</v>
      </c>
      <c r="C82" s="306">
        <f>C83+C85</f>
        <v>12362067</v>
      </c>
      <c r="D82" s="306">
        <f>D83+D85</f>
        <v>11595629</v>
      </c>
      <c r="E82" s="313">
        <f t="shared" si="5"/>
        <v>16.575499692758793</v>
      </c>
      <c r="F82" s="306">
        <f>D82-'[8]Janvāris'!D81</f>
        <v>5029321</v>
      </c>
      <c r="G82" s="189" t="s">
        <v>717</v>
      </c>
      <c r="H82" s="312">
        <f t="shared" si="4"/>
        <v>69956</v>
      </c>
      <c r="I82" s="312">
        <f>ROUND(C82/1000,0)</f>
        <v>12362</v>
      </c>
      <c r="J82" s="314">
        <f>J83+J85</f>
        <v>11596</v>
      </c>
      <c r="K82" s="308">
        <f t="shared" si="6"/>
        <v>16.576133569672365</v>
      </c>
      <c r="L82" s="306">
        <f>J82-'[8]Janvāris'!J81</f>
        <v>5030</v>
      </c>
    </row>
    <row r="83" spans="1:12" ht="13.5" customHeight="1">
      <c r="A83" s="189" t="s">
        <v>718</v>
      </c>
      <c r="B83" s="312">
        <v>48836071</v>
      </c>
      <c r="C83" s="314">
        <v>8421000</v>
      </c>
      <c r="D83" s="314">
        <f>'[6]Februāris'!$I$8</f>
        <v>8045983</v>
      </c>
      <c r="E83" s="313">
        <f t="shared" si="5"/>
        <v>16.475492059957077</v>
      </c>
      <c r="F83" s="306">
        <f>D83-'[8]Janvāris'!D82</f>
        <v>4721690</v>
      </c>
      <c r="G83" s="189" t="s">
        <v>718</v>
      </c>
      <c r="H83" s="312">
        <f t="shared" si="4"/>
        <v>48836</v>
      </c>
      <c r="I83" s="312">
        <f>ROUND(C83/1000,0)</f>
        <v>8421</v>
      </c>
      <c r="J83" s="314">
        <f>ROUND(D83/1000,0)</f>
        <v>8046</v>
      </c>
      <c r="K83" s="308">
        <f t="shared" si="6"/>
        <v>16.47555082316324</v>
      </c>
      <c r="L83" s="306">
        <f>J83-'[8]Janvāris'!J82</f>
        <v>4722</v>
      </c>
    </row>
    <row r="84" spans="1:12" ht="12.75" customHeight="1">
      <c r="A84" s="265" t="s">
        <v>751</v>
      </c>
      <c r="B84" s="312">
        <v>3724139</v>
      </c>
      <c r="C84" s="314"/>
      <c r="D84" s="314">
        <f>'[6]Februāris'!$I$15</f>
        <v>502319</v>
      </c>
      <c r="E84" s="313"/>
      <c r="F84" s="306">
        <f>D84-'[8]Janvāris'!D83</f>
        <v>502319</v>
      </c>
      <c r="G84" s="265" t="s">
        <v>751</v>
      </c>
      <c r="H84" s="312">
        <f t="shared" si="4"/>
        <v>3724</v>
      </c>
      <c r="I84" s="317"/>
      <c r="J84" s="314">
        <f>ROUND(D84/1000,0)</f>
        <v>502</v>
      </c>
      <c r="K84" s="308"/>
      <c r="L84" s="306">
        <f>J84-'[8]Janvāris'!J83</f>
        <v>502</v>
      </c>
    </row>
    <row r="85" spans="1:12" ht="12.75" customHeight="1">
      <c r="A85" s="189" t="s">
        <v>711</v>
      </c>
      <c r="B85" s="312">
        <v>21120366</v>
      </c>
      <c r="C85" s="314">
        <v>3941067</v>
      </c>
      <c r="D85" s="314">
        <f>'[6]Februāris'!$I$30</f>
        <v>3549646</v>
      </c>
      <c r="E85" s="313">
        <f t="shared" si="5"/>
        <v>16.806744731601718</v>
      </c>
      <c r="F85" s="306">
        <f>D85-'[8]Janvāris'!D84</f>
        <v>307631</v>
      </c>
      <c r="G85" s="189" t="s">
        <v>711</v>
      </c>
      <c r="H85" s="312">
        <f t="shared" si="4"/>
        <v>21120</v>
      </c>
      <c r="I85" s="312">
        <f>ROUND(C85/1000,0)</f>
        <v>3941</v>
      </c>
      <c r="J85" s="314">
        <f>ROUND(D85/1000,0)</f>
        <v>3550</v>
      </c>
      <c r="K85" s="308">
        <f t="shared" si="6"/>
        <v>16.80871212121212</v>
      </c>
      <c r="L85" s="306">
        <f>J85-'[8]Janvāris'!J84</f>
        <v>308</v>
      </c>
    </row>
    <row r="86" spans="1:12" ht="12.75" customHeight="1">
      <c r="A86" s="189" t="s">
        <v>713</v>
      </c>
      <c r="B86" s="306">
        <f>B77-B82</f>
        <v>-10000000</v>
      </c>
      <c r="C86" s="307">
        <f>C77-C82</f>
        <v>-3110067</v>
      </c>
      <c r="D86" s="306">
        <f>D77-D82</f>
        <v>-3348288</v>
      </c>
      <c r="E86" s="313">
        <f t="shared" si="5"/>
        <v>33.48288</v>
      </c>
      <c r="F86" s="306">
        <f>D86-'[8]Janvāris'!D85</f>
        <v>-1568146</v>
      </c>
      <c r="G86" s="189" t="s">
        <v>713</v>
      </c>
      <c r="H86" s="312">
        <f>ROUND(B86/1000,0)</f>
        <v>-10000</v>
      </c>
      <c r="I86" s="312">
        <f aca="true" t="shared" si="7" ref="I86:I148">ROUND(C86/1000,0)</f>
        <v>-3110</v>
      </c>
      <c r="J86" s="314">
        <f>J77-J82</f>
        <v>-3349</v>
      </c>
      <c r="K86" s="308"/>
      <c r="L86" s="306">
        <f>J86-'[8]Janvāris'!J85</f>
        <v>-1569</v>
      </c>
    </row>
    <row r="87" spans="1:12" ht="12.75" customHeight="1">
      <c r="A87" s="89" t="s">
        <v>714</v>
      </c>
      <c r="B87" s="312">
        <v>10000000</v>
      </c>
      <c r="C87" s="314">
        <f>2365000+745067</f>
        <v>3110067</v>
      </c>
      <c r="D87" s="314">
        <f>'[6]Februāris'!$I$43</f>
        <v>2801067</v>
      </c>
      <c r="E87" s="313">
        <f t="shared" si="5"/>
        <v>28.010669999999998</v>
      </c>
      <c r="F87" s="306">
        <f>D87-'[8]Janvāris'!D86</f>
        <v>1200000</v>
      </c>
      <c r="G87" s="89" t="s">
        <v>714</v>
      </c>
      <c r="H87" s="312">
        <f>ROUND(B87/1000,0)</f>
        <v>10000</v>
      </c>
      <c r="I87" s="312">
        <f t="shared" si="7"/>
        <v>3110</v>
      </c>
      <c r="J87" s="314">
        <f>ROUND(D87/1000,0)</f>
        <v>2801</v>
      </c>
      <c r="K87" s="308">
        <f t="shared" si="6"/>
        <v>28.01</v>
      </c>
      <c r="L87" s="306">
        <f>J87-'[8]Janvāris'!J86</f>
        <v>1200</v>
      </c>
    </row>
    <row r="88" spans="1:12" ht="12.75" customHeight="1">
      <c r="A88" s="16" t="s">
        <v>752</v>
      </c>
      <c r="B88" s="306"/>
      <c r="C88" s="306"/>
      <c r="D88" s="306"/>
      <c r="E88" s="313"/>
      <c r="F88" s="306"/>
      <c r="G88" s="16" t="s">
        <v>752</v>
      </c>
      <c r="H88" s="312"/>
      <c r="I88" s="312"/>
      <c r="J88" s="314"/>
      <c r="K88" s="308"/>
      <c r="L88" s="306"/>
    </row>
    <row r="89" spans="1:12" ht="12.75" customHeight="1">
      <c r="A89" s="189" t="s">
        <v>607</v>
      </c>
      <c r="B89" s="306">
        <f>B90</f>
        <v>700000</v>
      </c>
      <c r="C89" s="307">
        <v>47000</v>
      </c>
      <c r="D89" s="306">
        <f>D90</f>
        <v>105621</v>
      </c>
      <c r="E89" s="313">
        <f t="shared" si="5"/>
        <v>15.088714285714286</v>
      </c>
      <c r="F89" s="306">
        <f>D89-'[8]Janvāris'!D88</f>
        <v>39066</v>
      </c>
      <c r="G89" s="189" t="s">
        <v>607</v>
      </c>
      <c r="H89" s="312">
        <f>ROUND(B89/1000,0)</f>
        <v>700</v>
      </c>
      <c r="I89" s="312">
        <f t="shared" si="7"/>
        <v>47</v>
      </c>
      <c r="J89" s="314">
        <f>J90</f>
        <v>106</v>
      </c>
      <c r="K89" s="308">
        <f t="shared" si="6"/>
        <v>15.142857142857144</v>
      </c>
      <c r="L89" s="306">
        <f>J89-'[8]Janvāris'!J88</f>
        <v>39</v>
      </c>
    </row>
    <row r="90" spans="1:12" ht="12.75" customHeight="1">
      <c r="A90" s="189" t="s">
        <v>753</v>
      </c>
      <c r="B90" s="312">
        <v>700000</v>
      </c>
      <c r="C90" s="314"/>
      <c r="D90" s="314">
        <f>'[6]Februāris'!$F$6</f>
        <v>105621</v>
      </c>
      <c r="E90" s="313">
        <f t="shared" si="5"/>
        <v>15.088714285714286</v>
      </c>
      <c r="F90" s="306">
        <f>D90-'[8]Janvāris'!D89</f>
        <v>39066</v>
      </c>
      <c r="G90" s="189" t="s">
        <v>753</v>
      </c>
      <c r="H90" s="312">
        <f>ROUND(B90/1000,0)</f>
        <v>700</v>
      </c>
      <c r="I90" s="312"/>
      <c r="J90" s="314">
        <f>ROUND(D90/1000,0)</f>
        <v>106</v>
      </c>
      <c r="K90" s="308">
        <f t="shared" si="6"/>
        <v>15.142857142857144</v>
      </c>
      <c r="L90" s="306">
        <f>J90-'[8]Janvāris'!J89</f>
        <v>39</v>
      </c>
    </row>
    <row r="91" spans="1:12" ht="12.75" customHeight="1">
      <c r="A91" s="189" t="s">
        <v>717</v>
      </c>
      <c r="B91" s="306">
        <f>SUM(B92:B93)</f>
        <v>700000</v>
      </c>
      <c r="C91" s="306">
        <f>SUM(C92:C93)</f>
        <v>47000</v>
      </c>
      <c r="D91" s="306">
        <f>SUM(D92:D93)</f>
        <v>6196</v>
      </c>
      <c r="E91" s="313">
        <f t="shared" si="5"/>
        <v>0.8851428571428571</v>
      </c>
      <c r="F91" s="306">
        <f>D91-'[8]Janvāris'!D90</f>
        <v>1</v>
      </c>
      <c r="G91" s="189" t="s">
        <v>717</v>
      </c>
      <c r="H91" s="312">
        <f>ROUND(B91/1000,0)</f>
        <v>700</v>
      </c>
      <c r="I91" s="312">
        <f t="shared" si="7"/>
        <v>47</v>
      </c>
      <c r="J91" s="314">
        <f>SUM(J92:J93)</f>
        <v>6</v>
      </c>
      <c r="K91" s="308">
        <f t="shared" si="6"/>
        <v>0.8571428571428572</v>
      </c>
      <c r="L91" s="306">
        <f>J91-'[8]Janvāris'!J90</f>
        <v>0</v>
      </c>
    </row>
    <row r="92" spans="1:12" ht="12.75" customHeight="1">
      <c r="A92" s="189" t="s">
        <v>718</v>
      </c>
      <c r="B92" s="312">
        <v>450000</v>
      </c>
      <c r="C92" s="314">
        <v>45000</v>
      </c>
      <c r="D92" s="314">
        <f>'[6]Februāris'!$F$8</f>
        <v>6196</v>
      </c>
      <c r="E92" s="313">
        <f t="shared" si="5"/>
        <v>1.376888888888889</v>
      </c>
      <c r="F92" s="306">
        <f>D92-'[8]Janvāris'!D91</f>
        <v>1</v>
      </c>
      <c r="G92" s="189" t="s">
        <v>718</v>
      </c>
      <c r="H92" s="312">
        <f>ROUND(B92/1000,0)</f>
        <v>450</v>
      </c>
      <c r="I92" s="312">
        <f t="shared" si="7"/>
        <v>45</v>
      </c>
      <c r="J92" s="314">
        <f>ROUND(D92/1000,0)</f>
        <v>6</v>
      </c>
      <c r="K92" s="308">
        <f t="shared" si="6"/>
        <v>1.3333333333333335</v>
      </c>
      <c r="L92" s="306">
        <f>J92-'[8]Janvāris'!J91</f>
        <v>0</v>
      </c>
    </row>
    <row r="93" spans="1:12" ht="12.75" customHeight="1">
      <c r="A93" s="189" t="s">
        <v>711</v>
      </c>
      <c r="B93" s="312">
        <v>250000</v>
      </c>
      <c r="C93" s="314">
        <v>2000</v>
      </c>
      <c r="D93" s="314"/>
      <c r="E93" s="313"/>
      <c r="F93" s="306">
        <f>D93-'[8]Janvāris'!D92</f>
        <v>0</v>
      </c>
      <c r="G93" s="189" t="s">
        <v>711</v>
      </c>
      <c r="H93" s="312">
        <f>ROUND(B93/1000,0)</f>
        <v>250</v>
      </c>
      <c r="I93" s="312">
        <f t="shared" si="7"/>
        <v>2</v>
      </c>
      <c r="J93" s="314"/>
      <c r="K93" s="308"/>
      <c r="L93" s="306">
        <f>J93-'[8]Janvāris'!J92</f>
        <v>0</v>
      </c>
    </row>
    <row r="94" spans="1:12" ht="12.75" customHeight="1">
      <c r="A94" s="177" t="s">
        <v>754</v>
      </c>
      <c r="B94" s="306"/>
      <c r="C94" s="306"/>
      <c r="D94" s="306"/>
      <c r="E94" s="313"/>
      <c r="F94" s="306"/>
      <c r="G94" s="177" t="s">
        <v>754</v>
      </c>
      <c r="H94" s="312"/>
      <c r="I94" s="312"/>
      <c r="J94" s="314"/>
      <c r="K94" s="308"/>
      <c r="L94" s="306"/>
    </row>
    <row r="95" spans="1:12" ht="12.75" customHeight="1">
      <c r="A95" s="189" t="s">
        <v>607</v>
      </c>
      <c r="B95" s="312">
        <f>B96</f>
        <v>2000000</v>
      </c>
      <c r="C95" s="314">
        <v>62000</v>
      </c>
      <c r="D95" s="312">
        <f>D96</f>
        <v>323011</v>
      </c>
      <c r="E95" s="313">
        <f t="shared" si="5"/>
        <v>16.15055</v>
      </c>
      <c r="F95" s="306">
        <f>D95-'[8]Janvāris'!D94</f>
        <v>149499</v>
      </c>
      <c r="G95" s="189" t="s">
        <v>607</v>
      </c>
      <c r="H95" s="312">
        <f>ROUND(B95/1000,0)</f>
        <v>2000</v>
      </c>
      <c r="I95" s="312">
        <f t="shared" si="7"/>
        <v>62</v>
      </c>
      <c r="J95" s="314">
        <f>J96</f>
        <v>323</v>
      </c>
      <c r="K95" s="308">
        <f t="shared" si="6"/>
        <v>16.150000000000002</v>
      </c>
      <c r="L95" s="306">
        <f>J95-'[8]Janvāris'!J94</f>
        <v>149</v>
      </c>
    </row>
    <row r="96" spans="1:12" ht="12.75" customHeight="1">
      <c r="A96" s="189" t="s">
        <v>755</v>
      </c>
      <c r="B96" s="312">
        <v>2000000</v>
      </c>
      <c r="C96" s="314"/>
      <c r="D96" s="314">
        <f>'[6]Februāris'!$G$6</f>
        <v>323011</v>
      </c>
      <c r="E96" s="313">
        <f t="shared" si="5"/>
        <v>16.15055</v>
      </c>
      <c r="F96" s="306">
        <f>D96-'[8]Janvāris'!D95</f>
        <v>149499</v>
      </c>
      <c r="G96" s="189" t="s">
        <v>755</v>
      </c>
      <c r="H96" s="312">
        <f>ROUND(B96/1000,0)</f>
        <v>2000</v>
      </c>
      <c r="I96" s="312"/>
      <c r="J96" s="314">
        <f>ROUND(D96/1000,0)</f>
        <v>323</v>
      </c>
      <c r="K96" s="308">
        <f t="shared" si="6"/>
        <v>16.150000000000002</v>
      </c>
      <c r="L96" s="306">
        <f>J96-'[8]Janvāris'!J95</f>
        <v>149</v>
      </c>
    </row>
    <row r="97" spans="1:12" ht="12.75" customHeight="1">
      <c r="A97" s="189" t="s">
        <v>717</v>
      </c>
      <c r="B97" s="306">
        <f>SUM(B98:B99)</f>
        <v>2000000</v>
      </c>
      <c r="C97" s="306">
        <f>SUM(C98:C99)</f>
        <v>62000</v>
      </c>
      <c r="D97" s="306">
        <f>SUM(D98:D99)</f>
        <v>7479</v>
      </c>
      <c r="E97" s="313">
        <f t="shared" si="5"/>
        <v>0.37395</v>
      </c>
      <c r="F97" s="306">
        <f>D97-'[8]Janvāris'!D96</f>
        <v>2436</v>
      </c>
      <c r="G97" s="189" t="s">
        <v>717</v>
      </c>
      <c r="H97" s="312">
        <f>ROUND(B97/1000,0)</f>
        <v>2000</v>
      </c>
      <c r="I97" s="312">
        <f t="shared" si="7"/>
        <v>62</v>
      </c>
      <c r="J97" s="314">
        <f>SUM(J98:J99)</f>
        <v>7</v>
      </c>
      <c r="K97" s="308"/>
      <c r="L97" s="306">
        <f>J97-'[8]Janvāris'!J96</f>
        <v>2</v>
      </c>
    </row>
    <row r="98" spans="1:12" ht="12.75" customHeight="1">
      <c r="A98" s="189" t="s">
        <v>718</v>
      </c>
      <c r="B98" s="312">
        <v>1000000</v>
      </c>
      <c r="C98" s="314">
        <v>22000</v>
      </c>
      <c r="D98" s="314"/>
      <c r="E98" s="313"/>
      <c r="F98" s="306">
        <f>D98-'[8]Janvāris'!D97</f>
        <v>0</v>
      </c>
      <c r="G98" s="189" t="s">
        <v>718</v>
      </c>
      <c r="H98" s="312">
        <f>ROUND(B98/1000,0)</f>
        <v>1000</v>
      </c>
      <c r="I98" s="312">
        <f t="shared" si="7"/>
        <v>22</v>
      </c>
      <c r="J98" s="314"/>
      <c r="K98" s="308"/>
      <c r="L98" s="306">
        <f>J98-'[8]Janvāris'!J97</f>
        <v>0</v>
      </c>
    </row>
    <row r="99" spans="1:13" ht="12.75" customHeight="1">
      <c r="A99" s="189" t="s">
        <v>711</v>
      </c>
      <c r="B99" s="312">
        <v>1000000</v>
      </c>
      <c r="C99" s="314">
        <v>40000</v>
      </c>
      <c r="D99" s="314">
        <f>'[6]Februāris'!$G$30</f>
        <v>7479</v>
      </c>
      <c r="E99" s="313">
        <f t="shared" si="5"/>
        <v>0.7479</v>
      </c>
      <c r="F99" s="306">
        <f>D99-'[8]Janvāris'!D98</f>
        <v>2436</v>
      </c>
      <c r="G99" s="189" t="s">
        <v>711</v>
      </c>
      <c r="H99" s="312">
        <f>ROUND(B99/1000,0)</f>
        <v>1000</v>
      </c>
      <c r="I99" s="312">
        <f t="shared" si="7"/>
        <v>40</v>
      </c>
      <c r="J99" s="314">
        <f>ROUND(D99/1000,0)</f>
        <v>7</v>
      </c>
      <c r="K99" s="308">
        <f t="shared" si="6"/>
        <v>0.7000000000000001</v>
      </c>
      <c r="L99" s="321">
        <f>J99-'[8]Janvāris'!J98</f>
        <v>2</v>
      </c>
      <c r="M99" s="322"/>
    </row>
    <row r="100" spans="1:13" ht="12.75" customHeight="1">
      <c r="A100" s="57" t="s">
        <v>511</v>
      </c>
      <c r="B100" s="306"/>
      <c r="C100" s="306"/>
      <c r="D100" s="189"/>
      <c r="E100" s="313"/>
      <c r="F100" s="306"/>
      <c r="G100" s="57" t="s">
        <v>511</v>
      </c>
      <c r="H100" s="189"/>
      <c r="I100" s="189"/>
      <c r="J100" s="323"/>
      <c r="K100" s="308"/>
      <c r="L100" s="321">
        <f>J100-'[8]Janvāris'!J99</f>
        <v>0</v>
      </c>
      <c r="M100" s="103"/>
    </row>
    <row r="101" spans="1:13" ht="12.75" customHeight="1">
      <c r="A101" s="315" t="s">
        <v>756</v>
      </c>
      <c r="B101" s="306"/>
      <c r="C101" s="306"/>
      <c r="D101" s="189"/>
      <c r="E101" s="313"/>
      <c r="F101" s="306"/>
      <c r="G101" s="57" t="s">
        <v>756</v>
      </c>
      <c r="H101" s="189"/>
      <c r="I101" s="189"/>
      <c r="J101" s="323"/>
      <c r="K101" s="308"/>
      <c r="L101" s="321">
        <f>J101-'[8]Janvāris'!J100</f>
        <v>0</v>
      </c>
      <c r="M101" s="103"/>
    </row>
    <row r="102" spans="1:12" ht="12.75" customHeight="1">
      <c r="A102" s="189" t="s">
        <v>607</v>
      </c>
      <c r="B102" s="306">
        <f>SUM(B103:B106)</f>
        <v>138355904</v>
      </c>
      <c r="C102" s="307">
        <v>20689618</v>
      </c>
      <c r="D102" s="306">
        <f>SUM(D103:D106)</f>
        <v>20116746</v>
      </c>
      <c r="E102" s="313">
        <f t="shared" si="5"/>
        <v>14.539853680548392</v>
      </c>
      <c r="F102" s="306">
        <f>D102-'[8]Janvāris'!D101</f>
        <v>9922064</v>
      </c>
      <c r="G102" s="189" t="s">
        <v>607</v>
      </c>
      <c r="H102" s="312">
        <f aca="true" t="shared" si="8" ref="H102:H112">ROUND(B102/1000,0)</f>
        <v>138356</v>
      </c>
      <c r="I102" s="312">
        <f t="shared" si="7"/>
        <v>20690</v>
      </c>
      <c r="J102" s="314">
        <f>SUM(J103:J106)</f>
        <v>20117</v>
      </c>
      <c r="K102" s="308">
        <f t="shared" si="6"/>
        <v>14.540027176269913</v>
      </c>
      <c r="L102" s="306">
        <f>J102-'[8]Janvāris'!J101</f>
        <v>9922</v>
      </c>
    </row>
    <row r="103" spans="1:12" ht="12.75" customHeight="1">
      <c r="A103" s="189" t="s">
        <v>757</v>
      </c>
      <c r="B103" s="306">
        <v>80619197</v>
      </c>
      <c r="C103" s="307"/>
      <c r="D103" s="307">
        <f>1246355+10443588</f>
        <v>11689943</v>
      </c>
      <c r="E103" s="313">
        <f t="shared" si="5"/>
        <v>14.500197763071245</v>
      </c>
      <c r="F103" s="306">
        <f>D103-'[8]Janvāris'!D102</f>
        <v>5860723</v>
      </c>
      <c r="G103" s="189" t="s">
        <v>757</v>
      </c>
      <c r="H103" s="312">
        <f t="shared" si="8"/>
        <v>80619</v>
      </c>
      <c r="I103" s="312"/>
      <c r="J103" s="314">
        <f>ROUND(D103/1000,0)</f>
        <v>11690</v>
      </c>
      <c r="K103" s="308">
        <f t="shared" si="6"/>
        <v>14.500303898584702</v>
      </c>
      <c r="L103" s="306">
        <f>J103-'[8]Janvāris'!J102</f>
        <v>5861</v>
      </c>
    </row>
    <row r="104" spans="1:12" ht="12.75" customHeight="1">
      <c r="A104" s="189" t="s">
        <v>758</v>
      </c>
      <c r="B104" s="306">
        <v>54461193</v>
      </c>
      <c r="C104" s="307"/>
      <c r="D104" s="307">
        <v>8170572</v>
      </c>
      <c r="E104" s="313">
        <f t="shared" si="5"/>
        <v>15.002557876394665</v>
      </c>
      <c r="F104" s="306">
        <f>D104-'[8]Janvāris'!D103</f>
        <v>3927167</v>
      </c>
      <c r="G104" s="189" t="s">
        <v>758</v>
      </c>
      <c r="H104" s="312">
        <f t="shared" si="8"/>
        <v>54461</v>
      </c>
      <c r="I104" s="312"/>
      <c r="J104" s="314">
        <f>ROUND(D104/1000,0)</f>
        <v>8171</v>
      </c>
      <c r="K104" s="308">
        <f t="shared" si="6"/>
        <v>15.003396926240796</v>
      </c>
      <c r="L104" s="306">
        <f>J104-'[8]Janvāris'!J103</f>
        <v>3927</v>
      </c>
    </row>
    <row r="105" spans="1:12" ht="12.75" customHeight="1">
      <c r="A105" s="319" t="s">
        <v>749</v>
      </c>
      <c r="B105" s="306">
        <v>3209846</v>
      </c>
      <c r="C105" s="307"/>
      <c r="D105" s="307">
        <v>256231</v>
      </c>
      <c r="E105" s="313">
        <f t="shared" si="5"/>
        <v>7.982657111898826</v>
      </c>
      <c r="F105" s="306">
        <f>D105-'[8]Janvāris'!D104</f>
        <v>134174</v>
      </c>
      <c r="G105" s="320" t="s">
        <v>749</v>
      </c>
      <c r="H105" s="312">
        <f t="shared" si="8"/>
        <v>3210</v>
      </c>
      <c r="I105" s="312"/>
      <c r="J105" s="314">
        <f>ROUND(D105/1000,0)</f>
        <v>256</v>
      </c>
      <c r="K105" s="308">
        <f t="shared" si="6"/>
        <v>7.975077881619938</v>
      </c>
      <c r="L105" s="306">
        <f>J105-'[8]Janvāris'!J104</f>
        <v>134</v>
      </c>
    </row>
    <row r="106" spans="1:12" ht="12.75" customHeight="1">
      <c r="A106" s="189" t="s">
        <v>750</v>
      </c>
      <c r="B106" s="306">
        <v>65668</v>
      </c>
      <c r="C106" s="307"/>
      <c r="D106" s="307"/>
      <c r="E106" s="313">
        <f t="shared" si="5"/>
        <v>0</v>
      </c>
      <c r="F106" s="306">
        <f>D106-'[8]Janvāris'!D105</f>
        <v>0</v>
      </c>
      <c r="G106" s="189" t="s">
        <v>750</v>
      </c>
      <c r="H106" s="312">
        <f t="shared" si="8"/>
        <v>66</v>
      </c>
      <c r="I106" s="312"/>
      <c r="J106" s="314"/>
      <c r="K106" s="308"/>
      <c r="L106" s="306">
        <f>J106-'[8]Janvāris'!J105</f>
        <v>0</v>
      </c>
    </row>
    <row r="107" spans="1:12" ht="12.75" customHeight="1">
      <c r="A107" s="189" t="s">
        <v>717</v>
      </c>
      <c r="B107" s="306">
        <f>B108+B110</f>
        <v>141458002</v>
      </c>
      <c r="C107" s="306">
        <f>C108+C110</f>
        <v>21152918</v>
      </c>
      <c r="D107" s="306">
        <f>D108+D110</f>
        <v>19857594</v>
      </c>
      <c r="E107" s="313">
        <f t="shared" si="5"/>
        <v>14.037801834639229</v>
      </c>
      <c r="F107" s="306">
        <f>D107-'[8]Janvāris'!D106</f>
        <v>10151856</v>
      </c>
      <c r="G107" s="189" t="s">
        <v>717</v>
      </c>
      <c r="H107" s="312">
        <f t="shared" si="8"/>
        <v>141458</v>
      </c>
      <c r="I107" s="312">
        <f t="shared" si="7"/>
        <v>21153</v>
      </c>
      <c r="J107" s="314">
        <f>SUM(J108,J110)</f>
        <v>19858</v>
      </c>
      <c r="K107" s="308">
        <f t="shared" si="6"/>
        <v>14.038089044097896</v>
      </c>
      <c r="L107" s="306">
        <f>J107-'[8]Janvāris'!J106</f>
        <v>10152</v>
      </c>
    </row>
    <row r="108" spans="1:12" ht="12.75" customHeight="1">
      <c r="A108" s="189" t="s">
        <v>718</v>
      </c>
      <c r="B108" s="306">
        <v>137124381</v>
      </c>
      <c r="C108" s="307">
        <v>20498408</v>
      </c>
      <c r="D108" s="307">
        <f>'[6]Februāris'!$D$8</f>
        <v>19407828</v>
      </c>
      <c r="E108" s="313">
        <f t="shared" si="5"/>
        <v>14.15344802905619</v>
      </c>
      <c r="F108" s="306">
        <f>D108-'[8]Janvāris'!D107</f>
        <v>9966115</v>
      </c>
      <c r="G108" s="189" t="s">
        <v>718</v>
      </c>
      <c r="H108" s="312">
        <f t="shared" si="8"/>
        <v>137124</v>
      </c>
      <c r="I108" s="312">
        <f t="shared" si="7"/>
        <v>20498</v>
      </c>
      <c r="J108" s="314">
        <f>ROUND(D108/1000,0)</f>
        <v>19408</v>
      </c>
      <c r="K108" s="308">
        <f t="shared" si="6"/>
        <v>14.153612788425074</v>
      </c>
      <c r="L108" s="306">
        <f>J108-'[8]Janvāris'!J107</f>
        <v>9966</v>
      </c>
    </row>
    <row r="109" spans="1:12" ht="12.75" customHeight="1">
      <c r="A109" s="265" t="s">
        <v>751</v>
      </c>
      <c r="B109" s="306">
        <v>1288396</v>
      </c>
      <c r="C109" s="307"/>
      <c r="D109" s="307">
        <f>'[6]Februāris'!$D$15</f>
        <v>0</v>
      </c>
      <c r="E109" s="313">
        <f t="shared" si="5"/>
        <v>0</v>
      </c>
      <c r="F109" s="306">
        <f>D109-'[8]Janvāris'!D108</f>
        <v>0</v>
      </c>
      <c r="G109" s="265" t="s">
        <v>751</v>
      </c>
      <c r="H109" s="312">
        <f t="shared" si="8"/>
        <v>1288</v>
      </c>
      <c r="I109" s="312"/>
      <c r="J109" s="314"/>
      <c r="K109" s="308"/>
      <c r="L109" s="306">
        <f>J109-'[8]Janvāris'!J108</f>
        <v>0</v>
      </c>
    </row>
    <row r="110" spans="1:12" ht="12.75" customHeight="1">
      <c r="A110" s="189" t="s">
        <v>711</v>
      </c>
      <c r="B110" s="306">
        <v>4333621</v>
      </c>
      <c r="C110" s="307">
        <v>654510</v>
      </c>
      <c r="D110" s="307">
        <f>'[6]Februāris'!$D$30</f>
        <v>449766</v>
      </c>
      <c r="E110" s="313">
        <f t="shared" si="5"/>
        <v>10.37852641013139</v>
      </c>
      <c r="F110" s="306">
        <f>D110-'[8]Janvāris'!D109</f>
        <v>185741</v>
      </c>
      <c r="G110" s="189" t="s">
        <v>711</v>
      </c>
      <c r="H110" s="312">
        <f t="shared" si="8"/>
        <v>4334</v>
      </c>
      <c r="I110" s="312">
        <f t="shared" si="7"/>
        <v>655</v>
      </c>
      <c r="J110" s="314">
        <f>ROUND(D110/1000,0)</f>
        <v>450</v>
      </c>
      <c r="K110" s="308">
        <f t="shared" si="6"/>
        <v>10.383017997231194</v>
      </c>
      <c r="L110" s="306">
        <f>J110-'[8]Janvāris'!J109</f>
        <v>186</v>
      </c>
    </row>
    <row r="111" spans="1:12" ht="12.75" customHeight="1">
      <c r="A111" s="189" t="s">
        <v>713</v>
      </c>
      <c r="B111" s="306">
        <f>B102-B107</f>
        <v>-3102098</v>
      </c>
      <c r="C111" s="307"/>
      <c r="D111" s="306">
        <f>D102-D107</f>
        <v>259152</v>
      </c>
      <c r="E111" s="313">
        <f t="shared" si="5"/>
        <v>-8.354088104244289</v>
      </c>
      <c r="F111" s="306">
        <f>D111-'[8]Janvāris'!D110</f>
        <v>-229792</v>
      </c>
      <c r="G111" s="189" t="s">
        <v>713</v>
      </c>
      <c r="H111" s="312">
        <f t="shared" si="8"/>
        <v>-3102</v>
      </c>
      <c r="I111" s="312">
        <f t="shared" si="7"/>
        <v>0</v>
      </c>
      <c r="J111" s="314">
        <f>J102-J107</f>
        <v>259</v>
      </c>
      <c r="K111" s="308"/>
      <c r="L111" s="306">
        <f>J111-'[8]Janvāris'!J110</f>
        <v>-230</v>
      </c>
    </row>
    <row r="112" spans="1:12" ht="12.75" customHeight="1">
      <c r="A112" s="189" t="s">
        <v>742</v>
      </c>
      <c r="B112" s="306">
        <v>3102098</v>
      </c>
      <c r="C112" s="307">
        <f>80000+50000</f>
        <v>130000</v>
      </c>
      <c r="D112" s="307">
        <f>'[6]Februāris'!$D$43</f>
        <v>327798</v>
      </c>
      <c r="E112" s="313">
        <f t="shared" si="5"/>
        <v>10.566977574531816</v>
      </c>
      <c r="F112" s="306">
        <f>D112-'[8]Janvāris'!D111</f>
        <v>68502</v>
      </c>
      <c r="G112" s="189" t="s">
        <v>742</v>
      </c>
      <c r="H112" s="312">
        <f t="shared" si="8"/>
        <v>3102</v>
      </c>
      <c r="I112" s="312">
        <f t="shared" si="7"/>
        <v>130</v>
      </c>
      <c r="J112" s="314">
        <f>ROUND(D112/1000,0)</f>
        <v>328</v>
      </c>
      <c r="K112" s="308">
        <f t="shared" si="6"/>
        <v>10.573823339780787</v>
      </c>
      <c r="L112" s="306">
        <f>J112-'[8]Janvāris'!J111</f>
        <v>69</v>
      </c>
    </row>
    <row r="113" spans="1:12" ht="12.75" customHeight="1">
      <c r="A113" s="16" t="s">
        <v>759</v>
      </c>
      <c r="B113" s="306"/>
      <c r="C113" s="306"/>
      <c r="D113" s="306"/>
      <c r="E113" s="313"/>
      <c r="F113" s="306"/>
      <c r="G113" s="16" t="s">
        <v>759</v>
      </c>
      <c r="H113" s="312"/>
      <c r="I113" s="312"/>
      <c r="J113" s="314"/>
      <c r="K113" s="308"/>
      <c r="L113" s="306"/>
    </row>
    <row r="114" spans="1:12" ht="12.75" customHeight="1">
      <c r="A114" s="189" t="s">
        <v>607</v>
      </c>
      <c r="B114" s="306">
        <f>SUM(B115:B117)</f>
        <v>503125370</v>
      </c>
      <c r="C114" s="307">
        <f>37020270+37889203</f>
        <v>74909473</v>
      </c>
      <c r="D114" s="306">
        <f>SUM(D115:D117)</f>
        <v>76061142</v>
      </c>
      <c r="E114" s="313">
        <f t="shared" si="5"/>
        <v>15.117731391680767</v>
      </c>
      <c r="F114" s="306">
        <f>D114-'[8]Janvāris'!D113</f>
        <v>37090776</v>
      </c>
      <c r="G114" s="189" t="s">
        <v>607</v>
      </c>
      <c r="H114" s="312">
        <f aca="true" t="shared" si="9" ref="H114:H123">ROUND(B114/1000,0)</f>
        <v>503125</v>
      </c>
      <c r="I114" s="312">
        <f t="shared" si="7"/>
        <v>74909</v>
      </c>
      <c r="J114" s="314">
        <f>SUM(J115:J117)</f>
        <v>76061</v>
      </c>
      <c r="K114" s="308">
        <f t="shared" si="6"/>
        <v>15.117714285714284</v>
      </c>
      <c r="L114" s="306">
        <f>J114-'[8]Janvāris'!J113</f>
        <v>37091</v>
      </c>
    </row>
    <row r="115" spans="1:12" ht="12.75" customHeight="1">
      <c r="A115" s="189" t="s">
        <v>760</v>
      </c>
      <c r="B115" s="312">
        <v>495585390</v>
      </c>
      <c r="C115" s="314"/>
      <c r="D115" s="314">
        <v>74701738</v>
      </c>
      <c r="E115" s="313">
        <f t="shared" si="5"/>
        <v>15.073434267301543</v>
      </c>
      <c r="F115" s="306">
        <f>D115-'[8]Janvāris'!D114</f>
        <v>36555989</v>
      </c>
      <c r="G115" s="189" t="s">
        <v>760</v>
      </c>
      <c r="H115" s="312">
        <f t="shared" si="9"/>
        <v>495585</v>
      </c>
      <c r="I115" s="312">
        <f t="shared" si="7"/>
        <v>0</v>
      </c>
      <c r="J115" s="314">
        <f>ROUND(D115/1000,0)</f>
        <v>74702</v>
      </c>
      <c r="K115" s="308">
        <f t="shared" si="6"/>
        <v>15.073498996135882</v>
      </c>
      <c r="L115" s="306">
        <f>J115-'[8]Janvāris'!J114</f>
        <v>36556</v>
      </c>
    </row>
    <row r="116" spans="1:12" ht="12.75" customHeight="1">
      <c r="A116" s="189" t="s">
        <v>761</v>
      </c>
      <c r="B116" s="312">
        <v>6592694</v>
      </c>
      <c r="C116" s="314"/>
      <c r="D116" s="314">
        <v>943078</v>
      </c>
      <c r="E116" s="313">
        <f t="shared" si="5"/>
        <v>14.304895692110083</v>
      </c>
      <c r="F116" s="306">
        <f>D116-'[8]Janvāris'!D115</f>
        <v>529038</v>
      </c>
      <c r="G116" s="189" t="s">
        <v>761</v>
      </c>
      <c r="H116" s="312">
        <f t="shared" si="9"/>
        <v>6593</v>
      </c>
      <c r="I116" s="312">
        <f t="shared" si="7"/>
        <v>0</v>
      </c>
      <c r="J116" s="314">
        <f>ROUND(D116/1000,0)</f>
        <v>943</v>
      </c>
      <c r="K116" s="308">
        <f t="shared" si="6"/>
        <v>14.303048688002425</v>
      </c>
      <c r="L116" s="306">
        <f>J116-'[8]Janvāris'!J115</f>
        <v>529</v>
      </c>
    </row>
    <row r="117" spans="1:12" ht="12.75" customHeight="1">
      <c r="A117" s="189" t="s">
        <v>762</v>
      </c>
      <c r="B117" s="312">
        <f>7539980-B116</f>
        <v>947286</v>
      </c>
      <c r="C117" s="314"/>
      <c r="D117" s="314">
        <f>1359404-943078</f>
        <v>416326</v>
      </c>
      <c r="E117" s="313">
        <f t="shared" si="5"/>
        <v>43.949345815308156</v>
      </c>
      <c r="F117" s="306">
        <f>D117-'[8]Janvāris'!D116</f>
        <v>5749</v>
      </c>
      <c r="G117" s="189" t="s">
        <v>762</v>
      </c>
      <c r="H117" s="312">
        <f t="shared" si="9"/>
        <v>947</v>
      </c>
      <c r="I117" s="312">
        <f t="shared" si="7"/>
        <v>0</v>
      </c>
      <c r="J117" s="314">
        <f>ROUND(D117/1000,0)</f>
        <v>416</v>
      </c>
      <c r="K117" s="308">
        <f t="shared" si="6"/>
        <v>43.92819429778247</v>
      </c>
      <c r="L117" s="306">
        <f>J117-'[8]Janvāris'!J116</f>
        <v>6</v>
      </c>
    </row>
    <row r="118" spans="1:12" ht="12.75" customHeight="1">
      <c r="A118" s="189" t="s">
        <v>763</v>
      </c>
      <c r="B118" s="306">
        <f>B119+B121</f>
        <v>531273828</v>
      </c>
      <c r="C118" s="306">
        <f>C119+C121</f>
        <v>89529030</v>
      </c>
      <c r="D118" s="306">
        <f>D119+D121</f>
        <v>84469158</v>
      </c>
      <c r="E118" s="313">
        <f t="shared" si="5"/>
        <v>15.89936367051757</v>
      </c>
      <c r="F118" s="306">
        <f>D118-'[8]Janvāris'!D117</f>
        <v>41065788</v>
      </c>
      <c r="G118" s="189" t="s">
        <v>764</v>
      </c>
      <c r="H118" s="312">
        <f t="shared" si="9"/>
        <v>531274</v>
      </c>
      <c r="I118" s="312">
        <f>I119+I121</f>
        <v>89529</v>
      </c>
      <c r="J118" s="314">
        <f>J119+J121</f>
        <v>84469</v>
      </c>
      <c r="K118" s="308">
        <f t="shared" si="6"/>
        <v>15.89932878326438</v>
      </c>
      <c r="L118" s="306">
        <f>J118-'[8]Janvāris'!J117</f>
        <v>41066</v>
      </c>
    </row>
    <row r="119" spans="1:12" ht="12.75" customHeight="1">
      <c r="A119" s="189" t="s">
        <v>718</v>
      </c>
      <c r="B119" s="312">
        <v>527848828</v>
      </c>
      <c r="C119" s="314">
        <f>45260560+43818270</f>
        <v>89078830</v>
      </c>
      <c r="D119" s="314">
        <f>'[6]Februāris'!$C$8</f>
        <v>84387393</v>
      </c>
      <c r="E119" s="313">
        <f t="shared" si="5"/>
        <v>15.987038054008904</v>
      </c>
      <c r="F119" s="306">
        <f>D119-'[8]Janvāris'!D118</f>
        <v>41004068</v>
      </c>
      <c r="G119" s="189" t="s">
        <v>718</v>
      </c>
      <c r="H119" s="312">
        <f t="shared" si="9"/>
        <v>527849</v>
      </c>
      <c r="I119" s="312">
        <f t="shared" si="7"/>
        <v>89079</v>
      </c>
      <c r="J119" s="314">
        <f>ROUND(D119/1000,0)</f>
        <v>84387</v>
      </c>
      <c r="K119" s="308">
        <f t="shared" si="6"/>
        <v>15.986958391509692</v>
      </c>
      <c r="L119" s="306">
        <f>J119-'[8]Janvāris'!J118</f>
        <v>41004</v>
      </c>
    </row>
    <row r="120" spans="1:12" ht="12.75" customHeight="1">
      <c r="A120" s="265" t="s">
        <v>751</v>
      </c>
      <c r="B120" s="312">
        <v>10782</v>
      </c>
      <c r="C120" s="314"/>
      <c r="D120" s="314">
        <f>'[6]Februāris'!$C$15</f>
        <v>0</v>
      </c>
      <c r="E120" s="313"/>
      <c r="F120" s="306">
        <f>D120-'[8]Janvāris'!D119</f>
        <v>0</v>
      </c>
      <c r="G120" s="265" t="s">
        <v>751</v>
      </c>
      <c r="H120" s="312">
        <f t="shared" si="9"/>
        <v>11</v>
      </c>
      <c r="I120" s="312"/>
      <c r="J120" s="314"/>
      <c r="K120" s="308"/>
      <c r="L120" s="306">
        <f>J120-'[8]Janvāris'!J119</f>
        <v>0</v>
      </c>
    </row>
    <row r="121" spans="1:12" ht="12.75" customHeight="1">
      <c r="A121" s="189" t="s">
        <v>711</v>
      </c>
      <c r="B121" s="312">
        <v>3425000</v>
      </c>
      <c r="C121" s="314">
        <f>234780+215420</f>
        <v>450200</v>
      </c>
      <c r="D121" s="314">
        <f>'[6]Februāris'!$C$30</f>
        <v>81765</v>
      </c>
      <c r="E121" s="313">
        <f t="shared" si="5"/>
        <v>2.387299270072993</v>
      </c>
      <c r="F121" s="306">
        <f>D121-'[8]Janvāris'!D120</f>
        <v>61720</v>
      </c>
      <c r="G121" s="189" t="s">
        <v>711</v>
      </c>
      <c r="H121" s="312">
        <f t="shared" si="9"/>
        <v>3425</v>
      </c>
      <c r="I121" s="312">
        <f t="shared" si="7"/>
        <v>450</v>
      </c>
      <c r="J121" s="314">
        <f>ROUND(D121/1000,0)</f>
        <v>82</v>
      </c>
      <c r="K121" s="308">
        <f t="shared" si="6"/>
        <v>2.394160583941606</v>
      </c>
      <c r="L121" s="306">
        <f>J121-'[8]Janvāris'!J120</f>
        <v>62</v>
      </c>
    </row>
    <row r="122" spans="1:12" ht="12.75" customHeight="1">
      <c r="A122" s="189" t="s">
        <v>713</v>
      </c>
      <c r="B122" s="312">
        <f>B114-B118</f>
        <v>-28148458</v>
      </c>
      <c r="C122" s="314"/>
      <c r="D122" s="312">
        <f>D114-D118</f>
        <v>-8408016</v>
      </c>
      <c r="E122" s="313">
        <f t="shared" si="5"/>
        <v>29.870254349279097</v>
      </c>
      <c r="F122" s="306">
        <f>D122-'[8]Janvāris'!D121</f>
        <v>-3975012</v>
      </c>
      <c r="G122" s="189" t="s">
        <v>713</v>
      </c>
      <c r="H122" s="312">
        <f t="shared" si="9"/>
        <v>-28148</v>
      </c>
      <c r="I122" s="312"/>
      <c r="J122" s="314">
        <f>J114-J118</f>
        <v>-8408</v>
      </c>
      <c r="K122" s="308"/>
      <c r="L122" s="306">
        <f>J122-'[8]Janvāris'!J121</f>
        <v>-3975</v>
      </c>
    </row>
    <row r="123" spans="1:12" ht="12.75" customHeight="1">
      <c r="A123" s="189" t="s">
        <v>742</v>
      </c>
      <c r="B123" s="312">
        <v>28211768</v>
      </c>
      <c r="C123" s="314">
        <f>7361575+4794702-755060-451127+1694231+1684374+178710+120050</f>
        <v>14627455</v>
      </c>
      <c r="D123" s="314">
        <f>'[6]Februāris'!$C$39+'[6]Februāris'!$C$43</f>
        <v>11031962</v>
      </c>
      <c r="E123" s="313">
        <f t="shared" si="5"/>
        <v>39.104114283089245</v>
      </c>
      <c r="F123" s="306">
        <f>D123-'[8]Janvāris'!D122</f>
        <v>5111269</v>
      </c>
      <c r="G123" s="189" t="s">
        <v>742</v>
      </c>
      <c r="H123" s="312">
        <f t="shared" si="9"/>
        <v>28212</v>
      </c>
      <c r="I123" s="312"/>
      <c r="J123" s="314">
        <f>ROUND(D123/1000,0)</f>
        <v>11032</v>
      </c>
      <c r="K123" s="308">
        <f t="shared" si="6"/>
        <v>39.10392740677725</v>
      </c>
      <c r="L123" s="306">
        <f>J123-'[8]Janvāris'!J122</f>
        <v>5111</v>
      </c>
    </row>
    <row r="124" spans="1:12" ht="12.75" customHeight="1">
      <c r="A124" s="16" t="s">
        <v>765</v>
      </c>
      <c r="B124" s="306"/>
      <c r="C124" s="306"/>
      <c r="D124" s="306"/>
      <c r="E124" s="313"/>
      <c r="F124" s="306"/>
      <c r="G124" s="16" t="s">
        <v>765</v>
      </c>
      <c r="H124" s="312"/>
      <c r="I124" s="312"/>
      <c r="J124" s="314"/>
      <c r="K124" s="308"/>
      <c r="L124" s="306"/>
    </row>
    <row r="125" spans="1:12" ht="12.75" customHeight="1">
      <c r="A125" s="189" t="s">
        <v>607</v>
      </c>
      <c r="B125" s="306">
        <f>SUM(B126:B128)</f>
        <v>404005990</v>
      </c>
      <c r="C125" s="307">
        <f>29912540+30602264</f>
        <v>60514804</v>
      </c>
      <c r="D125" s="306">
        <f>SUM(D126:D128)</f>
        <v>61609881</v>
      </c>
      <c r="E125" s="313">
        <f t="shared" si="5"/>
        <v>15.249744440670298</v>
      </c>
      <c r="F125" s="306">
        <f>D125-'[8]Janvāris'!D124</f>
        <v>30087633</v>
      </c>
      <c r="G125" s="189" t="s">
        <v>607</v>
      </c>
      <c r="H125" s="312">
        <f aca="true" t="shared" si="10" ref="H125:H132">ROUND(B125/1000,0)</f>
        <v>404006</v>
      </c>
      <c r="I125" s="312">
        <f t="shared" si="7"/>
        <v>60515</v>
      </c>
      <c r="J125" s="314">
        <f>SUM(J126:J128)</f>
        <v>61610</v>
      </c>
      <c r="K125" s="308">
        <f t="shared" si="6"/>
        <v>15.249773518215076</v>
      </c>
      <c r="L125" s="306">
        <f>J125-'[8]Janvāris'!J124</f>
        <v>30088</v>
      </c>
    </row>
    <row r="126" spans="1:12" ht="12.75" customHeight="1">
      <c r="A126" s="265" t="s">
        <v>760</v>
      </c>
      <c r="B126" s="324">
        <v>381116067</v>
      </c>
      <c r="C126" s="325"/>
      <c r="D126" s="325">
        <v>57642799</v>
      </c>
      <c r="E126" s="313">
        <f t="shared" si="5"/>
        <v>15.124736003323628</v>
      </c>
      <c r="F126" s="306">
        <f>D126-'[8]Janvāris'!D125</f>
        <v>28206888</v>
      </c>
      <c r="G126" s="265" t="s">
        <v>760</v>
      </c>
      <c r="H126" s="312">
        <f t="shared" si="10"/>
        <v>381116</v>
      </c>
      <c r="I126" s="312"/>
      <c r="J126" s="314">
        <f>ROUND(D126/1000,0)</f>
        <v>57643</v>
      </c>
      <c r="K126" s="308">
        <f t="shared" si="6"/>
        <v>15.124791402092802</v>
      </c>
      <c r="L126" s="306">
        <f>J126-'[8]Janvāris'!J125</f>
        <v>28207</v>
      </c>
    </row>
    <row r="127" spans="1:12" ht="12.75" customHeight="1">
      <c r="A127" s="265" t="s">
        <v>761</v>
      </c>
      <c r="B127" s="324">
        <v>3958763</v>
      </c>
      <c r="C127" s="325"/>
      <c r="D127" s="325">
        <v>44417</v>
      </c>
      <c r="E127" s="313">
        <f t="shared" si="5"/>
        <v>1.1219918949429406</v>
      </c>
      <c r="F127" s="306">
        <f>D127-'[8]Janvāris'!D126</f>
        <v>-194529</v>
      </c>
      <c r="G127" s="265" t="s">
        <v>761</v>
      </c>
      <c r="H127" s="312">
        <f t="shared" si="10"/>
        <v>3959</v>
      </c>
      <c r="I127" s="312"/>
      <c r="J127" s="314">
        <f>ROUND(D127/1000,0)</f>
        <v>44</v>
      </c>
      <c r="K127" s="308">
        <f t="shared" si="6"/>
        <v>1.111391765597373</v>
      </c>
      <c r="L127" s="306">
        <f>J127-'[8]Janvāris'!J126</f>
        <v>-195</v>
      </c>
    </row>
    <row r="128" spans="1:12" ht="12.75" customHeight="1">
      <c r="A128" s="265" t="s">
        <v>762</v>
      </c>
      <c r="B128" s="324">
        <f>22889923-B127</f>
        <v>18931160</v>
      </c>
      <c r="C128" s="325"/>
      <c r="D128" s="325">
        <f>3967082-D127</f>
        <v>3922665</v>
      </c>
      <c r="E128" s="313">
        <f t="shared" si="5"/>
        <v>20.720679556878714</v>
      </c>
      <c r="F128" s="306">
        <f>D128-'[8]Janvāris'!D127</f>
        <v>2075274</v>
      </c>
      <c r="G128" s="265" t="s">
        <v>762</v>
      </c>
      <c r="H128" s="312">
        <f t="shared" si="10"/>
        <v>18931</v>
      </c>
      <c r="I128" s="312"/>
      <c r="J128" s="314">
        <f>ROUND(D128/1000,0)</f>
        <v>3923</v>
      </c>
      <c r="K128" s="308">
        <f t="shared" si="6"/>
        <v>20.72262426707517</v>
      </c>
      <c r="L128" s="306">
        <f>J128-'[8]Janvāris'!J127</f>
        <v>2076</v>
      </c>
    </row>
    <row r="129" spans="1:12" ht="12.75" customHeight="1">
      <c r="A129" s="189" t="s">
        <v>717</v>
      </c>
      <c r="B129" s="306">
        <f>B130</f>
        <v>420523274</v>
      </c>
      <c r="C129" s="306">
        <f>C130</f>
        <v>72671081</v>
      </c>
      <c r="D129" s="306">
        <f>D130</f>
        <v>70139817</v>
      </c>
      <c r="E129" s="313">
        <f t="shared" si="5"/>
        <v>16.67917600203978</v>
      </c>
      <c r="F129" s="306">
        <f>D129-'[8]Janvāris'!D128</f>
        <v>33992790</v>
      </c>
      <c r="G129" s="189" t="s">
        <v>717</v>
      </c>
      <c r="H129" s="312">
        <f t="shared" si="10"/>
        <v>420523</v>
      </c>
      <c r="I129" s="312">
        <f t="shared" si="7"/>
        <v>72671</v>
      </c>
      <c r="J129" s="314">
        <f>J130</f>
        <v>70140</v>
      </c>
      <c r="K129" s="308">
        <f t="shared" si="6"/>
        <v>16.67923038692295</v>
      </c>
      <c r="L129" s="306">
        <f>J129-'[8]Janvāris'!J128</f>
        <v>33993</v>
      </c>
    </row>
    <row r="130" spans="1:12" ht="12.75" customHeight="1">
      <c r="A130" s="265" t="s">
        <v>766</v>
      </c>
      <c r="B130" s="324">
        <v>420523274</v>
      </c>
      <c r="C130" s="325">
        <f>37274115+35396966</f>
        <v>72671081</v>
      </c>
      <c r="D130" s="325">
        <v>70139817</v>
      </c>
      <c r="E130" s="313">
        <f t="shared" si="5"/>
        <v>16.67917600203978</v>
      </c>
      <c r="F130" s="306">
        <f>D130-'[8]Janvāris'!D129</f>
        <v>33992790</v>
      </c>
      <c r="G130" s="265" t="s">
        <v>766</v>
      </c>
      <c r="H130" s="312">
        <f t="shared" si="10"/>
        <v>420523</v>
      </c>
      <c r="I130" s="312">
        <f t="shared" si="7"/>
        <v>72671</v>
      </c>
      <c r="J130" s="314">
        <f>ROUND(D130/1000,0)</f>
        <v>70140</v>
      </c>
      <c r="K130" s="308">
        <f t="shared" si="6"/>
        <v>16.67923038692295</v>
      </c>
      <c r="L130" s="306">
        <f>J130-'[8]Janvāris'!J129</f>
        <v>33993</v>
      </c>
    </row>
    <row r="131" spans="1:12" ht="12.75" customHeight="1">
      <c r="A131" s="189" t="s">
        <v>713</v>
      </c>
      <c r="B131" s="312">
        <f>B125-B129</f>
        <v>-16517284</v>
      </c>
      <c r="C131" s="312">
        <f>C125-C129</f>
        <v>-12156277</v>
      </c>
      <c r="D131" s="312">
        <f>D125-D129</f>
        <v>-8529936</v>
      </c>
      <c r="E131" s="313">
        <f t="shared" si="5"/>
        <v>51.642485532125015</v>
      </c>
      <c r="F131" s="306">
        <f>D131-'[8]Janvāris'!D130</f>
        <v>-3905157</v>
      </c>
      <c r="G131" s="189" t="s">
        <v>713</v>
      </c>
      <c r="H131" s="312">
        <f t="shared" si="10"/>
        <v>-16517</v>
      </c>
      <c r="I131" s="312">
        <f t="shared" si="7"/>
        <v>-12156</v>
      </c>
      <c r="J131" s="314">
        <f>J125-J129</f>
        <v>-8530</v>
      </c>
      <c r="K131" s="308"/>
      <c r="L131" s="306">
        <f>J131-'[8]Janvāris'!J130</f>
        <v>-3905</v>
      </c>
    </row>
    <row r="132" spans="1:12" ht="12.75" customHeight="1">
      <c r="A132" s="189" t="s">
        <v>742</v>
      </c>
      <c r="B132" s="312">
        <v>16517284</v>
      </c>
      <c r="C132" s="314">
        <f>7361575+4794702</f>
        <v>12156277</v>
      </c>
      <c r="D132" s="314">
        <v>8532448</v>
      </c>
      <c r="E132" s="313">
        <f t="shared" si="5"/>
        <v>51.65769384361255</v>
      </c>
      <c r="F132" s="306">
        <f>D132-'[8]Janvāris'!D131</f>
        <v>3905910</v>
      </c>
      <c r="G132" s="189" t="s">
        <v>742</v>
      </c>
      <c r="H132" s="312">
        <f t="shared" si="10"/>
        <v>16517</v>
      </c>
      <c r="I132" s="312">
        <f t="shared" si="7"/>
        <v>12156</v>
      </c>
      <c r="J132" s="314">
        <f>ROUND(D132/1000,0)</f>
        <v>8532</v>
      </c>
      <c r="K132" s="308">
        <f t="shared" si="6"/>
        <v>51.65586970999576</v>
      </c>
      <c r="L132" s="306">
        <f>J132-'[8]Janvāris'!J131</f>
        <v>3905</v>
      </c>
    </row>
    <row r="133" spans="1:12" ht="12.75" customHeight="1">
      <c r="A133" s="16" t="s">
        <v>767</v>
      </c>
      <c r="B133" s="306"/>
      <c r="C133" s="306"/>
      <c r="D133" s="306"/>
      <c r="E133" s="313"/>
      <c r="F133" s="306"/>
      <c r="G133" s="16" t="s">
        <v>767</v>
      </c>
      <c r="H133" s="312"/>
      <c r="I133" s="312"/>
      <c r="J133" s="314"/>
      <c r="K133" s="308"/>
      <c r="L133" s="306"/>
    </row>
    <row r="134" spans="1:12" ht="12.75" customHeight="1">
      <c r="A134" s="189" t="s">
        <v>607</v>
      </c>
      <c r="B134" s="306">
        <f>SUM(B135:B137)</f>
        <v>33701584</v>
      </c>
      <c r="C134" s="307">
        <f>3339472+3396859</f>
        <v>6736331</v>
      </c>
      <c r="D134" s="306">
        <f>SUM(D135:D137)</f>
        <v>6724058</v>
      </c>
      <c r="E134" s="313">
        <f t="shared" si="5"/>
        <v>19.95175657025498</v>
      </c>
      <c r="F134" s="306">
        <f>D134-'[8]Janvāris'!D133</f>
        <v>3309539</v>
      </c>
      <c r="G134" s="189" t="s">
        <v>607</v>
      </c>
      <c r="H134" s="312">
        <f aca="true" t="shared" si="11" ref="H134:H141">ROUND(B134/1000,0)</f>
        <v>33702</v>
      </c>
      <c r="I134" s="312">
        <f t="shared" si="7"/>
        <v>6736</v>
      </c>
      <c r="J134" s="314">
        <f>SUM(J135:J137)</f>
        <v>6724</v>
      </c>
      <c r="K134" s="308">
        <f t="shared" si="6"/>
        <v>19.951338199513383</v>
      </c>
      <c r="L134" s="306">
        <f>SUM(L135:L137)</f>
        <v>3310</v>
      </c>
    </row>
    <row r="135" spans="1:12" ht="12.75" customHeight="1">
      <c r="A135" s="265" t="s">
        <v>760</v>
      </c>
      <c r="B135" s="324">
        <v>30619372</v>
      </c>
      <c r="C135" s="325"/>
      <c r="D135" s="325">
        <v>4563490</v>
      </c>
      <c r="E135" s="313">
        <f t="shared" si="5"/>
        <v>14.903930753380573</v>
      </c>
      <c r="F135" s="306">
        <f>D135-'[8]Janvāris'!D134</f>
        <v>2232785</v>
      </c>
      <c r="G135" s="265" t="s">
        <v>760</v>
      </c>
      <c r="H135" s="312">
        <f t="shared" si="11"/>
        <v>30619</v>
      </c>
      <c r="I135" s="312"/>
      <c r="J135" s="314">
        <f>ROUND(D135/1000,0)+1</f>
        <v>4564</v>
      </c>
      <c r="K135" s="308">
        <f t="shared" si="6"/>
        <v>14.905777458440838</v>
      </c>
      <c r="L135" s="306">
        <f>J135-'[8]Janvāris'!J134</f>
        <v>2233</v>
      </c>
    </row>
    <row r="136" spans="1:12" ht="12.75" customHeight="1">
      <c r="A136" s="265" t="s">
        <v>761</v>
      </c>
      <c r="B136" s="324">
        <v>443931</v>
      </c>
      <c r="C136" s="325"/>
      <c r="D136" s="325">
        <v>53148</v>
      </c>
      <c r="E136" s="313">
        <f t="shared" si="5"/>
        <v>11.97213080411145</v>
      </c>
      <c r="F136" s="306">
        <f>D136-'[8]Janvāris'!D135</f>
        <v>26574</v>
      </c>
      <c r="G136" s="265" t="s">
        <v>761</v>
      </c>
      <c r="H136" s="312">
        <f t="shared" si="11"/>
        <v>444</v>
      </c>
      <c r="I136" s="312"/>
      <c r="J136" s="314">
        <f>ROUND(D136/1000,0)</f>
        <v>53</v>
      </c>
      <c r="K136" s="308">
        <f t="shared" si="6"/>
        <v>11.936936936936938</v>
      </c>
      <c r="L136" s="306">
        <f>J136-'[8]Janvāris'!J135+1</f>
        <v>27</v>
      </c>
    </row>
    <row r="137" spans="1:12" ht="12.75" customHeight="1">
      <c r="A137" s="265" t="s">
        <v>762</v>
      </c>
      <c r="B137" s="324">
        <f>3082212-B136</f>
        <v>2638281</v>
      </c>
      <c r="C137" s="325"/>
      <c r="D137" s="325">
        <f>2160568-D136</f>
        <v>2107420</v>
      </c>
      <c r="E137" s="313">
        <f t="shared" si="5"/>
        <v>79.87852696509583</v>
      </c>
      <c r="F137" s="306">
        <f>D137-'[8]Janvāris'!D136</f>
        <v>1050180</v>
      </c>
      <c r="G137" s="265" t="s">
        <v>762</v>
      </c>
      <c r="H137" s="312">
        <f t="shared" si="11"/>
        <v>2638</v>
      </c>
      <c r="I137" s="312"/>
      <c r="J137" s="314">
        <f>ROUND(D137/1000,0)</f>
        <v>2107</v>
      </c>
      <c r="K137" s="308">
        <f t="shared" si="6"/>
        <v>79.87111448066717</v>
      </c>
      <c r="L137" s="306">
        <f>J137-'[8]Janvāris'!J136</f>
        <v>1050</v>
      </c>
    </row>
    <row r="138" spans="1:12" ht="12.75" customHeight="1">
      <c r="A138" s="189" t="s">
        <v>717</v>
      </c>
      <c r="B138" s="306">
        <f>B139</f>
        <v>34352435</v>
      </c>
      <c r="C138" s="306">
        <f>C139</f>
        <v>5530144</v>
      </c>
      <c r="D138" s="306">
        <f>D139</f>
        <v>4272436</v>
      </c>
      <c r="E138" s="313">
        <f t="shared" si="5"/>
        <v>12.437068871537054</v>
      </c>
      <c r="F138" s="306">
        <f>D138-'[8]Janvāris'!D137</f>
        <v>2262626</v>
      </c>
      <c r="G138" s="189" t="s">
        <v>717</v>
      </c>
      <c r="H138" s="312">
        <f t="shared" si="11"/>
        <v>34352</v>
      </c>
      <c r="I138" s="312">
        <f t="shared" si="7"/>
        <v>5530</v>
      </c>
      <c r="J138" s="314">
        <f>J139</f>
        <v>4272</v>
      </c>
      <c r="K138" s="308">
        <f t="shared" si="6"/>
        <v>12.435957149510946</v>
      </c>
      <c r="L138" s="306">
        <f>J138-'[8]Janvāris'!J137</f>
        <v>2262</v>
      </c>
    </row>
    <row r="139" spans="1:12" ht="12.75" customHeight="1">
      <c r="A139" s="265" t="s">
        <v>766</v>
      </c>
      <c r="B139" s="324">
        <v>34352435</v>
      </c>
      <c r="C139" s="325">
        <f>2584412+2945732</f>
        <v>5530144</v>
      </c>
      <c r="D139" s="325">
        <v>4272436</v>
      </c>
      <c r="E139" s="313">
        <f t="shared" si="5"/>
        <v>12.437068871537054</v>
      </c>
      <c r="F139" s="306">
        <f>D139-'[8]Janvāris'!D138</f>
        <v>2262626</v>
      </c>
      <c r="G139" s="265" t="s">
        <v>766</v>
      </c>
      <c r="H139" s="312">
        <f t="shared" si="11"/>
        <v>34352</v>
      </c>
      <c r="I139" s="312">
        <f t="shared" si="7"/>
        <v>5530</v>
      </c>
      <c r="J139" s="314">
        <f>ROUND(D139/1000,0)</f>
        <v>4272</v>
      </c>
      <c r="K139" s="308">
        <f t="shared" si="6"/>
        <v>12.435957149510946</v>
      </c>
      <c r="L139" s="306">
        <f>J139-'[8]Janvāris'!J138</f>
        <v>2262</v>
      </c>
    </row>
    <row r="140" spans="1:12" ht="12.75" customHeight="1">
      <c r="A140" s="189" t="s">
        <v>713</v>
      </c>
      <c r="B140" s="306">
        <f>B134-B138</f>
        <v>-650851</v>
      </c>
      <c r="C140" s="306">
        <f>C134-C138</f>
        <v>1206187</v>
      </c>
      <c r="D140" s="306">
        <f>D134-D138</f>
        <v>2451622</v>
      </c>
      <c r="E140" s="313">
        <f t="shared" si="5"/>
        <v>-376.6794550519243</v>
      </c>
      <c r="F140" s="306">
        <f>D140-'[8]Janvāris'!D139</f>
        <v>1046913</v>
      </c>
      <c r="G140" s="189" t="s">
        <v>713</v>
      </c>
      <c r="H140" s="312">
        <f t="shared" si="11"/>
        <v>-651</v>
      </c>
      <c r="I140" s="312">
        <f t="shared" si="7"/>
        <v>1206</v>
      </c>
      <c r="J140" s="314">
        <f>J134-J138</f>
        <v>2452</v>
      </c>
      <c r="K140" s="308"/>
      <c r="L140" s="306">
        <f>J140-'[8]Janvāris'!J139</f>
        <v>1047</v>
      </c>
    </row>
    <row r="141" spans="1:12" ht="12.75" customHeight="1">
      <c r="A141" s="189" t="s">
        <v>742</v>
      </c>
      <c r="B141" s="306">
        <v>650851</v>
      </c>
      <c r="C141" s="307">
        <f>-755060-451127</f>
        <v>-1206187</v>
      </c>
      <c r="D141" s="307"/>
      <c r="E141" s="313"/>
      <c r="F141" s="306">
        <f>D141-'[8]Janvāris'!D140</f>
        <v>0</v>
      </c>
      <c r="G141" s="189" t="s">
        <v>742</v>
      </c>
      <c r="H141" s="312">
        <f t="shared" si="11"/>
        <v>651</v>
      </c>
      <c r="I141" s="312">
        <f t="shared" si="7"/>
        <v>-1206</v>
      </c>
      <c r="J141" s="314"/>
      <c r="K141" s="308"/>
      <c r="L141" s="306">
        <f>J141-'[8]Janvāris'!J140</f>
        <v>0</v>
      </c>
    </row>
    <row r="142" spans="1:12" ht="12.75" customHeight="1">
      <c r="A142" s="16" t="s">
        <v>768</v>
      </c>
      <c r="B142" s="306"/>
      <c r="C142" s="306"/>
      <c r="D142" s="306"/>
      <c r="E142" s="313"/>
      <c r="F142" s="306"/>
      <c r="G142" s="16" t="s">
        <v>768</v>
      </c>
      <c r="H142" s="312"/>
      <c r="I142" s="312"/>
      <c r="J142" s="314"/>
      <c r="K142" s="308"/>
      <c r="L142" s="306"/>
    </row>
    <row r="143" spans="1:12" ht="12.75" customHeight="1">
      <c r="A143" s="189" t="s">
        <v>607</v>
      </c>
      <c r="B143" s="306">
        <f>SUM(B144:B145)</f>
        <v>1323732</v>
      </c>
      <c r="C143" s="307">
        <f>97688+99893</f>
        <v>197581</v>
      </c>
      <c r="D143" s="306">
        <f>SUM(D144:D145)</f>
        <v>196280</v>
      </c>
      <c r="E143" s="313">
        <f aca="true" t="shared" si="12" ref="E143:E187">D143/B143*100</f>
        <v>14.827774806380747</v>
      </c>
      <c r="F143" s="306">
        <f>D143-'[8]Janvāris'!D142</f>
        <v>95012</v>
      </c>
      <c r="G143" s="189" t="s">
        <v>607</v>
      </c>
      <c r="H143" s="312">
        <f aca="true" t="shared" si="13" ref="H143:H148">ROUND(B143/1000,0)</f>
        <v>1324</v>
      </c>
      <c r="I143" s="312">
        <f t="shared" si="7"/>
        <v>198</v>
      </c>
      <c r="J143" s="314">
        <f>SUM(J144:J145)</f>
        <v>196</v>
      </c>
      <c r="K143" s="308">
        <f aca="true" t="shared" si="14" ref="K143:K187">J143/H143*100</f>
        <v>14.803625377643503</v>
      </c>
      <c r="L143" s="306">
        <f>J143-'[8]Janvāris'!J142</f>
        <v>95</v>
      </c>
    </row>
    <row r="144" spans="1:12" ht="12.75" customHeight="1">
      <c r="A144" s="265" t="s">
        <v>760</v>
      </c>
      <c r="B144" s="324">
        <v>1302952</v>
      </c>
      <c r="C144" s="325"/>
      <c r="D144" s="325">
        <v>194191</v>
      </c>
      <c r="E144" s="313">
        <f t="shared" si="12"/>
        <v>14.90392585452112</v>
      </c>
      <c r="F144" s="306">
        <f>D144-'[8]Janvāris'!D143</f>
        <v>95012</v>
      </c>
      <c r="G144" s="265" t="s">
        <v>760</v>
      </c>
      <c r="H144" s="312">
        <f t="shared" si="13"/>
        <v>1303</v>
      </c>
      <c r="I144" s="312"/>
      <c r="J144" s="314">
        <f>ROUND(D144/1000,0)</f>
        <v>194</v>
      </c>
      <c r="K144" s="308">
        <f t="shared" si="14"/>
        <v>14.88871834228703</v>
      </c>
      <c r="L144" s="306">
        <f>J144-'[8]Janvāris'!J143</f>
        <v>95</v>
      </c>
    </row>
    <row r="145" spans="1:12" ht="12.75" customHeight="1">
      <c r="A145" s="265" t="s">
        <v>762</v>
      </c>
      <c r="B145" s="324">
        <v>20780</v>
      </c>
      <c r="C145" s="325"/>
      <c r="D145" s="325">
        <v>2089</v>
      </c>
      <c r="E145" s="313">
        <f t="shared" si="12"/>
        <v>10.05293551491819</v>
      </c>
      <c r="F145" s="306">
        <f>D145-'[8]Janvāris'!D144</f>
        <v>0</v>
      </c>
      <c r="G145" s="265" t="s">
        <v>762</v>
      </c>
      <c r="H145" s="312">
        <f t="shared" si="13"/>
        <v>21</v>
      </c>
      <c r="I145" s="312"/>
      <c r="J145" s="314">
        <f>ROUND(D145/1000,0)</f>
        <v>2</v>
      </c>
      <c r="K145" s="308">
        <f t="shared" si="14"/>
        <v>9.523809523809524</v>
      </c>
      <c r="L145" s="306">
        <f>J145-'[8]Janvāris'!J144</f>
        <v>0</v>
      </c>
    </row>
    <row r="146" spans="1:12" ht="12.75" customHeight="1">
      <c r="A146" s="189" t="s">
        <v>717</v>
      </c>
      <c r="B146" s="306">
        <f>B147</f>
        <v>1260422</v>
      </c>
      <c r="C146" s="306">
        <f>C147</f>
        <v>189683</v>
      </c>
      <c r="D146" s="306">
        <f>D147</f>
        <v>140601</v>
      </c>
      <c r="E146" s="313">
        <f t="shared" si="12"/>
        <v>11.155073459523873</v>
      </c>
      <c r="F146" s="306">
        <f>D146-'[8]Janvāris'!D145</f>
        <v>68068</v>
      </c>
      <c r="G146" s="189" t="s">
        <v>717</v>
      </c>
      <c r="H146" s="312">
        <f t="shared" si="13"/>
        <v>1260</v>
      </c>
      <c r="I146" s="312">
        <f t="shared" si="7"/>
        <v>190</v>
      </c>
      <c r="J146" s="314">
        <f>J147</f>
        <v>141</v>
      </c>
      <c r="K146" s="308">
        <f t="shared" si="14"/>
        <v>11.190476190476192</v>
      </c>
      <c r="L146" s="306">
        <f>J146-'[8]Janvāris'!J145</f>
        <v>68</v>
      </c>
    </row>
    <row r="147" spans="1:12" ht="12.75" customHeight="1">
      <c r="A147" s="265" t="s">
        <v>766</v>
      </c>
      <c r="B147" s="324">
        <v>1260422</v>
      </c>
      <c r="C147" s="325">
        <f>93302+96381</f>
        <v>189683</v>
      </c>
      <c r="D147" s="325">
        <v>140601</v>
      </c>
      <c r="E147" s="313">
        <f t="shared" si="12"/>
        <v>11.155073459523873</v>
      </c>
      <c r="F147" s="306">
        <f>D147-'[8]Janvāris'!D146</f>
        <v>68068</v>
      </c>
      <c r="G147" s="265" t="s">
        <v>766</v>
      </c>
      <c r="H147" s="312">
        <f t="shared" si="13"/>
        <v>1260</v>
      </c>
      <c r="I147" s="312">
        <f t="shared" si="7"/>
        <v>190</v>
      </c>
      <c r="J147" s="314">
        <f>ROUND(D147/1000,0)</f>
        <v>141</v>
      </c>
      <c r="K147" s="308">
        <f t="shared" si="14"/>
        <v>11.190476190476192</v>
      </c>
      <c r="L147" s="306">
        <f>J147-'[8]Janvāris'!J146</f>
        <v>68</v>
      </c>
    </row>
    <row r="148" spans="1:12" ht="12.75" customHeight="1">
      <c r="A148" s="189" t="s">
        <v>713</v>
      </c>
      <c r="B148" s="306">
        <f>B143-B146</f>
        <v>63310</v>
      </c>
      <c r="C148" s="306">
        <f>C143-C146</f>
        <v>7898</v>
      </c>
      <c r="D148" s="306">
        <f>D143-D146</f>
        <v>55679</v>
      </c>
      <c r="E148" s="313">
        <f t="shared" si="12"/>
        <v>87.94661190965093</v>
      </c>
      <c r="F148" s="306">
        <f>D148-'[8]Janvāris'!D147</f>
        <v>26944</v>
      </c>
      <c r="G148" s="189" t="s">
        <v>713</v>
      </c>
      <c r="H148" s="312">
        <f t="shared" si="13"/>
        <v>63</v>
      </c>
      <c r="I148" s="312">
        <f t="shared" si="7"/>
        <v>8</v>
      </c>
      <c r="J148" s="314">
        <f>J143-J146</f>
        <v>55</v>
      </c>
      <c r="K148" s="308"/>
      <c r="L148" s="306">
        <f>J148-'[8]Janvāris'!J147</f>
        <v>27</v>
      </c>
    </row>
    <row r="149" spans="1:12" ht="25.5">
      <c r="A149" s="177" t="s">
        <v>769</v>
      </c>
      <c r="B149" s="306"/>
      <c r="C149" s="306"/>
      <c r="D149" s="306"/>
      <c r="E149" s="313"/>
      <c r="F149" s="306"/>
      <c r="G149" s="177" t="s">
        <v>769</v>
      </c>
      <c r="H149" s="312"/>
      <c r="I149" s="312"/>
      <c r="J149" s="314"/>
      <c r="K149" s="308"/>
      <c r="L149" s="306"/>
    </row>
    <row r="150" spans="1:12" ht="12.75" customHeight="1">
      <c r="A150" s="189" t="s">
        <v>607</v>
      </c>
      <c r="B150" s="306">
        <f>SUM(B151:B152)</f>
        <v>82726409</v>
      </c>
      <c r="C150" s="307">
        <f>6094293+6233924</f>
        <v>12328217</v>
      </c>
      <c r="D150" s="306">
        <f>SUM(D151:D152)</f>
        <v>12398383</v>
      </c>
      <c r="E150" s="313">
        <f t="shared" si="12"/>
        <v>14.987212850010206</v>
      </c>
      <c r="F150" s="306">
        <f>D150-'[8]Janvāris'!D149</f>
        <v>6039678</v>
      </c>
      <c r="G150" s="189" t="s">
        <v>607</v>
      </c>
      <c r="H150" s="312">
        <f aca="true" t="shared" si="15" ref="H150:I191">ROUND(B150/1000,0)</f>
        <v>82726</v>
      </c>
      <c r="I150" s="312">
        <f t="shared" si="15"/>
        <v>12328</v>
      </c>
      <c r="J150" s="314">
        <f>SUM(J151:J152)</f>
        <v>12398</v>
      </c>
      <c r="K150" s="308">
        <f t="shared" si="14"/>
        <v>14.98682397311607</v>
      </c>
      <c r="L150" s="306">
        <f>J150-'[8]Janvāris'!J149</f>
        <v>6039</v>
      </c>
    </row>
    <row r="151" spans="1:12" ht="12.75" customHeight="1">
      <c r="A151" s="265" t="s">
        <v>760</v>
      </c>
      <c r="B151" s="324">
        <v>82546999</v>
      </c>
      <c r="C151" s="325"/>
      <c r="D151" s="325">
        <v>12301258</v>
      </c>
      <c r="E151" s="313">
        <f t="shared" si="12"/>
        <v>14.902126242045455</v>
      </c>
      <c r="F151" s="306">
        <f>D151-'[8]Janvāris'!D150</f>
        <v>6018653</v>
      </c>
      <c r="G151" s="265" t="s">
        <v>760</v>
      </c>
      <c r="H151" s="312">
        <f t="shared" si="15"/>
        <v>82547</v>
      </c>
      <c r="I151" s="312"/>
      <c r="J151" s="314">
        <f>ROUND(D151/1000,0)</f>
        <v>12301</v>
      </c>
      <c r="K151" s="308">
        <f t="shared" si="14"/>
        <v>14.90181351230208</v>
      </c>
      <c r="L151" s="306">
        <f>J151-'[8]Janvāris'!J150</f>
        <v>6018</v>
      </c>
    </row>
    <row r="152" spans="1:12" ht="12.75" customHeight="1">
      <c r="A152" s="265" t="s">
        <v>762</v>
      </c>
      <c r="B152" s="324">
        <v>179410</v>
      </c>
      <c r="C152" s="325"/>
      <c r="D152" s="325">
        <v>97125</v>
      </c>
      <c r="E152" s="313">
        <f t="shared" si="12"/>
        <v>54.135778384705425</v>
      </c>
      <c r="F152" s="306">
        <f>D152-'[8]Janvāris'!D151</f>
        <v>21025</v>
      </c>
      <c r="G152" s="265" t="s">
        <v>762</v>
      </c>
      <c r="H152" s="312">
        <f t="shared" si="15"/>
        <v>179</v>
      </c>
      <c r="I152" s="312"/>
      <c r="J152" s="314">
        <f>ROUND(D152/1000,0)</f>
        <v>97</v>
      </c>
      <c r="K152" s="308">
        <f t="shared" si="14"/>
        <v>54.18994413407822</v>
      </c>
      <c r="L152" s="306">
        <f>J152-'[8]Janvāris'!J151</f>
        <v>21</v>
      </c>
    </row>
    <row r="153" spans="1:12" ht="12.75" customHeight="1">
      <c r="A153" s="189" t="s">
        <v>717</v>
      </c>
      <c r="B153" s="306">
        <f>B154</f>
        <v>91505042</v>
      </c>
      <c r="C153" s="306">
        <f>C154</f>
        <v>15706822</v>
      </c>
      <c r="D153" s="306">
        <f>D154</f>
        <v>14882486</v>
      </c>
      <c r="E153" s="313">
        <f t="shared" si="12"/>
        <v>16.264115806864503</v>
      </c>
      <c r="F153" s="306">
        <f>D153-'[8]Janvāris'!D152</f>
        <v>7229684</v>
      </c>
      <c r="G153" s="189" t="s">
        <v>717</v>
      </c>
      <c r="H153" s="312">
        <f t="shared" si="15"/>
        <v>91505</v>
      </c>
      <c r="I153" s="312">
        <f t="shared" si="15"/>
        <v>15707</v>
      </c>
      <c r="J153" s="314">
        <f>J154</f>
        <v>14882</v>
      </c>
      <c r="K153" s="308">
        <f t="shared" si="14"/>
        <v>16.26359215343424</v>
      </c>
      <c r="L153" s="306">
        <f>J153-'[8]Janvāris'!J152+1</f>
        <v>7230</v>
      </c>
    </row>
    <row r="154" spans="1:12" ht="12.75" customHeight="1">
      <c r="A154" s="265" t="s">
        <v>766</v>
      </c>
      <c r="B154" s="324">
        <v>91505042</v>
      </c>
      <c r="C154" s="325">
        <f>7788524+7918298</f>
        <v>15706822</v>
      </c>
      <c r="D154" s="325">
        <v>14882486</v>
      </c>
      <c r="E154" s="313">
        <f t="shared" si="12"/>
        <v>16.264115806864503</v>
      </c>
      <c r="F154" s="306">
        <f>D154-'[8]Janvāris'!D153</f>
        <v>7229684</v>
      </c>
      <c r="G154" s="265" t="s">
        <v>766</v>
      </c>
      <c r="H154" s="312">
        <f t="shared" si="15"/>
        <v>91505</v>
      </c>
      <c r="I154" s="312">
        <f t="shared" si="15"/>
        <v>15707</v>
      </c>
      <c r="J154" s="314">
        <f>ROUND(D154/1000,0)</f>
        <v>14882</v>
      </c>
      <c r="K154" s="308">
        <f t="shared" si="14"/>
        <v>16.26359215343424</v>
      </c>
      <c r="L154" s="306">
        <f>J154-'[8]Janvāris'!J153+1</f>
        <v>7230</v>
      </c>
    </row>
    <row r="155" spans="1:12" ht="12.75" customHeight="1">
      <c r="A155" s="189" t="s">
        <v>713</v>
      </c>
      <c r="B155" s="306">
        <f>B150-B153</f>
        <v>-8778633</v>
      </c>
      <c r="C155" s="306">
        <f>C150-C153</f>
        <v>-3378605</v>
      </c>
      <c r="D155" s="306">
        <f>D150-D153</f>
        <v>-2484103</v>
      </c>
      <c r="E155" s="313">
        <f t="shared" si="12"/>
        <v>28.297150592808702</v>
      </c>
      <c r="F155" s="306">
        <f>D155-'[8]Janvāris'!D154</f>
        <v>-1190006</v>
      </c>
      <c r="G155" s="189" t="s">
        <v>713</v>
      </c>
      <c r="H155" s="312">
        <f t="shared" si="15"/>
        <v>-8779</v>
      </c>
      <c r="I155" s="312">
        <f t="shared" si="15"/>
        <v>-3379</v>
      </c>
      <c r="J155" s="314">
        <f>J150-J153</f>
        <v>-2484</v>
      </c>
      <c r="K155" s="308"/>
      <c r="L155" s="306">
        <f>J155-'[8]Janvāris'!J154</f>
        <v>-1190</v>
      </c>
    </row>
    <row r="156" spans="1:12" ht="12.75" customHeight="1">
      <c r="A156" s="189" t="s">
        <v>742</v>
      </c>
      <c r="B156" s="312">
        <v>8778633</v>
      </c>
      <c r="C156" s="314">
        <f>1694231+1684374</f>
        <v>3378605</v>
      </c>
      <c r="D156" s="314">
        <v>2485190</v>
      </c>
      <c r="E156" s="313">
        <f t="shared" si="12"/>
        <v>28.309532930696612</v>
      </c>
      <c r="F156" s="306">
        <f>D156-'[8]Janvāris'!D155</f>
        <v>1191035</v>
      </c>
      <c r="G156" s="189" t="s">
        <v>742</v>
      </c>
      <c r="H156" s="312">
        <f t="shared" si="15"/>
        <v>8779</v>
      </c>
      <c r="I156" s="312">
        <f t="shared" si="15"/>
        <v>3379</v>
      </c>
      <c r="J156" s="314">
        <f>ROUND(D156/1000,0)</f>
        <v>2485</v>
      </c>
      <c r="K156" s="308">
        <f t="shared" si="14"/>
        <v>28.30618521471694</v>
      </c>
      <c r="L156" s="306">
        <f>J156-'[8]Janvāris'!J155</f>
        <v>1191</v>
      </c>
    </row>
    <row r="157" spans="1:12" ht="25.5">
      <c r="A157" s="197" t="s">
        <v>770</v>
      </c>
      <c r="B157" s="306"/>
      <c r="C157" s="306"/>
      <c r="D157" s="306"/>
      <c r="E157" s="313"/>
      <c r="F157" s="306"/>
      <c r="G157" s="177" t="s">
        <v>770</v>
      </c>
      <c r="H157" s="312"/>
      <c r="I157" s="312"/>
      <c r="J157" s="314"/>
      <c r="K157" s="308"/>
      <c r="L157" s="306"/>
    </row>
    <row r="158" spans="1:12" ht="12.75" customHeight="1">
      <c r="A158" s="189" t="s">
        <v>607</v>
      </c>
      <c r="B158" s="306">
        <f>SUM(B159:B160)</f>
        <v>9843296</v>
      </c>
      <c r="C158" s="307">
        <f>591852+775370</f>
        <v>1367222</v>
      </c>
      <c r="D158" s="306">
        <f>SUM(D159:D160)</f>
        <v>1367222</v>
      </c>
      <c r="E158" s="313">
        <f t="shared" si="12"/>
        <v>13.889879975162792</v>
      </c>
      <c r="F158" s="306">
        <f>D158-'[8]Janvāris'!D157</f>
        <v>775370</v>
      </c>
      <c r="G158" s="189" t="s">
        <v>607</v>
      </c>
      <c r="H158" s="312">
        <f t="shared" si="15"/>
        <v>9843</v>
      </c>
      <c r="I158" s="312">
        <f t="shared" si="15"/>
        <v>1367</v>
      </c>
      <c r="J158" s="314">
        <f>SUM(J159:J160)</f>
        <v>1367</v>
      </c>
      <c r="K158" s="308">
        <f t="shared" si="14"/>
        <v>13.888042263537539</v>
      </c>
      <c r="L158" s="306">
        <f>J158-'[8]Janvāris'!J157</f>
        <v>775</v>
      </c>
    </row>
    <row r="159" spans="1:12" ht="12.75" customHeight="1">
      <c r="A159" s="265" t="s">
        <v>761</v>
      </c>
      <c r="B159" s="324">
        <f>300000+1890000</f>
        <v>2190000</v>
      </c>
      <c r="C159" s="325"/>
      <c r="D159" s="325">
        <v>329040</v>
      </c>
      <c r="E159" s="313">
        <f>D159/B159*100</f>
        <v>15.024657534246574</v>
      </c>
      <c r="F159" s="306">
        <f>D159-'[8]Janvāris'!D158</f>
        <v>180520</v>
      </c>
      <c r="G159" s="265" t="s">
        <v>761</v>
      </c>
      <c r="H159" s="312">
        <f t="shared" si="15"/>
        <v>2190</v>
      </c>
      <c r="I159" s="312"/>
      <c r="J159" s="314">
        <f>ROUND(D159/1000,0)</f>
        <v>329</v>
      </c>
      <c r="K159" s="308">
        <f t="shared" si="14"/>
        <v>15.02283105022831</v>
      </c>
      <c r="L159" s="306">
        <f>J159-'[8]Janvāris'!J158</f>
        <v>180</v>
      </c>
    </row>
    <row r="160" spans="1:12" ht="12.75" customHeight="1">
      <c r="A160" s="265" t="s">
        <v>762</v>
      </c>
      <c r="B160" s="324">
        <f>9843296-B159</f>
        <v>7653296</v>
      </c>
      <c r="C160" s="325"/>
      <c r="D160" s="325">
        <f>1367222-D159</f>
        <v>1038182</v>
      </c>
      <c r="E160" s="313">
        <f>D160/B160*100</f>
        <v>13.565161990337234</v>
      </c>
      <c r="F160" s="306">
        <f>D160-'[8]Janvāris'!D159</f>
        <v>594850</v>
      </c>
      <c r="G160" s="265" t="s">
        <v>762</v>
      </c>
      <c r="H160" s="312">
        <f t="shared" si="15"/>
        <v>7653</v>
      </c>
      <c r="I160" s="312"/>
      <c r="J160" s="314">
        <f>ROUND(D160/1000,0)</f>
        <v>1038</v>
      </c>
      <c r="K160" s="308">
        <f t="shared" si="14"/>
        <v>13.563308506468053</v>
      </c>
      <c r="L160" s="306">
        <f>J160-'[8]Janvāris'!J159</f>
        <v>595</v>
      </c>
    </row>
    <row r="161" spans="1:12" ht="12.75" customHeight="1">
      <c r="A161" s="189" t="s">
        <v>717</v>
      </c>
      <c r="B161" s="306">
        <f>B162+B164</f>
        <v>12108296</v>
      </c>
      <c r="C161" s="306">
        <f>C162+C164</f>
        <v>1665982</v>
      </c>
      <c r="D161" s="306">
        <f>D162+D164</f>
        <v>1264625</v>
      </c>
      <c r="E161" s="313">
        <f t="shared" si="12"/>
        <v>10.444285471712949</v>
      </c>
      <c r="F161" s="306">
        <f>D161-'[8]Janvāris'!D160</f>
        <v>727755</v>
      </c>
      <c r="G161" s="189" t="s">
        <v>717</v>
      </c>
      <c r="H161" s="312">
        <f t="shared" si="15"/>
        <v>12108</v>
      </c>
      <c r="I161" s="312">
        <f t="shared" si="15"/>
        <v>1666</v>
      </c>
      <c r="J161" s="314">
        <f>J162+J164</f>
        <v>1265</v>
      </c>
      <c r="K161" s="308">
        <f t="shared" si="14"/>
        <v>10.44763792533862</v>
      </c>
      <c r="L161" s="306">
        <f>J161-'[8]Janvāris'!J160</f>
        <v>728</v>
      </c>
    </row>
    <row r="162" spans="1:12" ht="12.75" customHeight="1">
      <c r="A162" s="96" t="s">
        <v>766</v>
      </c>
      <c r="B162" s="324">
        <v>8683296</v>
      </c>
      <c r="C162" s="325">
        <f>535782+680000</f>
        <v>1215782</v>
      </c>
      <c r="D162" s="325">
        <v>1186736</v>
      </c>
      <c r="E162" s="313">
        <f t="shared" si="12"/>
        <v>13.666884095624518</v>
      </c>
      <c r="F162" s="306">
        <f>D162-'[8]Janvāris'!D161</f>
        <v>669911</v>
      </c>
      <c r="G162" s="96" t="s">
        <v>766</v>
      </c>
      <c r="H162" s="312">
        <f t="shared" si="15"/>
        <v>8683</v>
      </c>
      <c r="I162" s="312">
        <f t="shared" si="15"/>
        <v>1216</v>
      </c>
      <c r="J162" s="314">
        <f>ROUND(D162/1000,0)</f>
        <v>1187</v>
      </c>
      <c r="K162" s="308">
        <f t="shared" si="14"/>
        <v>13.670390418058275</v>
      </c>
      <c r="L162" s="306">
        <f>J162-'[8]Janvāris'!J161</f>
        <v>670</v>
      </c>
    </row>
    <row r="163" spans="1:12" ht="12.75" customHeight="1">
      <c r="A163" s="265" t="s">
        <v>751</v>
      </c>
      <c r="B163" s="324">
        <v>10782</v>
      </c>
      <c r="C163" s="325"/>
      <c r="D163" s="325"/>
      <c r="E163" s="313">
        <f t="shared" si="12"/>
        <v>0</v>
      </c>
      <c r="F163" s="306">
        <f>D163-'[8]Janvāris'!D162</f>
        <v>0</v>
      </c>
      <c r="G163" s="265" t="s">
        <v>751</v>
      </c>
      <c r="H163" s="312">
        <f t="shared" si="15"/>
        <v>11</v>
      </c>
      <c r="I163" s="312"/>
      <c r="J163" s="314"/>
      <c r="K163" s="308"/>
      <c r="L163" s="306">
        <f>J163-'[8]Janvāris'!J162</f>
        <v>0</v>
      </c>
    </row>
    <row r="164" spans="1:12" ht="12.75" customHeight="1">
      <c r="A164" s="96" t="s">
        <v>771</v>
      </c>
      <c r="B164" s="324">
        <v>3425000</v>
      </c>
      <c r="C164" s="325">
        <f>234780+215420</f>
        <v>450200</v>
      </c>
      <c r="D164" s="325">
        <v>77889</v>
      </c>
      <c r="E164" s="313">
        <f t="shared" si="12"/>
        <v>2.2741313868613138</v>
      </c>
      <c r="F164" s="306">
        <f>D164-'[8]Janvāris'!D163</f>
        <v>57844</v>
      </c>
      <c r="G164" s="96" t="s">
        <v>771</v>
      </c>
      <c r="H164" s="312">
        <f t="shared" si="15"/>
        <v>3425</v>
      </c>
      <c r="I164" s="312">
        <f t="shared" si="15"/>
        <v>450</v>
      </c>
      <c r="J164" s="314">
        <f>ROUND(D164/1000,0)</f>
        <v>78</v>
      </c>
      <c r="K164" s="308">
        <f t="shared" si="14"/>
        <v>2.2773722627737225</v>
      </c>
      <c r="L164" s="306">
        <f>J164-'[8]Janvāris'!J163</f>
        <v>58</v>
      </c>
    </row>
    <row r="165" spans="1:12" ht="12.75" customHeight="1">
      <c r="A165" s="189" t="s">
        <v>713</v>
      </c>
      <c r="B165" s="306">
        <f>B158-B161</f>
        <v>-2265000</v>
      </c>
      <c r="C165" s="306">
        <f>C158-C161</f>
        <v>-298760</v>
      </c>
      <c r="D165" s="306">
        <f>D158-D161</f>
        <v>102597</v>
      </c>
      <c r="E165" s="313">
        <f t="shared" si="12"/>
        <v>-4.529668874172185</v>
      </c>
      <c r="F165" s="306">
        <f>D165-'[8]Janvāris'!D164</f>
        <v>47615</v>
      </c>
      <c r="G165" s="189" t="s">
        <v>713</v>
      </c>
      <c r="H165" s="312">
        <f t="shared" si="15"/>
        <v>-2265</v>
      </c>
      <c r="I165" s="312">
        <f t="shared" si="15"/>
        <v>-299</v>
      </c>
      <c r="J165" s="314">
        <f>J158-J161</f>
        <v>102</v>
      </c>
      <c r="K165" s="308"/>
      <c r="L165" s="306">
        <f>J165-'[8]Janvāris'!J164</f>
        <v>47</v>
      </c>
    </row>
    <row r="166" spans="1:12" ht="12.75" customHeight="1">
      <c r="A166" s="189" t="s">
        <v>742</v>
      </c>
      <c r="B166" s="312">
        <v>2265000</v>
      </c>
      <c r="C166" s="314">
        <f>178710+120050</f>
        <v>298760</v>
      </c>
      <c r="D166" s="314"/>
      <c r="E166" s="313">
        <f t="shared" si="12"/>
        <v>0</v>
      </c>
      <c r="F166" s="306">
        <f>D166-'[8]Janvāris'!D165</f>
        <v>-116977</v>
      </c>
      <c r="G166" s="189" t="s">
        <v>742</v>
      </c>
      <c r="H166" s="312">
        <f t="shared" si="15"/>
        <v>2265</v>
      </c>
      <c r="I166" s="312">
        <f t="shared" si="15"/>
        <v>299</v>
      </c>
      <c r="J166" s="314">
        <f>ROUND(D166/1000,0)</f>
        <v>0</v>
      </c>
      <c r="K166" s="308">
        <f t="shared" si="14"/>
        <v>0</v>
      </c>
      <c r="L166" s="306">
        <f>J166-'[8]Janvāris'!J165</f>
        <v>-117</v>
      </c>
    </row>
    <row r="167" spans="1:12" ht="24" customHeight="1">
      <c r="A167" s="95" t="s">
        <v>612</v>
      </c>
      <c r="B167" s="306"/>
      <c r="C167" s="306"/>
      <c r="D167" s="306"/>
      <c r="E167" s="313"/>
      <c r="F167" s="306"/>
      <c r="G167" s="95" t="s">
        <v>612</v>
      </c>
      <c r="H167" s="312"/>
      <c r="I167" s="312"/>
      <c r="J167" s="314"/>
      <c r="K167" s="308"/>
      <c r="L167" s="306"/>
    </row>
    <row r="168" spans="1:12" ht="12.75" customHeight="1">
      <c r="A168" s="16" t="s">
        <v>772</v>
      </c>
      <c r="B168" s="306"/>
      <c r="C168" s="306"/>
      <c r="D168" s="306"/>
      <c r="E168" s="313"/>
      <c r="F168" s="306"/>
      <c r="G168" s="16" t="s">
        <v>772</v>
      </c>
      <c r="H168" s="312"/>
      <c r="I168" s="312"/>
      <c r="J168" s="314"/>
      <c r="K168" s="308"/>
      <c r="L168" s="306"/>
    </row>
    <row r="169" spans="1:12" ht="12.75" customHeight="1">
      <c r="A169" s="189" t="s">
        <v>607</v>
      </c>
      <c r="B169" s="306">
        <f>SUM(B170:B172)</f>
        <v>9519100</v>
      </c>
      <c r="C169" s="307">
        <v>1278095</v>
      </c>
      <c r="D169" s="306">
        <f>SUM(D170:D172)</f>
        <v>1043662</v>
      </c>
      <c r="E169" s="313">
        <f t="shared" si="12"/>
        <v>10.963872635018017</v>
      </c>
      <c r="F169" s="306">
        <f>D169-'[8]Janvāris'!D168</f>
        <v>724028</v>
      </c>
      <c r="G169" s="189" t="s">
        <v>607</v>
      </c>
      <c r="H169" s="312">
        <f t="shared" si="15"/>
        <v>9519</v>
      </c>
      <c r="I169" s="312">
        <f t="shared" si="15"/>
        <v>1278</v>
      </c>
      <c r="J169" s="314">
        <f>SUM(J170:J172)</f>
        <v>1044</v>
      </c>
      <c r="K169" s="308">
        <f t="shared" si="14"/>
        <v>10.967538606996534</v>
      </c>
      <c r="L169" s="306">
        <f>J169-'[8]Janvāris'!J168</f>
        <v>725</v>
      </c>
    </row>
    <row r="170" spans="1:12" ht="12.75" customHeight="1">
      <c r="A170" s="189" t="s">
        <v>773</v>
      </c>
      <c r="B170" s="312">
        <v>8951000</v>
      </c>
      <c r="C170" s="314"/>
      <c r="D170" s="314">
        <v>958610</v>
      </c>
      <c r="E170" s="313">
        <f t="shared" si="12"/>
        <v>10.709529661490336</v>
      </c>
      <c r="F170" s="306">
        <f>D170-'[8]Janvāris'!D169</f>
        <v>677520</v>
      </c>
      <c r="G170" s="189" t="s">
        <v>773</v>
      </c>
      <c r="H170" s="312">
        <f t="shared" si="15"/>
        <v>8951</v>
      </c>
      <c r="I170" s="312"/>
      <c r="J170" s="314">
        <f>ROUND(D170/1000,0)</f>
        <v>959</v>
      </c>
      <c r="K170" s="308">
        <f t="shared" si="14"/>
        <v>10.713886716567982</v>
      </c>
      <c r="L170" s="306">
        <f>J170-'[8]Janvāris'!J169</f>
        <v>678</v>
      </c>
    </row>
    <row r="171" spans="1:12" ht="12.75" customHeight="1">
      <c r="A171" s="89" t="s">
        <v>774</v>
      </c>
      <c r="B171" s="312">
        <v>350000</v>
      </c>
      <c r="C171" s="314"/>
      <c r="D171" s="314">
        <v>74358</v>
      </c>
      <c r="E171" s="313">
        <f t="shared" si="12"/>
        <v>21.245142857142856</v>
      </c>
      <c r="F171" s="306">
        <f>D171-'[8]Janvāris'!D170</f>
        <v>39236</v>
      </c>
      <c r="G171" s="89" t="s">
        <v>774</v>
      </c>
      <c r="H171" s="312">
        <f t="shared" si="15"/>
        <v>350</v>
      </c>
      <c r="I171" s="312"/>
      <c r="J171" s="314">
        <f>ROUND(D171/1000,0)</f>
        <v>74</v>
      </c>
      <c r="K171" s="308">
        <f t="shared" si="14"/>
        <v>21.142857142857142</v>
      </c>
      <c r="L171" s="306">
        <f>J171-'[8]Janvāris'!J170</f>
        <v>39</v>
      </c>
    </row>
    <row r="172" spans="1:12" ht="12.75" customHeight="1">
      <c r="A172" s="319" t="s">
        <v>749</v>
      </c>
      <c r="B172" s="312">
        <f>150000+68100</f>
        <v>218100</v>
      </c>
      <c r="C172" s="314"/>
      <c r="D172" s="314">
        <f>6760+3934</f>
        <v>10694</v>
      </c>
      <c r="E172" s="313">
        <f t="shared" si="12"/>
        <v>4.903255387436955</v>
      </c>
      <c r="F172" s="306">
        <f>D172-'[8]Janvāris'!D171</f>
        <v>7272</v>
      </c>
      <c r="G172" s="320" t="s">
        <v>749</v>
      </c>
      <c r="H172" s="312">
        <f t="shared" si="15"/>
        <v>218</v>
      </c>
      <c r="I172" s="312"/>
      <c r="J172" s="314">
        <f>ROUND(D172/1000,0)</f>
        <v>11</v>
      </c>
      <c r="K172" s="308">
        <f t="shared" si="14"/>
        <v>5.045871559633028</v>
      </c>
      <c r="L172" s="306">
        <f>J172-'[8]Janvāris'!J171</f>
        <v>8</v>
      </c>
    </row>
    <row r="173" spans="1:12" ht="12.75" customHeight="1">
      <c r="A173" s="189" t="s">
        <v>717</v>
      </c>
      <c r="B173" s="306">
        <f>SUM(B174:B175)</f>
        <v>9370924</v>
      </c>
      <c r="C173" s="306">
        <f>SUM(C174:C175)</f>
        <v>1271419</v>
      </c>
      <c r="D173" s="306">
        <f>SUM(D174:D175)</f>
        <v>380070</v>
      </c>
      <c r="E173" s="313">
        <f t="shared" si="12"/>
        <v>4.055843372542559</v>
      </c>
      <c r="F173" s="306">
        <f>D173-'[8]Janvāris'!D172</f>
        <v>257757</v>
      </c>
      <c r="G173" s="189" t="s">
        <v>717</v>
      </c>
      <c r="H173" s="312">
        <f t="shared" si="15"/>
        <v>9371</v>
      </c>
      <c r="I173" s="312">
        <f t="shared" si="15"/>
        <v>1271</v>
      </c>
      <c r="J173" s="314">
        <f>SUM(J174:J175)</f>
        <v>380</v>
      </c>
      <c r="K173" s="308">
        <f t="shared" si="14"/>
        <v>4.055063493757336</v>
      </c>
      <c r="L173" s="306">
        <f>J173-'[8]Janvāris'!J172</f>
        <v>258</v>
      </c>
    </row>
    <row r="174" spans="1:12" ht="12.75" customHeight="1">
      <c r="A174" s="189" t="s">
        <v>718</v>
      </c>
      <c r="B174" s="312">
        <v>6547804</v>
      </c>
      <c r="C174" s="314">
        <v>1145969</v>
      </c>
      <c r="D174" s="314">
        <f>'[6]Februāris'!$E$8</f>
        <v>366565</v>
      </c>
      <c r="E174" s="313">
        <f t="shared" si="12"/>
        <v>5.5982891363272325</v>
      </c>
      <c r="F174" s="306">
        <f>D174-'[8]Janvāris'!D173</f>
        <v>251452</v>
      </c>
      <c r="G174" s="189" t="s">
        <v>718</v>
      </c>
      <c r="H174" s="312">
        <f t="shared" si="15"/>
        <v>6548</v>
      </c>
      <c r="I174" s="312">
        <f t="shared" si="15"/>
        <v>1146</v>
      </c>
      <c r="J174" s="314">
        <f>ROUND(D174/1000,0)-1</f>
        <v>366</v>
      </c>
      <c r="K174" s="308">
        <f t="shared" si="14"/>
        <v>5.589492974954185</v>
      </c>
      <c r="L174" s="306">
        <f>J174-'[8]Janvāris'!J173</f>
        <v>251</v>
      </c>
    </row>
    <row r="175" spans="1:12" ht="12.75" customHeight="1">
      <c r="A175" s="189" t="s">
        <v>711</v>
      </c>
      <c r="B175" s="312">
        <v>2823120</v>
      </c>
      <c r="C175" s="314">
        <v>125450</v>
      </c>
      <c r="D175" s="314">
        <f>'[6]Februāris'!$E$30</f>
        <v>13505</v>
      </c>
      <c r="E175" s="313">
        <f t="shared" si="12"/>
        <v>0.4783714471931763</v>
      </c>
      <c r="F175" s="306">
        <f>D175-'[8]Janvāris'!D174</f>
        <v>6305</v>
      </c>
      <c r="G175" s="189" t="s">
        <v>711</v>
      </c>
      <c r="H175" s="312">
        <f t="shared" si="15"/>
        <v>2823</v>
      </c>
      <c r="I175" s="312">
        <f t="shared" si="15"/>
        <v>125</v>
      </c>
      <c r="J175" s="314">
        <f>ROUND(D175/1000,0)</f>
        <v>14</v>
      </c>
      <c r="K175" s="308">
        <f t="shared" si="14"/>
        <v>0.495926319518243</v>
      </c>
      <c r="L175" s="306">
        <f>J175-'[8]Janvāris'!J174-1</f>
        <v>6</v>
      </c>
    </row>
    <row r="176" spans="1:12" ht="12.75" customHeight="1">
      <c r="A176" s="57" t="s">
        <v>514</v>
      </c>
      <c r="B176" s="306"/>
      <c r="C176" s="306"/>
      <c r="D176" s="306"/>
      <c r="E176" s="313"/>
      <c r="F176" s="306"/>
      <c r="G176" s="57" t="s">
        <v>514</v>
      </c>
      <c r="H176" s="312"/>
      <c r="I176" s="312"/>
      <c r="J176" s="314"/>
      <c r="K176" s="308"/>
      <c r="L176" s="306"/>
    </row>
    <row r="177" spans="1:12" ht="12.75" customHeight="1">
      <c r="A177" s="16" t="s">
        <v>775</v>
      </c>
      <c r="B177" s="306"/>
      <c r="C177" s="306"/>
      <c r="D177" s="306"/>
      <c r="E177" s="313"/>
      <c r="F177" s="306"/>
      <c r="G177" s="16" t="s">
        <v>775</v>
      </c>
      <c r="H177" s="312"/>
      <c r="I177" s="312"/>
      <c r="J177" s="314"/>
      <c r="K177" s="308"/>
      <c r="L177" s="306"/>
    </row>
    <row r="178" spans="1:12" ht="12.75" customHeight="1">
      <c r="A178" s="189" t="s">
        <v>607</v>
      </c>
      <c r="B178" s="306">
        <f>SUM(B179:B180)</f>
        <v>2272860</v>
      </c>
      <c r="C178" s="307">
        <v>360000</v>
      </c>
      <c r="D178" s="306">
        <f>SUM(D179:D180)</f>
        <v>330874</v>
      </c>
      <c r="E178" s="313">
        <f t="shared" si="12"/>
        <v>14.557605835819187</v>
      </c>
      <c r="F178" s="306">
        <f>D178-'[8]Janvāris'!D177</f>
        <v>161004</v>
      </c>
      <c r="G178" s="189" t="s">
        <v>607</v>
      </c>
      <c r="H178" s="312">
        <f t="shared" si="15"/>
        <v>2273</v>
      </c>
      <c r="I178" s="312">
        <f t="shared" si="15"/>
        <v>360</v>
      </c>
      <c r="J178" s="314">
        <f>SUM(J179:J180)</f>
        <v>331</v>
      </c>
      <c r="K178" s="308">
        <f t="shared" si="14"/>
        <v>14.562252529696437</v>
      </c>
      <c r="L178" s="306">
        <f>J178-'[8]Janvāris'!J177</f>
        <v>161</v>
      </c>
    </row>
    <row r="179" spans="1:12" ht="24.75" customHeight="1">
      <c r="A179" s="89" t="s">
        <v>776</v>
      </c>
      <c r="B179" s="312">
        <v>1608660</v>
      </c>
      <c r="C179" s="314"/>
      <c r="D179" s="314">
        <v>221759</v>
      </c>
      <c r="E179" s="313">
        <f t="shared" si="12"/>
        <v>13.785324431514429</v>
      </c>
      <c r="F179" s="306">
        <f>D179-'[8]Janvāris'!D178</f>
        <v>108762</v>
      </c>
      <c r="G179" s="89" t="s">
        <v>776</v>
      </c>
      <c r="H179" s="312">
        <f t="shared" si="15"/>
        <v>1609</v>
      </c>
      <c r="I179" s="312"/>
      <c r="J179" s="314">
        <f>ROUND(D179/1000,0)</f>
        <v>222</v>
      </c>
      <c r="K179" s="308">
        <f t="shared" si="14"/>
        <v>13.79738968303294</v>
      </c>
      <c r="L179" s="306">
        <f>J179-'[8]Janvāris'!J178</f>
        <v>109</v>
      </c>
    </row>
    <row r="180" spans="1:12" ht="24" customHeight="1">
      <c r="A180" s="89" t="s">
        <v>777</v>
      </c>
      <c r="B180" s="312">
        <v>664200</v>
      </c>
      <c r="C180" s="314"/>
      <c r="D180" s="314">
        <v>109115</v>
      </c>
      <c r="E180" s="313">
        <f t="shared" si="12"/>
        <v>16.42803372478169</v>
      </c>
      <c r="F180" s="306">
        <f>D180-'[8]Janvāris'!D179</f>
        <v>52242</v>
      </c>
      <c r="G180" s="89" t="s">
        <v>777</v>
      </c>
      <c r="H180" s="312">
        <f t="shared" si="15"/>
        <v>664</v>
      </c>
      <c r="I180" s="312"/>
      <c r="J180" s="314">
        <f>ROUND(D180/1000,0)</f>
        <v>109</v>
      </c>
      <c r="K180" s="308">
        <f t="shared" si="14"/>
        <v>16.415662650602407</v>
      </c>
      <c r="L180" s="306">
        <f>J180-'[8]Janvāris'!J179</f>
        <v>52</v>
      </c>
    </row>
    <row r="181" spans="1:12" ht="12.75" customHeight="1">
      <c r="A181" s="189" t="s">
        <v>717</v>
      </c>
      <c r="B181" s="306">
        <f>B182</f>
        <v>2272860</v>
      </c>
      <c r="C181" s="306">
        <f>C182</f>
        <v>360000</v>
      </c>
      <c r="D181" s="306">
        <f>D182</f>
        <v>331915</v>
      </c>
      <c r="E181" s="313">
        <f t="shared" si="12"/>
        <v>14.603407161021797</v>
      </c>
      <c r="F181" s="306">
        <f>D181-'[8]Janvāris'!D180</f>
        <v>161080</v>
      </c>
      <c r="G181" s="189" t="s">
        <v>717</v>
      </c>
      <c r="H181" s="312">
        <f t="shared" si="15"/>
        <v>2273</v>
      </c>
      <c r="I181" s="312">
        <f t="shared" si="15"/>
        <v>360</v>
      </c>
      <c r="J181" s="314">
        <f>J182</f>
        <v>332</v>
      </c>
      <c r="K181" s="308">
        <f t="shared" si="14"/>
        <v>14.60624725032996</v>
      </c>
      <c r="L181" s="306">
        <f>J181-'[8]Janvāris'!J180</f>
        <v>161</v>
      </c>
    </row>
    <row r="182" spans="1:12" ht="12.75" customHeight="1">
      <c r="A182" s="189" t="s">
        <v>718</v>
      </c>
      <c r="B182" s="312">
        <v>2272860</v>
      </c>
      <c r="C182" s="314">
        <v>360000</v>
      </c>
      <c r="D182" s="314">
        <f>'[6]Februāris'!$Q$8</f>
        <v>331915</v>
      </c>
      <c r="E182" s="313">
        <f t="shared" si="12"/>
        <v>14.603407161021797</v>
      </c>
      <c r="F182" s="306">
        <f>D182-'[8]Janvāris'!D181</f>
        <v>161080</v>
      </c>
      <c r="G182" s="189" t="s">
        <v>718</v>
      </c>
      <c r="H182" s="312">
        <f t="shared" si="15"/>
        <v>2273</v>
      </c>
      <c r="I182" s="312">
        <f t="shared" si="15"/>
        <v>360</v>
      </c>
      <c r="J182" s="314">
        <f>ROUND(D182/1000,0)</f>
        <v>332</v>
      </c>
      <c r="K182" s="308">
        <f t="shared" si="14"/>
        <v>14.60624725032996</v>
      </c>
      <c r="L182" s="306">
        <f>J182-'[8]Janvāris'!J181</f>
        <v>161</v>
      </c>
    </row>
    <row r="183" spans="1:12" ht="25.5" customHeight="1">
      <c r="A183" s="95" t="s">
        <v>778</v>
      </c>
      <c r="B183" s="306"/>
      <c r="C183" s="306"/>
      <c r="D183" s="306"/>
      <c r="E183" s="313"/>
      <c r="F183" s="306"/>
      <c r="G183" s="95" t="s">
        <v>778</v>
      </c>
      <c r="H183" s="312"/>
      <c r="I183" s="312"/>
      <c r="J183" s="314"/>
      <c r="K183" s="308"/>
      <c r="L183" s="306"/>
    </row>
    <row r="184" spans="1:12" ht="12.75" customHeight="1">
      <c r="A184" s="319" t="s">
        <v>607</v>
      </c>
      <c r="B184" s="306">
        <f>B185</f>
        <v>129565</v>
      </c>
      <c r="C184" s="307">
        <v>18923</v>
      </c>
      <c r="D184" s="306">
        <f>D185</f>
        <v>14368</v>
      </c>
      <c r="E184" s="313">
        <f t="shared" si="12"/>
        <v>11.089414579554663</v>
      </c>
      <c r="F184" s="306">
        <f>D184-'[8]Janvāris'!D183</f>
        <v>127</v>
      </c>
      <c r="G184" s="320" t="s">
        <v>607</v>
      </c>
      <c r="H184" s="312">
        <f t="shared" si="15"/>
        <v>130</v>
      </c>
      <c r="I184" s="312">
        <f t="shared" si="15"/>
        <v>19</v>
      </c>
      <c r="J184" s="314">
        <f>J185</f>
        <v>14</v>
      </c>
      <c r="K184" s="308">
        <f t="shared" si="14"/>
        <v>10.76923076923077</v>
      </c>
      <c r="L184" s="306">
        <f>J184-'[8]Janvāris'!J183</f>
        <v>0</v>
      </c>
    </row>
    <row r="185" spans="1:12" ht="12.75" customHeight="1">
      <c r="A185" s="89" t="s">
        <v>749</v>
      </c>
      <c r="B185" s="312">
        <v>129565</v>
      </c>
      <c r="C185" s="314"/>
      <c r="D185" s="314">
        <f>'[6]Februāris'!$P$6</f>
        <v>14368</v>
      </c>
      <c r="E185" s="313">
        <f t="shared" si="12"/>
        <v>11.089414579554663</v>
      </c>
      <c r="F185" s="306">
        <f>D185-'[8]Janvāris'!D184</f>
        <v>127</v>
      </c>
      <c r="G185" s="89" t="s">
        <v>749</v>
      </c>
      <c r="H185" s="312">
        <f t="shared" si="15"/>
        <v>130</v>
      </c>
      <c r="I185" s="312"/>
      <c r="J185" s="314">
        <f>ROUND(D185/1000,0)</f>
        <v>14</v>
      </c>
      <c r="K185" s="308">
        <f t="shared" si="14"/>
        <v>10.76923076923077</v>
      </c>
      <c r="L185" s="306">
        <f>J185-'[8]Janvāris'!J184</f>
        <v>0</v>
      </c>
    </row>
    <row r="186" spans="1:12" ht="12.75" customHeight="1">
      <c r="A186" s="189" t="s">
        <v>717</v>
      </c>
      <c r="B186" s="306">
        <f>B187+B189</f>
        <v>756987</v>
      </c>
      <c r="C186" s="306">
        <f>C187+C189</f>
        <v>28382</v>
      </c>
      <c r="D186" s="306">
        <f>D187+D189</f>
        <v>16346</v>
      </c>
      <c r="E186" s="313">
        <f t="shared" si="12"/>
        <v>2.159350160570789</v>
      </c>
      <c r="F186" s="306">
        <f>D186-'[8]Janvāris'!D185</f>
        <v>8421</v>
      </c>
      <c r="G186" s="189" t="s">
        <v>717</v>
      </c>
      <c r="H186" s="312">
        <f t="shared" si="15"/>
        <v>757</v>
      </c>
      <c r="I186" s="312">
        <f t="shared" si="15"/>
        <v>28</v>
      </c>
      <c r="J186" s="314">
        <f>J187+J189</f>
        <v>16</v>
      </c>
      <c r="K186" s="308">
        <f t="shared" si="14"/>
        <v>2.1136063408190227</v>
      </c>
      <c r="L186" s="306">
        <f>J186-'[8]Janvāris'!J185</f>
        <v>8</v>
      </c>
    </row>
    <row r="187" spans="1:12" ht="12.75" customHeight="1">
      <c r="A187" s="189" t="s">
        <v>718</v>
      </c>
      <c r="B187" s="312">
        <v>753987</v>
      </c>
      <c r="C187" s="314">
        <v>27382</v>
      </c>
      <c r="D187" s="314">
        <f>'[6]Februāris'!$P$8</f>
        <v>16346</v>
      </c>
      <c r="E187" s="313">
        <f t="shared" si="12"/>
        <v>2.1679418875922263</v>
      </c>
      <c r="F187" s="306">
        <f>D187-'[8]Janvāris'!D186</f>
        <v>8421</v>
      </c>
      <c r="G187" s="189" t="s">
        <v>718</v>
      </c>
      <c r="H187" s="312">
        <f t="shared" si="15"/>
        <v>754</v>
      </c>
      <c r="I187" s="312">
        <f t="shared" si="15"/>
        <v>27</v>
      </c>
      <c r="J187" s="314">
        <f>ROUND(D187/1000,0)</f>
        <v>16</v>
      </c>
      <c r="K187" s="308">
        <f t="shared" si="14"/>
        <v>2.122015915119363</v>
      </c>
      <c r="L187" s="306">
        <f>J187-'[8]Janvāris'!J186</f>
        <v>8</v>
      </c>
    </row>
    <row r="188" spans="1:12" ht="12.75" customHeight="1">
      <c r="A188" s="265" t="s">
        <v>751</v>
      </c>
      <c r="B188" s="312">
        <v>20897</v>
      </c>
      <c r="C188" s="314"/>
      <c r="D188" s="314">
        <f>'[6]Februāris'!$P$15</f>
        <v>0</v>
      </c>
      <c r="E188" s="313"/>
      <c r="F188" s="306">
        <f>D188-'[8]Janvāris'!D187</f>
        <v>0</v>
      </c>
      <c r="G188" s="265" t="s">
        <v>751</v>
      </c>
      <c r="H188" s="312">
        <f t="shared" si="15"/>
        <v>21</v>
      </c>
      <c r="I188" s="312"/>
      <c r="J188" s="314"/>
      <c r="K188" s="308"/>
      <c r="L188" s="306"/>
    </row>
    <row r="189" spans="1:12" ht="12.75" customHeight="1">
      <c r="A189" s="189" t="s">
        <v>711</v>
      </c>
      <c r="B189" s="312">
        <v>3000</v>
      </c>
      <c r="C189" s="314">
        <v>1000</v>
      </c>
      <c r="D189" s="314"/>
      <c r="E189" s="313"/>
      <c r="F189" s="306">
        <f>D189-'[8]Janvāris'!D188</f>
        <v>0</v>
      </c>
      <c r="G189" s="189" t="s">
        <v>711</v>
      </c>
      <c r="H189" s="312">
        <f t="shared" si="15"/>
        <v>3</v>
      </c>
      <c r="I189" s="312">
        <f t="shared" si="15"/>
        <v>1</v>
      </c>
      <c r="J189" s="314">
        <f>ROUND(D189/1000,0)</f>
        <v>0</v>
      </c>
      <c r="K189" s="308"/>
      <c r="L189" s="306"/>
    </row>
    <row r="190" spans="1:12" ht="12.75" customHeight="1">
      <c r="A190" s="189" t="s">
        <v>713</v>
      </c>
      <c r="B190" s="306">
        <f>B184-B186</f>
        <v>-627422</v>
      </c>
      <c r="C190" s="307">
        <f>C184-C186</f>
        <v>-9459</v>
      </c>
      <c r="D190" s="306">
        <f>D184-D186</f>
        <v>-1978</v>
      </c>
      <c r="E190" s="313">
        <f>-D190/B190*100</f>
        <v>-0.315258310993239</v>
      </c>
      <c r="F190" s="306">
        <f>D190-'[8]Janvāris'!D189</f>
        <v>-8294</v>
      </c>
      <c r="G190" s="189" t="s">
        <v>713</v>
      </c>
      <c r="H190" s="312">
        <f t="shared" si="15"/>
        <v>-627</v>
      </c>
      <c r="I190" s="312">
        <f>I184-I186</f>
        <v>-9</v>
      </c>
      <c r="J190" s="312">
        <f>J184-J186</f>
        <v>-2</v>
      </c>
      <c r="K190" s="308"/>
      <c r="L190" s="306">
        <f>J190-'[8]Janvāris'!J189</f>
        <v>-8</v>
      </c>
    </row>
    <row r="191" spans="1:12" ht="12.75" customHeight="1">
      <c r="A191" s="189" t="s">
        <v>742</v>
      </c>
      <c r="B191" s="306">
        <v>628375</v>
      </c>
      <c r="C191" s="307">
        <f>4730+4729</f>
        <v>9459</v>
      </c>
      <c r="D191" s="307">
        <f>'[6]Februāris'!$P$43</f>
        <v>9459</v>
      </c>
      <c r="E191" s="313"/>
      <c r="F191" s="306">
        <f>D191-'[8]Janvāris'!D190</f>
        <v>9459</v>
      </c>
      <c r="G191" s="189" t="s">
        <v>742</v>
      </c>
      <c r="H191" s="312">
        <f t="shared" si="15"/>
        <v>628</v>
      </c>
      <c r="I191" s="312">
        <f t="shared" si="15"/>
        <v>9</v>
      </c>
      <c r="J191" s="314">
        <f>ROUND(D191/1000,0)</f>
        <v>9</v>
      </c>
      <c r="K191" s="308"/>
      <c r="L191" s="306">
        <f>J191-'[8]Janvāris'!J190</f>
        <v>9</v>
      </c>
    </row>
    <row r="192" spans="2:12" ht="17.25" customHeight="1">
      <c r="B192" s="103"/>
      <c r="C192" s="103"/>
      <c r="D192" s="103"/>
      <c r="E192" s="326"/>
      <c r="F192" s="103"/>
      <c r="H192" s="103"/>
      <c r="I192" s="103"/>
      <c r="J192" s="103"/>
      <c r="K192" s="327"/>
      <c r="L192" s="103"/>
    </row>
    <row r="193" spans="1:12" ht="17.25" customHeight="1">
      <c r="A193" s="481"/>
      <c r="B193" s="481"/>
      <c r="C193" s="481"/>
      <c r="D193" s="481"/>
      <c r="E193" s="481"/>
      <c r="F193" s="167"/>
      <c r="G193" s="482" t="s">
        <v>779</v>
      </c>
      <c r="H193" s="482"/>
      <c r="I193" s="482"/>
      <c r="J193" s="328">
        <v>6235</v>
      </c>
      <c r="K193" s="483" t="s">
        <v>780</v>
      </c>
      <c r="L193" s="483"/>
    </row>
    <row r="194" spans="3:12" ht="17.25" customHeight="1">
      <c r="C194" s="329"/>
      <c r="D194" s="329"/>
      <c r="E194" s="326"/>
      <c r="F194" s="167"/>
      <c r="I194" s="329"/>
      <c r="J194" s="329"/>
      <c r="K194" s="327"/>
      <c r="L194" s="167"/>
    </row>
    <row r="195" spans="3:12" ht="17.25" customHeight="1">
      <c r="C195" s="167"/>
      <c r="D195" s="167"/>
      <c r="E195" s="330"/>
      <c r="F195" s="167"/>
      <c r="G195" s="331" t="s">
        <v>699</v>
      </c>
      <c r="H195" s="332"/>
      <c r="I195" s="332"/>
      <c r="J195" s="332" t="s">
        <v>348</v>
      </c>
      <c r="K195" s="333"/>
      <c r="L195" s="167"/>
    </row>
    <row r="196" spans="1:12" ht="17.25" customHeight="1">
      <c r="A196" s="64" t="s">
        <v>644</v>
      </c>
      <c r="B196" s="4"/>
      <c r="C196" s="4"/>
      <c r="D196" s="4" t="s">
        <v>645</v>
      </c>
      <c r="E196" s="334"/>
      <c r="F196" s="167"/>
      <c r="K196" s="335"/>
      <c r="L196" s="167"/>
    </row>
    <row r="197" spans="5:12" ht="17.25" customHeight="1">
      <c r="E197" s="336"/>
      <c r="F197" s="167"/>
      <c r="K197" s="337"/>
      <c r="L197" s="167"/>
    </row>
    <row r="198" spans="2:12" ht="17.25" customHeight="1">
      <c r="B198" s="167"/>
      <c r="C198" s="167"/>
      <c r="D198" s="167"/>
      <c r="E198" s="336"/>
      <c r="F198" s="167"/>
      <c r="G198" s="171" t="s">
        <v>643</v>
      </c>
      <c r="H198" s="167"/>
      <c r="I198" s="167"/>
      <c r="J198" s="167"/>
      <c r="K198" s="337"/>
      <c r="L198" s="167"/>
    </row>
    <row r="199" spans="1:12" ht="17.25" customHeight="1">
      <c r="A199" s="167"/>
      <c r="B199" s="167"/>
      <c r="C199" s="167"/>
      <c r="D199" s="167"/>
      <c r="E199" s="336"/>
      <c r="F199" s="167"/>
      <c r="G199" s="171" t="s">
        <v>399</v>
      </c>
      <c r="H199" s="167"/>
      <c r="I199" s="167"/>
      <c r="J199" s="167"/>
      <c r="K199" s="337"/>
      <c r="L199" s="167"/>
    </row>
    <row r="200" spans="1:12" ht="17.25" customHeight="1">
      <c r="A200" s="171" t="s">
        <v>643</v>
      </c>
      <c r="D200" s="167"/>
      <c r="E200" s="336"/>
      <c r="F200" s="167"/>
      <c r="J200" s="167"/>
      <c r="K200" s="337"/>
      <c r="L200" s="167"/>
    </row>
    <row r="201" spans="1:12" ht="17.25" customHeight="1">
      <c r="A201" s="171" t="s">
        <v>399</v>
      </c>
      <c r="B201" s="167"/>
      <c r="C201" s="167"/>
      <c r="D201" s="167"/>
      <c r="E201" s="336"/>
      <c r="F201" s="167"/>
      <c r="H201" s="167"/>
      <c r="I201" s="167"/>
      <c r="J201" s="167"/>
      <c r="K201" s="337"/>
      <c r="L201" s="167"/>
    </row>
    <row r="202" spans="5:12" ht="17.25" customHeight="1">
      <c r="E202" s="336"/>
      <c r="F202" s="167"/>
      <c r="K202" s="337"/>
      <c r="L202" s="167"/>
    </row>
    <row r="203" spans="1:12" ht="17.25" customHeight="1">
      <c r="A203" s="167"/>
      <c r="B203" s="167"/>
      <c r="C203" s="167"/>
      <c r="D203" s="167"/>
      <c r="E203" s="336"/>
      <c r="F203" s="167"/>
      <c r="G203" s="167"/>
      <c r="H203" s="167"/>
      <c r="I203" s="167"/>
      <c r="J203" s="167"/>
      <c r="K203" s="337"/>
      <c r="L203" s="167"/>
    </row>
    <row r="204" spans="2:12" ht="17.25" customHeight="1">
      <c r="B204" s="167"/>
      <c r="C204" s="167"/>
      <c r="D204" s="167"/>
      <c r="E204" s="336"/>
      <c r="F204" s="167"/>
      <c r="H204" s="167"/>
      <c r="I204" s="167"/>
      <c r="J204" s="167"/>
      <c r="K204" s="337"/>
      <c r="L204" s="167"/>
    </row>
    <row r="205" ht="17.25" customHeight="1">
      <c r="D205" s="167"/>
    </row>
  </sheetData>
  <mergeCells count="9">
    <mergeCell ref="A2:F2"/>
    <mergeCell ref="G2:L2"/>
    <mergeCell ref="A4:F4"/>
    <mergeCell ref="G4:L4"/>
    <mergeCell ref="A5:F5"/>
    <mergeCell ref="G5:L5"/>
    <mergeCell ref="A193:E193"/>
    <mergeCell ref="G193:I193"/>
    <mergeCell ref="K193:L193"/>
  </mergeCells>
  <printOptions/>
  <pageMargins left="0.75" right="0.19" top="0.45" bottom="0.49" header="0.17" footer="0.2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workbookViewId="0" topLeftCell="H1">
      <selection activeCell="H82" sqref="H82"/>
    </sheetView>
  </sheetViews>
  <sheetFormatPr defaultColWidth="9.140625" defaultRowHeight="17.25" customHeight="1"/>
  <cols>
    <col min="1" max="1" width="35.57421875" style="31" hidden="1" customWidth="1"/>
    <col min="2" max="3" width="13.57421875" style="31" hidden="1" customWidth="1"/>
    <col min="4" max="4" width="13.140625" style="31" hidden="1" customWidth="1"/>
    <col min="5" max="5" width="11.28125" style="238" hidden="1" customWidth="1"/>
    <col min="6" max="6" width="11.8515625" style="239" hidden="1" customWidth="1"/>
    <col min="7" max="7" width="14.28125" style="31" hidden="1" customWidth="1"/>
    <col min="8" max="8" width="38.140625" style="31" customWidth="1"/>
    <col min="9" max="9" width="10.8515625" style="31" customWidth="1"/>
    <col min="10" max="10" width="12.140625" style="31" customWidth="1"/>
    <col min="11" max="11" width="11.140625" style="31" customWidth="1"/>
    <col min="12" max="12" width="11.00390625" style="238" customWidth="1"/>
    <col min="13" max="13" width="11.8515625" style="239" customWidth="1"/>
    <col min="14" max="14" width="12.00390625" style="31" customWidth="1"/>
  </cols>
  <sheetData>
    <row r="1" spans="1:14" ht="17.25" customHeight="1">
      <c r="A1" s="234" t="s">
        <v>646</v>
      </c>
      <c r="B1" s="234"/>
      <c r="C1" s="234"/>
      <c r="D1" s="234"/>
      <c r="E1" s="235"/>
      <c r="F1" s="236"/>
      <c r="G1" s="237" t="s">
        <v>647</v>
      </c>
      <c r="I1" s="234"/>
      <c r="J1" s="234"/>
      <c r="K1" s="234"/>
      <c r="L1" s="235"/>
      <c r="M1" s="236"/>
      <c r="N1" s="237" t="s">
        <v>647</v>
      </c>
    </row>
    <row r="2" spans="8:14" ht="17.25" customHeight="1">
      <c r="H2" s="653" t="s">
        <v>646</v>
      </c>
      <c r="I2" s="653"/>
      <c r="J2" s="653"/>
      <c r="K2" s="653"/>
      <c r="L2" s="653"/>
      <c r="M2" s="653"/>
      <c r="N2" s="653"/>
    </row>
    <row r="4" spans="1:14" ht="17.25" customHeight="1">
      <c r="A4" s="659" t="s">
        <v>648</v>
      </c>
      <c r="B4" s="659"/>
      <c r="C4" s="659"/>
      <c r="D4" s="659"/>
      <c r="E4" s="659"/>
      <c r="F4" s="659"/>
      <c r="G4" s="659"/>
      <c r="H4" s="660" t="s">
        <v>648</v>
      </c>
      <c r="I4" s="660"/>
      <c r="J4" s="660"/>
      <c r="K4" s="660"/>
      <c r="L4" s="660"/>
      <c r="M4" s="660"/>
      <c r="N4" s="660"/>
    </row>
    <row r="5" spans="1:14" ht="17.25" customHeight="1">
      <c r="A5" s="659" t="s">
        <v>649</v>
      </c>
      <c r="B5" s="659"/>
      <c r="C5" s="659"/>
      <c r="D5" s="659"/>
      <c r="E5" s="659"/>
      <c r="F5" s="659"/>
      <c r="G5" s="659"/>
      <c r="H5" s="660" t="s">
        <v>649</v>
      </c>
      <c r="I5" s="660"/>
      <c r="J5" s="660"/>
      <c r="K5" s="660"/>
      <c r="L5" s="660"/>
      <c r="M5" s="660"/>
      <c r="N5" s="660"/>
    </row>
    <row r="6" spans="1:14" ht="17.25" customHeight="1">
      <c r="A6" s="659" t="s">
        <v>650</v>
      </c>
      <c r="B6" s="659"/>
      <c r="C6" s="659"/>
      <c r="D6" s="659"/>
      <c r="E6" s="659"/>
      <c r="F6" s="659"/>
      <c r="G6" s="659"/>
      <c r="H6" s="659" t="s">
        <v>527</v>
      </c>
      <c r="I6" s="659"/>
      <c r="J6" s="659"/>
      <c r="K6" s="659"/>
      <c r="L6" s="659"/>
      <c r="M6" s="659"/>
      <c r="N6" s="659"/>
    </row>
    <row r="7" spans="7:14" ht="17.25" customHeight="1">
      <c r="G7" s="3" t="s">
        <v>599</v>
      </c>
      <c r="N7" s="3" t="s">
        <v>317</v>
      </c>
    </row>
    <row r="8" spans="1:14" ht="72">
      <c r="A8" s="207" t="s">
        <v>318</v>
      </c>
      <c r="B8" s="207" t="s">
        <v>403</v>
      </c>
      <c r="C8" s="207" t="s">
        <v>651</v>
      </c>
      <c r="D8" s="207" t="s">
        <v>404</v>
      </c>
      <c r="E8" s="240" t="s">
        <v>652</v>
      </c>
      <c r="F8" s="241" t="s">
        <v>653</v>
      </c>
      <c r="G8" s="34" t="s">
        <v>654</v>
      </c>
      <c r="H8" s="207" t="s">
        <v>318</v>
      </c>
      <c r="I8" s="207" t="s">
        <v>403</v>
      </c>
      <c r="J8" s="207" t="s">
        <v>651</v>
      </c>
      <c r="K8" s="207" t="s">
        <v>404</v>
      </c>
      <c r="L8" s="240" t="s">
        <v>652</v>
      </c>
      <c r="M8" s="241" t="s">
        <v>653</v>
      </c>
      <c r="N8" s="207" t="s">
        <v>601</v>
      </c>
    </row>
    <row r="9" spans="1:14" s="1" customFormat="1" ht="12.75">
      <c r="A9" s="8">
        <v>1</v>
      </c>
      <c r="B9" s="8">
        <v>2</v>
      </c>
      <c r="C9" s="8">
        <v>3</v>
      </c>
      <c r="D9" s="8">
        <v>4</v>
      </c>
      <c r="E9" s="173">
        <v>5</v>
      </c>
      <c r="F9" s="242">
        <v>6</v>
      </c>
      <c r="G9" s="8">
        <v>7</v>
      </c>
      <c r="H9" s="8">
        <v>1</v>
      </c>
      <c r="I9" s="8">
        <v>2</v>
      </c>
      <c r="J9" s="8">
        <v>3</v>
      </c>
      <c r="K9" s="8">
        <v>4</v>
      </c>
      <c r="L9" s="173">
        <v>5</v>
      </c>
      <c r="M9" s="242">
        <v>6</v>
      </c>
      <c r="N9" s="8">
        <v>7</v>
      </c>
    </row>
    <row r="10" spans="1:14" ht="17.25" customHeight="1">
      <c r="A10" s="243" t="s">
        <v>655</v>
      </c>
      <c r="B10" s="244">
        <f>SUM(B11:B14)</f>
        <v>725518701</v>
      </c>
      <c r="C10" s="244">
        <f>SUM(C11:C14)</f>
        <v>108642260</v>
      </c>
      <c r="D10" s="244">
        <f>SUM(D11:D14)</f>
        <v>108373622</v>
      </c>
      <c r="E10" s="245">
        <f>D10/B10*100</f>
        <v>14.937398836256877</v>
      </c>
      <c r="F10" s="246">
        <f>D10/C10*100</f>
        <v>99.75273157977384</v>
      </c>
      <c r="G10" s="244">
        <f>SUM(G11:G14)</f>
        <v>52510441</v>
      </c>
      <c r="H10" s="243" t="s">
        <v>655</v>
      </c>
      <c r="I10" s="244">
        <f>SUM(I11:I14)</f>
        <v>725519</v>
      </c>
      <c r="J10" s="244">
        <f>SUM(J11:J14)</f>
        <v>108642</v>
      </c>
      <c r="K10" s="247">
        <f>SUM(K11:K14)</f>
        <v>108374</v>
      </c>
      <c r="L10" s="248">
        <f>K10/I10*100</f>
        <v>14.937444780908562</v>
      </c>
      <c r="M10" s="248">
        <f>K10/J10*100</f>
        <v>99.75331823788221</v>
      </c>
      <c r="N10" s="244">
        <f>SUM(N11:N14)</f>
        <v>52511</v>
      </c>
    </row>
    <row r="11" spans="1:14" ht="14.25">
      <c r="A11" s="89" t="s">
        <v>656</v>
      </c>
      <c r="B11" s="249">
        <v>719456085</v>
      </c>
      <c r="C11" s="249">
        <f>32899114+37020270+37889203</f>
        <v>107808587</v>
      </c>
      <c r="D11" s="249">
        <f>'[8]Februāris'!$D$20+'[8]Februāris'!$D$27+'[8]Februāris'!$D$39+'[8]Februāris'!$D$44+'[8]Februāris'!$D$50+'[8]Februāris'!$D$57+'[8]Februāris'!$D$69+'[8]Februāris'!$D$78+'[8]Februāris'!$D$79+'[8]Februāris'!$D$89+'[8]Februāris'!$D$95+'[8]Februāris'!$D$103+'[8]Februāris'!$D$104+'[8]Februāris'!$D$114+'[8]Februāris'!$D$170+'[8]Februāris'!$D$171+'[8]Februāris'!$D$178</f>
        <v>107571487</v>
      </c>
      <c r="E11" s="250">
        <f aca="true" t="shared" si="0" ref="E11:E51">D11/B11*100</f>
        <v>14.95177944043659</v>
      </c>
      <c r="F11" s="246">
        <f aca="true" t="shared" si="1" ref="F11:F22">D11/C11*100</f>
        <v>99.78007317728782</v>
      </c>
      <c r="G11" s="251">
        <f>D11-'[9]Janvāris'!D11</f>
        <v>52338109</v>
      </c>
      <c r="H11" s="89" t="s">
        <v>656</v>
      </c>
      <c r="I11" s="249">
        <f aca="true" t="shared" si="2" ref="I11:K14">ROUND(B11/1000,0)</f>
        <v>719456</v>
      </c>
      <c r="J11" s="249">
        <f>ROUND(C11/1000,0)-1</f>
        <v>107808</v>
      </c>
      <c r="K11" s="249">
        <f>ROUND(D11/1000,0)+1</f>
        <v>107572</v>
      </c>
      <c r="L11" s="252">
        <f aca="true" t="shared" si="3" ref="L11:L18">K11/I11*100</f>
        <v>14.951852510785926</v>
      </c>
      <c r="M11" s="252">
        <f aca="true" t="shared" si="4" ref="M11:M18">K11/J11*100</f>
        <v>99.78109231225883</v>
      </c>
      <c r="N11" s="251">
        <f>K11-'[9]Janvāris'!K11</f>
        <v>52338</v>
      </c>
    </row>
    <row r="12" spans="1:14" ht="14.25" hidden="1">
      <c r="A12" s="96" t="s">
        <v>657</v>
      </c>
      <c r="B12" s="249"/>
      <c r="C12" s="249"/>
      <c r="D12" s="249"/>
      <c r="E12" s="250" t="e">
        <f t="shared" si="0"/>
        <v>#DIV/0!</v>
      </c>
      <c r="F12" s="246" t="e">
        <f t="shared" si="1"/>
        <v>#DIV/0!</v>
      </c>
      <c r="G12" s="251">
        <f>D12-'[9]Janvāris'!D12</f>
        <v>0</v>
      </c>
      <c r="H12" s="96" t="s">
        <v>657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52" t="e">
        <f t="shared" si="3"/>
        <v>#DIV/0!</v>
      </c>
      <c r="M12" s="252" t="e">
        <f t="shared" si="4"/>
        <v>#DIV/0!</v>
      </c>
      <c r="N12" s="251">
        <f>K12-'[9]Janvāris'!K12</f>
        <v>0</v>
      </c>
    </row>
    <row r="13" spans="1:14" ht="25.5">
      <c r="A13" s="89" t="s">
        <v>658</v>
      </c>
      <c r="B13" s="249">
        <v>3457511</v>
      </c>
      <c r="C13" s="249">
        <v>293673</v>
      </c>
      <c r="D13" s="249">
        <f>'[8]Februāris'!$D$80+'[8]Februāris'!$D$105+'[8]Februāris'!$D$172+'[8]Februāris'!$D$184</f>
        <v>282295</v>
      </c>
      <c r="E13" s="250">
        <f t="shared" si="0"/>
        <v>8.164688413138816</v>
      </c>
      <c r="F13" s="246">
        <f t="shared" si="1"/>
        <v>96.12562271642268</v>
      </c>
      <c r="G13" s="251">
        <f>D13-'[9]Janvāris'!D13</f>
        <v>142345</v>
      </c>
      <c r="H13" s="89" t="s">
        <v>658</v>
      </c>
      <c r="I13" s="249">
        <f t="shared" si="2"/>
        <v>3458</v>
      </c>
      <c r="J13" s="249">
        <f t="shared" si="2"/>
        <v>294</v>
      </c>
      <c r="K13" s="249">
        <f t="shared" si="2"/>
        <v>282</v>
      </c>
      <c r="L13" s="252">
        <f t="shared" si="3"/>
        <v>8.155002891844996</v>
      </c>
      <c r="M13" s="252">
        <f t="shared" si="4"/>
        <v>95.91836734693877</v>
      </c>
      <c r="N13" s="251">
        <f>K13-'[9]Janvāris'!K13</f>
        <v>143</v>
      </c>
    </row>
    <row r="14" spans="1:14" ht="14.25">
      <c r="A14" s="89" t="s">
        <v>496</v>
      </c>
      <c r="B14" s="249">
        <f>1678188+926917</f>
        <v>2605105</v>
      </c>
      <c r="C14" s="249">
        <v>540000</v>
      </c>
      <c r="D14" s="249">
        <f>SUM('[8]Februāris'!$D$81,'[8]Februāris'!$D$106)</f>
        <v>519840</v>
      </c>
      <c r="E14" s="250">
        <f t="shared" si="0"/>
        <v>19.954665934770382</v>
      </c>
      <c r="F14" s="246">
        <f t="shared" si="1"/>
        <v>96.26666666666667</v>
      </c>
      <c r="G14" s="251">
        <f>D14-'[9]Janvāris'!D14</f>
        <v>29987</v>
      </c>
      <c r="H14" s="89" t="s">
        <v>496</v>
      </c>
      <c r="I14" s="249">
        <f t="shared" si="2"/>
        <v>2605</v>
      </c>
      <c r="J14" s="249">
        <f t="shared" si="2"/>
        <v>540</v>
      </c>
      <c r="K14" s="249">
        <f t="shared" si="2"/>
        <v>520</v>
      </c>
      <c r="L14" s="252">
        <f t="shared" si="3"/>
        <v>19.961612284069098</v>
      </c>
      <c r="M14" s="252">
        <f t="shared" si="4"/>
        <v>96.29629629629629</v>
      </c>
      <c r="N14" s="251">
        <f>K14-'[9]Janvāris'!K14</f>
        <v>30</v>
      </c>
    </row>
    <row r="15" spans="1:14" ht="17.25" customHeight="1">
      <c r="A15" s="243" t="s">
        <v>659</v>
      </c>
      <c r="B15" s="253">
        <f>B16+B42</f>
        <v>765146600</v>
      </c>
      <c r="C15" s="253">
        <f>SUM(C16,C42)</f>
        <v>126332205</v>
      </c>
      <c r="D15" s="253">
        <f>SUM(D16,D42)</f>
        <v>117828665</v>
      </c>
      <c r="E15" s="245">
        <f t="shared" si="0"/>
        <v>15.39948880384491</v>
      </c>
      <c r="F15" s="246">
        <f t="shared" si="1"/>
        <v>93.26890558112241</v>
      </c>
      <c r="G15" s="254">
        <f>SUM(G16,G42)</f>
        <v>57150597</v>
      </c>
      <c r="H15" s="243" t="s">
        <v>659</v>
      </c>
      <c r="I15" s="247">
        <f>SUM(I42,I16)</f>
        <v>765147</v>
      </c>
      <c r="J15" s="247">
        <f>ROUND(C15/1000,0)</f>
        <v>126332</v>
      </c>
      <c r="K15" s="247">
        <f>SUM(K42,K16)</f>
        <v>117829</v>
      </c>
      <c r="L15" s="248">
        <f t="shared" si="3"/>
        <v>15.399524535808151</v>
      </c>
      <c r="M15" s="248">
        <f t="shared" si="4"/>
        <v>93.26932210366337</v>
      </c>
      <c r="N15" s="253">
        <f>SUM(N16,N42)</f>
        <v>57150</v>
      </c>
    </row>
    <row r="16" spans="1:14" ht="17.25" customHeight="1">
      <c r="A16" s="212" t="s">
        <v>573</v>
      </c>
      <c r="B16" s="255">
        <f>731791976+116917</f>
        <v>731908893</v>
      </c>
      <c r="C16" s="255">
        <f>SUM(C17,C22,C25)</f>
        <v>121047978</v>
      </c>
      <c r="D16" s="255">
        <f>SUM(D17,D22,D25)</f>
        <v>113672481</v>
      </c>
      <c r="E16" s="245">
        <f t="shared" si="0"/>
        <v>15.530960490734195</v>
      </c>
      <c r="F16" s="246">
        <f t="shared" si="1"/>
        <v>93.90696389823215</v>
      </c>
      <c r="G16" s="256">
        <f>SUM(G17,G22,G25)</f>
        <v>56556346</v>
      </c>
      <c r="H16" s="212" t="s">
        <v>573</v>
      </c>
      <c r="I16" s="247">
        <f>ROUND(B16/1000,0)</f>
        <v>731909</v>
      </c>
      <c r="J16" s="247">
        <f>ROUND(C16/1000,0)</f>
        <v>121048</v>
      </c>
      <c r="K16" s="247">
        <f>SUM(K25,K22,K17)</f>
        <v>113672</v>
      </c>
      <c r="L16" s="248">
        <f t="shared" si="3"/>
        <v>15.530892501663457</v>
      </c>
      <c r="M16" s="248">
        <f t="shared" si="4"/>
        <v>93.90654946797964</v>
      </c>
      <c r="N16" s="244">
        <f>K16-'[9]Janvāris'!K16</f>
        <v>56555</v>
      </c>
    </row>
    <row r="17" spans="1:14" ht="17.25" customHeight="1">
      <c r="A17" s="212" t="s">
        <v>574</v>
      </c>
      <c r="B17" s="255">
        <f>31048482+116917</f>
        <v>31165399</v>
      </c>
      <c r="C17" s="255">
        <f>5628959+10782</f>
        <v>5639741</v>
      </c>
      <c r="D17" s="255">
        <f>'[6]Februāris'!$Z$9</f>
        <v>5105630</v>
      </c>
      <c r="E17" s="245">
        <f t="shared" si="0"/>
        <v>16.382366867820302</v>
      </c>
      <c r="F17" s="246">
        <f t="shared" si="1"/>
        <v>90.52951190489067</v>
      </c>
      <c r="G17" s="251">
        <f>D17-'[9]Janvāris'!D17</f>
        <v>3104951</v>
      </c>
      <c r="H17" s="212" t="s">
        <v>574</v>
      </c>
      <c r="I17" s="247">
        <f>ROUND(B17/1000,0)</f>
        <v>31165</v>
      </c>
      <c r="J17" s="247">
        <f>ROUND(C17/1000,0)</f>
        <v>5640</v>
      </c>
      <c r="K17" s="247">
        <f>ROUND(D17/1000,0)</f>
        <v>5106</v>
      </c>
      <c r="L17" s="248">
        <f t="shared" si="3"/>
        <v>16.383763837638377</v>
      </c>
      <c r="M17" s="248">
        <f t="shared" si="4"/>
        <v>90.53191489361701</v>
      </c>
      <c r="N17" s="244">
        <f>K17-'[9]Janvāris'!K17</f>
        <v>3105</v>
      </c>
    </row>
    <row r="18" spans="1:14" ht="15">
      <c r="A18" s="189" t="s">
        <v>660</v>
      </c>
      <c r="B18" s="257">
        <v>1552763</v>
      </c>
      <c r="C18" s="257">
        <v>260314</v>
      </c>
      <c r="D18" s="249">
        <f>'[6]Februāris'!$Z$10</f>
        <v>188662</v>
      </c>
      <c r="E18" s="245">
        <f t="shared" si="0"/>
        <v>12.150083431921034</v>
      </c>
      <c r="F18" s="246">
        <f t="shared" si="1"/>
        <v>72.47478045744754</v>
      </c>
      <c r="G18" s="251">
        <f>D18-'[9]Janvāris'!D18</f>
        <v>124798</v>
      </c>
      <c r="H18" s="189" t="s">
        <v>660</v>
      </c>
      <c r="I18" s="249">
        <f>ROUND(B18/1000,0)</f>
        <v>1553</v>
      </c>
      <c r="J18" s="249">
        <f>ROUND(C18/1000,0)</f>
        <v>260</v>
      </c>
      <c r="K18" s="249">
        <f aca="true" t="shared" si="5" ref="K18:K51">ROUND(D18/1000,0)</f>
        <v>189</v>
      </c>
      <c r="L18" s="252">
        <f t="shared" si="3"/>
        <v>12.169993560849967</v>
      </c>
      <c r="M18" s="252">
        <f t="shared" si="4"/>
        <v>72.6923076923077</v>
      </c>
      <c r="N18" s="251">
        <f>K18-'[9]Janvāris'!K18</f>
        <v>125</v>
      </c>
    </row>
    <row r="19" spans="1:14" ht="26.25">
      <c r="A19" s="89" t="s">
        <v>661</v>
      </c>
      <c r="B19" s="258" t="s">
        <v>360</v>
      </c>
      <c r="C19" s="258" t="s">
        <v>360</v>
      </c>
      <c r="D19" s="249">
        <f>'[6]Februāris'!$Z$11</f>
        <v>47245</v>
      </c>
      <c r="E19" s="245"/>
      <c r="F19" s="259" t="s">
        <v>360</v>
      </c>
      <c r="G19" s="251">
        <f>D19-'[9]Janvāris'!D19</f>
        <v>35262</v>
      </c>
      <c r="H19" s="89" t="s">
        <v>661</v>
      </c>
      <c r="I19" s="258" t="s">
        <v>360</v>
      </c>
      <c r="J19" s="258" t="s">
        <v>360</v>
      </c>
      <c r="K19" s="249">
        <f t="shared" si="5"/>
        <v>47</v>
      </c>
      <c r="L19" s="260" t="s">
        <v>360</v>
      </c>
      <c r="M19" s="260" t="s">
        <v>360</v>
      </c>
      <c r="N19" s="251">
        <f>K19-'[9]Janvāris'!K19</f>
        <v>35</v>
      </c>
    </row>
    <row r="20" spans="1:14" ht="15">
      <c r="A20" s="89" t="s">
        <v>662</v>
      </c>
      <c r="B20" s="258" t="s">
        <v>360</v>
      </c>
      <c r="C20" s="258">
        <f>5368645+10782</f>
        <v>5379427</v>
      </c>
      <c r="D20" s="249">
        <f>'[6]Februāris'!$Z$12</f>
        <v>4160804</v>
      </c>
      <c r="E20" s="245"/>
      <c r="F20" s="246">
        <f t="shared" si="1"/>
        <v>77.3466021566981</v>
      </c>
      <c r="G20" s="251">
        <f>D20-'[9]Janvāris'!D20</f>
        <v>2342572</v>
      </c>
      <c r="H20" s="89" t="s">
        <v>662</v>
      </c>
      <c r="I20" s="258" t="s">
        <v>360</v>
      </c>
      <c r="J20" s="249">
        <f>ROUND(C20/1000,0)</f>
        <v>5379</v>
      </c>
      <c r="K20" s="249">
        <f t="shared" si="5"/>
        <v>4161</v>
      </c>
      <c r="L20" s="260" t="s">
        <v>360</v>
      </c>
      <c r="M20" s="252">
        <f>K20/J20*100</f>
        <v>77.35638594534299</v>
      </c>
      <c r="N20" s="251">
        <f>K20-'[9]Janvāris'!K20</f>
        <v>2343</v>
      </c>
    </row>
    <row r="21" spans="1:14" ht="15">
      <c r="A21" s="89" t="s">
        <v>663</v>
      </c>
      <c r="B21" s="258">
        <v>5473101</v>
      </c>
      <c r="C21" s="258" t="s">
        <v>360</v>
      </c>
      <c r="D21" s="249">
        <f>'[6]Februāris'!$Z$15</f>
        <v>708919</v>
      </c>
      <c r="E21" s="245">
        <f t="shared" si="0"/>
        <v>12.952784902014416</v>
      </c>
      <c r="F21" s="259" t="s">
        <v>360</v>
      </c>
      <c r="G21" s="251">
        <f>D21-'[9]Janvāris'!D21</f>
        <v>602319</v>
      </c>
      <c r="H21" s="89" t="s">
        <v>663</v>
      </c>
      <c r="I21" s="249">
        <f>ROUND(B21/1000,0)</f>
        <v>5473</v>
      </c>
      <c r="J21" s="258" t="s">
        <v>360</v>
      </c>
      <c r="K21" s="249">
        <f t="shared" si="5"/>
        <v>709</v>
      </c>
      <c r="L21" s="252">
        <f>K21/I21*100</f>
        <v>12.954503928375663</v>
      </c>
      <c r="M21" s="260" t="s">
        <v>360</v>
      </c>
      <c r="N21" s="251">
        <f>K21-'[9]Janvāris'!K21</f>
        <v>602</v>
      </c>
    </row>
    <row r="22" spans="1:14" ht="30">
      <c r="A22" s="261" t="s">
        <v>582</v>
      </c>
      <c r="B22" s="244">
        <v>7862536</v>
      </c>
      <c r="C22" s="244">
        <f>613541+1126661</f>
        <v>1740202</v>
      </c>
      <c r="D22" s="262">
        <f>'[6]Februāris'!$Z$16</f>
        <v>1481031</v>
      </c>
      <c r="E22" s="245">
        <f t="shared" si="0"/>
        <v>18.8365560424779</v>
      </c>
      <c r="F22" s="246">
        <f t="shared" si="1"/>
        <v>85.10684391811985</v>
      </c>
      <c r="G22" s="251">
        <f>D22-'[9]Janvāris'!D22</f>
        <v>300197</v>
      </c>
      <c r="H22" s="261" t="s">
        <v>582</v>
      </c>
      <c r="I22" s="247">
        <f>ROUND(B22/1000,0)</f>
        <v>7863</v>
      </c>
      <c r="J22" s="247">
        <f>ROUND(C22/1000,0)</f>
        <v>1740</v>
      </c>
      <c r="K22" s="247">
        <f>SUM(K23:K24)</f>
        <v>1481</v>
      </c>
      <c r="L22" s="248">
        <f>K22/I22*100</f>
        <v>18.835050235279155</v>
      </c>
      <c r="M22" s="248">
        <f>K22/J22*100</f>
        <v>85.11494252873564</v>
      </c>
      <c r="N22" s="244">
        <f>K22-'[9]Janvāris'!K22</f>
        <v>300</v>
      </c>
    </row>
    <row r="23" spans="1:14" ht="26.25">
      <c r="A23" s="89" t="s">
        <v>664</v>
      </c>
      <c r="B23" s="258" t="s">
        <v>360</v>
      </c>
      <c r="C23" s="258" t="s">
        <v>360</v>
      </c>
      <c r="D23" s="263">
        <f>'[6]Februāris'!$Z$17</f>
        <v>1180834</v>
      </c>
      <c r="E23" s="245"/>
      <c r="F23" s="259" t="s">
        <v>360</v>
      </c>
      <c r="G23" s="251">
        <f>D23-'[9]Janvāris'!D23</f>
        <v>0</v>
      </c>
      <c r="H23" s="89" t="s">
        <v>664</v>
      </c>
      <c r="I23" s="258" t="s">
        <v>360</v>
      </c>
      <c r="J23" s="258" t="s">
        <v>360</v>
      </c>
      <c r="K23" s="249">
        <f t="shared" si="5"/>
        <v>1181</v>
      </c>
      <c r="L23" s="260" t="s">
        <v>360</v>
      </c>
      <c r="M23" s="260" t="s">
        <v>360</v>
      </c>
      <c r="N23" s="251">
        <v>0</v>
      </c>
    </row>
    <row r="24" spans="1:14" ht="26.25">
      <c r="A24" s="89" t="s">
        <v>665</v>
      </c>
      <c r="B24" s="258" t="s">
        <v>360</v>
      </c>
      <c r="C24" s="258" t="s">
        <v>360</v>
      </c>
      <c r="D24" s="262">
        <f>'[6]Februāris'!$Z$18</f>
        <v>300197</v>
      </c>
      <c r="E24" s="245"/>
      <c r="F24" s="259" t="s">
        <v>360</v>
      </c>
      <c r="G24" s="251">
        <f>D24-'[9]Janvāris'!D24</f>
        <v>300197</v>
      </c>
      <c r="H24" s="89" t="s">
        <v>665</v>
      </c>
      <c r="I24" s="258" t="s">
        <v>360</v>
      </c>
      <c r="J24" s="258" t="s">
        <v>360</v>
      </c>
      <c r="K24" s="249">
        <f t="shared" si="5"/>
        <v>300</v>
      </c>
      <c r="L24" s="260" t="s">
        <v>360</v>
      </c>
      <c r="M24" s="260" t="s">
        <v>360</v>
      </c>
      <c r="N24" s="251">
        <f>K24-'[9]Janvāris'!K24</f>
        <v>300</v>
      </c>
    </row>
    <row r="25" spans="1:14" ht="17.25" customHeight="1">
      <c r="A25" s="57" t="s">
        <v>585</v>
      </c>
      <c r="B25" s="247">
        <v>692880958</v>
      </c>
      <c r="C25" s="264">
        <f>SUM(C26,C28,C33,C34,C35,C40,C41)</f>
        <v>113668035</v>
      </c>
      <c r="D25" s="264">
        <f>SUM(D26,D28,D33,D34,D35,D40,D41)</f>
        <v>107085820</v>
      </c>
      <c r="E25" s="245">
        <f t="shared" si="0"/>
        <v>15.455154130531035</v>
      </c>
      <c r="F25" s="246">
        <f>D25/C25*100</f>
        <v>94.20926472424723</v>
      </c>
      <c r="G25" s="251">
        <f>D25-'[9]Janvāris'!D25</f>
        <v>53151198</v>
      </c>
      <c r="H25" s="57" t="s">
        <v>585</v>
      </c>
      <c r="I25" s="247">
        <f>ROUND(B25/1000,0)</f>
        <v>692881</v>
      </c>
      <c r="J25" s="247">
        <f>ROUND(C25/1000,0)</f>
        <v>113668</v>
      </c>
      <c r="K25" s="247">
        <f>SUM(K28,K26,K33,K34,K35,K41)</f>
        <v>107085</v>
      </c>
      <c r="L25" s="248">
        <f>K25/I25*100</f>
        <v>15.455034847253712</v>
      </c>
      <c r="M25" s="248">
        <f>K25/J25*100</f>
        <v>94.20857233346236</v>
      </c>
      <c r="N25" s="244">
        <f>K25-'[9]Janvāris'!K25</f>
        <v>53150</v>
      </c>
    </row>
    <row r="26" spans="1:14" ht="14.25">
      <c r="A26" s="189" t="s">
        <v>666</v>
      </c>
      <c r="B26" s="258" t="s">
        <v>360</v>
      </c>
      <c r="C26" s="258">
        <v>4296300</v>
      </c>
      <c r="D26" s="264">
        <f>'[6]Februāris'!$Z$20</f>
        <v>995943</v>
      </c>
      <c r="E26" s="259" t="s">
        <v>360</v>
      </c>
      <c r="F26" s="246">
        <f>D26/C26*100</f>
        <v>23.18141191257594</v>
      </c>
      <c r="G26" s="251">
        <f>D26-'[9]Janvāris'!D26</f>
        <v>539411</v>
      </c>
      <c r="H26" s="189" t="s">
        <v>666</v>
      </c>
      <c r="I26" s="258" t="s">
        <v>360</v>
      </c>
      <c r="J26" s="249">
        <f>ROUND(C26/1000,0)</f>
        <v>4296</v>
      </c>
      <c r="K26" s="249">
        <f t="shared" si="5"/>
        <v>996</v>
      </c>
      <c r="L26" s="260" t="s">
        <v>360</v>
      </c>
      <c r="M26" s="252">
        <f>K26/J26*100</f>
        <v>23.18435754189944</v>
      </c>
      <c r="N26" s="251">
        <f>K26-'[9]Janvāris'!K26</f>
        <v>539</v>
      </c>
    </row>
    <row r="27" spans="1:14" ht="14.25">
      <c r="A27" s="265" t="s">
        <v>667</v>
      </c>
      <c r="B27" s="258" t="s">
        <v>360</v>
      </c>
      <c r="C27" s="258" t="s">
        <v>360</v>
      </c>
      <c r="D27" s="266">
        <v>605139</v>
      </c>
      <c r="E27" s="259" t="s">
        <v>360</v>
      </c>
      <c r="F27" s="259" t="s">
        <v>360</v>
      </c>
      <c r="G27" s="251">
        <f>D27-'[9]Janvāris'!D27</f>
        <v>278819</v>
      </c>
      <c r="H27" s="265" t="s">
        <v>668</v>
      </c>
      <c r="I27" s="258" t="s">
        <v>360</v>
      </c>
      <c r="J27" s="258" t="s">
        <v>360</v>
      </c>
      <c r="K27" s="249">
        <f t="shared" si="5"/>
        <v>605</v>
      </c>
      <c r="L27" s="260" t="s">
        <v>360</v>
      </c>
      <c r="M27" s="260" t="s">
        <v>360</v>
      </c>
      <c r="N27" s="251">
        <f>K27-'[9]Janvāris'!K27</f>
        <v>279</v>
      </c>
    </row>
    <row r="28" spans="1:14" ht="14.25">
      <c r="A28" s="189" t="s">
        <v>669</v>
      </c>
      <c r="B28" s="258" t="s">
        <v>360</v>
      </c>
      <c r="C28" s="258" t="s">
        <v>360</v>
      </c>
      <c r="D28" s="264">
        <f>'[6]Februāris'!$Z$21</f>
        <v>2951052</v>
      </c>
      <c r="E28" s="259" t="s">
        <v>360</v>
      </c>
      <c r="F28" s="259" t="s">
        <v>360</v>
      </c>
      <c r="G28" s="251">
        <f>D28-'[9]Janvāris'!D28</f>
        <v>1538873</v>
      </c>
      <c r="H28" s="189" t="s">
        <v>669</v>
      </c>
      <c r="I28" s="258" t="s">
        <v>360</v>
      </c>
      <c r="J28" s="258" t="s">
        <v>360</v>
      </c>
      <c r="K28" s="249">
        <f t="shared" si="5"/>
        <v>2951</v>
      </c>
      <c r="L28" s="260" t="s">
        <v>360</v>
      </c>
      <c r="M28" s="260" t="s">
        <v>360</v>
      </c>
      <c r="N28" s="251">
        <f>K28-'[9]Janvāris'!K28</f>
        <v>1539</v>
      </c>
    </row>
    <row r="29" spans="1:14" ht="14.25">
      <c r="A29" s="265" t="s">
        <v>670</v>
      </c>
      <c r="B29" s="258" t="s">
        <v>360</v>
      </c>
      <c r="C29" s="258" t="s">
        <v>360</v>
      </c>
      <c r="D29" s="266">
        <v>1960856</v>
      </c>
      <c r="E29" s="259" t="s">
        <v>360</v>
      </c>
      <c r="F29" s="259" t="s">
        <v>360</v>
      </c>
      <c r="G29" s="251">
        <f>D29-'[9]Janvāris'!D29</f>
        <v>1048873</v>
      </c>
      <c r="H29" s="265" t="s">
        <v>671</v>
      </c>
      <c r="I29" s="258" t="s">
        <v>360</v>
      </c>
      <c r="J29" s="258" t="s">
        <v>360</v>
      </c>
      <c r="K29" s="249">
        <f t="shared" si="5"/>
        <v>1961</v>
      </c>
      <c r="L29" s="260" t="s">
        <v>360</v>
      </c>
      <c r="M29" s="260" t="s">
        <v>360</v>
      </c>
      <c r="N29" s="251">
        <f>K29-'[9]Janvāris'!K29</f>
        <v>1049</v>
      </c>
    </row>
    <row r="30" spans="1:14" ht="25.5">
      <c r="A30" s="96" t="s">
        <v>672</v>
      </c>
      <c r="B30" s="258" t="s">
        <v>360</v>
      </c>
      <c r="C30" s="258" t="s">
        <v>360</v>
      </c>
      <c r="D30" s="264">
        <f>SUM(D31:D32)</f>
        <v>990196</v>
      </c>
      <c r="E30" s="259" t="s">
        <v>360</v>
      </c>
      <c r="F30" s="259" t="s">
        <v>360</v>
      </c>
      <c r="G30" s="251">
        <f>D30-'[9]Janvāris'!D30</f>
        <v>490000</v>
      </c>
      <c r="H30" s="96" t="s">
        <v>673</v>
      </c>
      <c r="I30" s="258" t="s">
        <v>360</v>
      </c>
      <c r="J30" s="258" t="s">
        <v>360</v>
      </c>
      <c r="K30" s="249">
        <f t="shared" si="5"/>
        <v>990</v>
      </c>
      <c r="L30" s="260" t="s">
        <v>360</v>
      </c>
      <c r="M30" s="260" t="s">
        <v>360</v>
      </c>
      <c r="N30" s="251">
        <f>K30-'[9]Janvāris'!K30</f>
        <v>490</v>
      </c>
    </row>
    <row r="31" spans="1:14" ht="14.25">
      <c r="A31" s="267" t="s">
        <v>674</v>
      </c>
      <c r="B31" s="258" t="s">
        <v>360</v>
      </c>
      <c r="C31" s="258" t="s">
        <v>360</v>
      </c>
      <c r="D31" s="264">
        <v>541404</v>
      </c>
      <c r="E31" s="259" t="s">
        <v>360</v>
      </c>
      <c r="F31" s="259" t="s">
        <v>360</v>
      </c>
      <c r="G31" s="251">
        <f>D31-'[9]Janvāris'!D31</f>
        <v>269209</v>
      </c>
      <c r="H31" s="267" t="s">
        <v>675</v>
      </c>
      <c r="I31" s="258" t="s">
        <v>360</v>
      </c>
      <c r="J31" s="258" t="s">
        <v>360</v>
      </c>
      <c r="K31" s="249">
        <f t="shared" si="5"/>
        <v>541</v>
      </c>
      <c r="L31" s="260" t="s">
        <v>360</v>
      </c>
      <c r="M31" s="260" t="s">
        <v>360</v>
      </c>
      <c r="N31" s="251">
        <f>K31-'[9]Janvāris'!K31</f>
        <v>269</v>
      </c>
    </row>
    <row r="32" spans="1:14" ht="14.25">
      <c r="A32" s="267" t="s">
        <v>676</v>
      </c>
      <c r="B32" s="258" t="s">
        <v>360</v>
      </c>
      <c r="C32" s="258" t="s">
        <v>360</v>
      </c>
      <c r="D32" s="264">
        <v>448792</v>
      </c>
      <c r="E32" s="259" t="s">
        <v>360</v>
      </c>
      <c r="F32" s="259" t="s">
        <v>360</v>
      </c>
      <c r="G32" s="251">
        <f>D32-'[9]Janvāris'!D32</f>
        <v>220791</v>
      </c>
      <c r="H32" s="267" t="s">
        <v>677</v>
      </c>
      <c r="I32" s="258" t="s">
        <v>360</v>
      </c>
      <c r="J32" s="258" t="s">
        <v>360</v>
      </c>
      <c r="K32" s="249">
        <f t="shared" si="5"/>
        <v>449</v>
      </c>
      <c r="L32" s="260" t="s">
        <v>360</v>
      </c>
      <c r="M32" s="260" t="s">
        <v>360</v>
      </c>
      <c r="N32" s="251">
        <f>K32-'[9]Janvāris'!K32</f>
        <v>221</v>
      </c>
    </row>
    <row r="33" spans="1:14" ht="14.25">
      <c r="A33" s="189" t="s">
        <v>678</v>
      </c>
      <c r="B33" s="190" t="s">
        <v>360</v>
      </c>
      <c r="C33" s="190" t="s">
        <v>360</v>
      </c>
      <c r="D33" s="264">
        <v>0</v>
      </c>
      <c r="E33" s="259" t="s">
        <v>360</v>
      </c>
      <c r="F33" s="259" t="s">
        <v>360</v>
      </c>
      <c r="G33" s="251">
        <f>D33-'[9]Janvāris'!D33</f>
        <v>0</v>
      </c>
      <c r="H33" s="189" t="s">
        <v>678</v>
      </c>
      <c r="I33" s="190" t="s">
        <v>360</v>
      </c>
      <c r="J33" s="190" t="s">
        <v>360</v>
      </c>
      <c r="K33" s="249">
        <f t="shared" si="5"/>
        <v>0</v>
      </c>
      <c r="L33" s="260" t="s">
        <v>360</v>
      </c>
      <c r="M33" s="260" t="s">
        <v>360</v>
      </c>
      <c r="N33" s="251">
        <f>K33-'[9]Janvāris'!K33</f>
        <v>0</v>
      </c>
    </row>
    <row r="34" spans="1:14" ht="26.25">
      <c r="A34" s="89" t="s">
        <v>679</v>
      </c>
      <c r="B34" s="258">
        <v>155178987</v>
      </c>
      <c r="C34" s="264">
        <f>21404382+653315+1118302</f>
        <v>23175999</v>
      </c>
      <c r="D34" s="264">
        <f>'[6]Februāris'!$Z$23-D41</f>
        <v>21144148</v>
      </c>
      <c r="E34" s="245">
        <f t="shared" si="0"/>
        <v>13.62565151942898</v>
      </c>
      <c r="F34" s="246">
        <f>D34/C34*100</f>
        <v>91.23295181364135</v>
      </c>
      <c r="G34" s="251">
        <f>D34-'[9]Janvāris'!D34</f>
        <v>10916391</v>
      </c>
      <c r="H34" s="89" t="s">
        <v>679</v>
      </c>
      <c r="I34" s="249">
        <f>ROUND(B34/1000,0)</f>
        <v>155179</v>
      </c>
      <c r="J34" s="249">
        <f>ROUND(C34/1000,0)</f>
        <v>23176</v>
      </c>
      <c r="K34" s="249">
        <f t="shared" si="5"/>
        <v>21144</v>
      </c>
      <c r="L34" s="252">
        <f>K34/I34*100</f>
        <v>13.625555004220931</v>
      </c>
      <c r="M34" s="252">
        <f>K34/J34*100</f>
        <v>91.23230928546772</v>
      </c>
      <c r="N34" s="251">
        <f>K34-'[9]Janvāris'!K34</f>
        <v>10916</v>
      </c>
    </row>
    <row r="35" spans="1:14" ht="17.25" customHeight="1">
      <c r="A35" s="89" t="s">
        <v>680</v>
      </c>
      <c r="B35" s="258">
        <v>509376221</v>
      </c>
      <c r="C35" s="264">
        <f>11116+43369702+42599868</f>
        <v>85980686</v>
      </c>
      <c r="D35" s="264">
        <f>SUM(D36:D39)</f>
        <v>81794477</v>
      </c>
      <c r="E35" s="245">
        <f t="shared" si="0"/>
        <v>16.05777294421445</v>
      </c>
      <c r="F35" s="246">
        <f>D35/C35*100</f>
        <v>95.13122167925016</v>
      </c>
      <c r="G35" s="251">
        <f>D35-'[9]Janvāris'!D35</f>
        <v>40061385</v>
      </c>
      <c r="H35" s="89" t="s">
        <v>680</v>
      </c>
      <c r="I35" s="249">
        <f>ROUND(B35/1000,0)</f>
        <v>509376</v>
      </c>
      <c r="J35" s="249">
        <f>ROUND(C35/1000,0)</f>
        <v>85981</v>
      </c>
      <c r="K35" s="249">
        <f>SUM(K36:K39)</f>
        <v>81794</v>
      </c>
      <c r="L35" s="252">
        <f>K35/I35*100</f>
        <v>16.057686267118985</v>
      </c>
      <c r="M35" s="252">
        <f>K35/J35*100</f>
        <v>95.13031948918947</v>
      </c>
      <c r="N35" s="251">
        <f>K35-'[9]Janvāris'!K35</f>
        <v>40061</v>
      </c>
    </row>
    <row r="36" spans="1:14" ht="17.25" customHeight="1">
      <c r="A36" s="193" t="s">
        <v>681</v>
      </c>
      <c r="B36" s="268" t="s">
        <v>360</v>
      </c>
      <c r="C36" s="268" t="s">
        <v>360</v>
      </c>
      <c r="D36" s="269">
        <v>75946615</v>
      </c>
      <c r="E36" s="245"/>
      <c r="F36" s="259" t="s">
        <v>360</v>
      </c>
      <c r="G36" s="251">
        <f>D36-'[9]Janvāris'!D36</f>
        <v>36803827</v>
      </c>
      <c r="H36" s="193" t="s">
        <v>681</v>
      </c>
      <c r="I36" s="268" t="s">
        <v>360</v>
      </c>
      <c r="J36" s="268" t="s">
        <v>360</v>
      </c>
      <c r="K36" s="249">
        <f t="shared" si="5"/>
        <v>75947</v>
      </c>
      <c r="L36" s="260" t="s">
        <v>360</v>
      </c>
      <c r="M36" s="260" t="s">
        <v>360</v>
      </c>
      <c r="N36" s="251">
        <f>K36-'[9]Janvāris'!K36</f>
        <v>36804</v>
      </c>
    </row>
    <row r="37" spans="1:14" ht="17.25" customHeight="1">
      <c r="A37" s="193" t="s">
        <v>682</v>
      </c>
      <c r="B37" s="268" t="s">
        <v>360</v>
      </c>
      <c r="C37" s="268" t="s">
        <v>360</v>
      </c>
      <c r="D37" s="269">
        <v>5643473</v>
      </c>
      <c r="E37" s="245"/>
      <c r="F37" s="259" t="s">
        <v>360</v>
      </c>
      <c r="G37" s="251">
        <f>D37-'[9]Janvāris'!D37</f>
        <v>3141238</v>
      </c>
      <c r="H37" s="193" t="s">
        <v>682</v>
      </c>
      <c r="I37" s="268" t="s">
        <v>360</v>
      </c>
      <c r="J37" s="268" t="s">
        <v>360</v>
      </c>
      <c r="K37" s="249">
        <f t="shared" si="5"/>
        <v>5643</v>
      </c>
      <c r="L37" s="260" t="s">
        <v>360</v>
      </c>
      <c r="M37" s="260" t="s">
        <v>360</v>
      </c>
      <c r="N37" s="251">
        <f>K37-'[9]Janvāris'!K37</f>
        <v>3141</v>
      </c>
    </row>
    <row r="38" spans="1:14" ht="17.25" customHeight="1">
      <c r="A38" s="193" t="s">
        <v>683</v>
      </c>
      <c r="B38" s="268" t="s">
        <v>360</v>
      </c>
      <c r="C38" s="268" t="s">
        <v>360</v>
      </c>
      <c r="D38" s="269">
        <v>137843</v>
      </c>
      <c r="E38" s="245"/>
      <c r="F38" s="259" t="s">
        <v>360</v>
      </c>
      <c r="G38" s="251">
        <f>D38-'[9]Janvāris'!D38</f>
        <v>85367</v>
      </c>
      <c r="H38" s="193" t="s">
        <v>683</v>
      </c>
      <c r="I38" s="268" t="s">
        <v>360</v>
      </c>
      <c r="J38" s="268" t="s">
        <v>360</v>
      </c>
      <c r="K38" s="249">
        <f t="shared" si="5"/>
        <v>138</v>
      </c>
      <c r="L38" s="260" t="s">
        <v>360</v>
      </c>
      <c r="M38" s="260" t="s">
        <v>360</v>
      </c>
      <c r="N38" s="251">
        <f>K38-'[9]Janvāris'!K38</f>
        <v>86</v>
      </c>
    </row>
    <row r="39" spans="1:14" ht="17.25" customHeight="1">
      <c r="A39" s="193" t="s">
        <v>684</v>
      </c>
      <c r="B39" s="268" t="s">
        <v>360</v>
      </c>
      <c r="C39" s="268" t="s">
        <v>360</v>
      </c>
      <c r="D39" s="270">
        <v>66546</v>
      </c>
      <c r="E39" s="245"/>
      <c r="F39" s="259" t="s">
        <v>360</v>
      </c>
      <c r="G39" s="251">
        <f>D39-'[9]Janvāris'!D39</f>
        <v>30953</v>
      </c>
      <c r="H39" s="193" t="s">
        <v>684</v>
      </c>
      <c r="I39" s="268" t="s">
        <v>360</v>
      </c>
      <c r="J39" s="268" t="s">
        <v>360</v>
      </c>
      <c r="K39" s="249">
        <f>ROUND(D39/1000,0)-1</f>
        <v>66</v>
      </c>
      <c r="L39" s="260" t="s">
        <v>360</v>
      </c>
      <c r="M39" s="260" t="s">
        <v>360</v>
      </c>
      <c r="N39" s="251">
        <f>K39-'[9]Janvāris'!K39</f>
        <v>30</v>
      </c>
    </row>
    <row r="40" spans="1:14" ht="26.25">
      <c r="A40" s="89" t="s">
        <v>685</v>
      </c>
      <c r="B40" s="271">
        <v>84850</v>
      </c>
      <c r="C40" s="271">
        <v>14850</v>
      </c>
      <c r="D40" s="271">
        <f>'[6]Februāris'!$Z$29</f>
        <v>0</v>
      </c>
      <c r="E40" s="245">
        <f t="shared" si="0"/>
        <v>0</v>
      </c>
      <c r="F40" s="246">
        <f aca="true" t="shared" si="6" ref="F40:F47">D40/C40*100</f>
        <v>0</v>
      </c>
      <c r="G40" s="251">
        <f>D40-'[9]Janvāris'!D40</f>
        <v>-4962</v>
      </c>
      <c r="H40" s="89" t="s">
        <v>685</v>
      </c>
      <c r="I40" s="249">
        <f aca="true" t="shared" si="7" ref="I40:J47">ROUND(B40/1000,0)</f>
        <v>85</v>
      </c>
      <c r="J40" s="249">
        <f t="shared" si="7"/>
        <v>15</v>
      </c>
      <c r="K40" s="249">
        <f t="shared" si="5"/>
        <v>0</v>
      </c>
      <c r="L40" s="252">
        <f aca="true" t="shared" si="8" ref="L40:L45">K40/I40*100</f>
        <v>0</v>
      </c>
      <c r="M40" s="252">
        <f>K40/J40*100</f>
        <v>0</v>
      </c>
      <c r="N40" s="251">
        <f>K40-'[9]Janvāris'!K40</f>
        <v>-5</v>
      </c>
    </row>
    <row r="41" spans="1:14" ht="39">
      <c r="A41" s="89" t="s">
        <v>686</v>
      </c>
      <c r="B41" s="271">
        <v>1201200</v>
      </c>
      <c r="C41" s="268">
        <v>200200</v>
      </c>
      <c r="D41" s="249">
        <f>'[6]Februāris'!$Z$24</f>
        <v>200200</v>
      </c>
      <c r="E41" s="245">
        <f t="shared" si="0"/>
        <v>16.666666666666664</v>
      </c>
      <c r="F41" s="259" t="s">
        <v>360</v>
      </c>
      <c r="G41" s="251">
        <f>D41-'[9]Janvāris'!D41</f>
        <v>100100</v>
      </c>
      <c r="H41" s="89" t="s">
        <v>686</v>
      </c>
      <c r="I41" s="249">
        <f t="shared" si="7"/>
        <v>1201</v>
      </c>
      <c r="J41" s="249">
        <f t="shared" si="7"/>
        <v>200</v>
      </c>
      <c r="K41" s="249">
        <f t="shared" si="5"/>
        <v>200</v>
      </c>
      <c r="L41" s="252">
        <f t="shared" si="8"/>
        <v>16.65278934221482</v>
      </c>
      <c r="M41" s="252">
        <f>K41/J41*100</f>
        <v>100</v>
      </c>
      <c r="N41" s="251">
        <f>K41-'[9]Janvāris'!K41</f>
        <v>100</v>
      </c>
    </row>
    <row r="42" spans="1:14" ht="17.25" customHeight="1">
      <c r="A42" s="272" t="s">
        <v>687</v>
      </c>
      <c r="B42" s="273">
        <f>SUM(B43:B44)</f>
        <v>33237707</v>
      </c>
      <c r="C42" s="273">
        <f>SUM(C43:C44)</f>
        <v>5284227</v>
      </c>
      <c r="D42" s="273">
        <f>SUM(D43:D44)</f>
        <v>4156184</v>
      </c>
      <c r="E42" s="245">
        <f t="shared" si="0"/>
        <v>12.504424568156884</v>
      </c>
      <c r="F42" s="246">
        <f t="shared" si="6"/>
        <v>78.65263926019833</v>
      </c>
      <c r="G42" s="251">
        <f>D42-'[9]Janvāris'!D42</f>
        <v>594251</v>
      </c>
      <c r="H42" s="272" t="s">
        <v>687</v>
      </c>
      <c r="I42" s="247">
        <f>SUM(I43:I44)</f>
        <v>33238</v>
      </c>
      <c r="J42" s="247">
        <f>SUM(J43:J44)</f>
        <v>5284</v>
      </c>
      <c r="K42" s="247">
        <f>SUM(K43:K44)</f>
        <v>4157</v>
      </c>
      <c r="L42" s="248">
        <f t="shared" si="8"/>
        <v>12.50676936037066</v>
      </c>
      <c r="M42" s="248">
        <f>K42/J42*100</f>
        <v>78.67146101438306</v>
      </c>
      <c r="N42" s="244">
        <f>K42-'[9]Janvāris'!K42</f>
        <v>595</v>
      </c>
    </row>
    <row r="43" spans="1:14" ht="15">
      <c r="A43" s="89" t="s">
        <v>688</v>
      </c>
      <c r="B43" s="257">
        <f>11728286+810000</f>
        <v>12538286</v>
      </c>
      <c r="C43" s="257">
        <v>4000660</v>
      </c>
      <c r="D43" s="249">
        <f>'[6]Februāris'!$Z$31</f>
        <v>3534986</v>
      </c>
      <c r="E43" s="245">
        <f t="shared" si="0"/>
        <v>28.19353458678483</v>
      </c>
      <c r="F43" s="246">
        <f t="shared" si="6"/>
        <v>88.36007058835293</v>
      </c>
      <c r="G43" s="251">
        <f>D43-'[9]Janvāris'!D43</f>
        <v>358504</v>
      </c>
      <c r="H43" s="89" t="s">
        <v>688</v>
      </c>
      <c r="I43" s="249">
        <f t="shared" si="7"/>
        <v>12538</v>
      </c>
      <c r="J43" s="249">
        <f>ROUND(C43/1000,0)-1</f>
        <v>4000</v>
      </c>
      <c r="K43" s="249">
        <f t="shared" si="5"/>
        <v>3535</v>
      </c>
      <c r="L43" s="252">
        <f t="shared" si="8"/>
        <v>28.194289360344555</v>
      </c>
      <c r="M43" s="252">
        <f>K43/J43*100</f>
        <v>88.375</v>
      </c>
      <c r="N43" s="251">
        <f>K43-'[9]Janvāris'!K43</f>
        <v>358</v>
      </c>
    </row>
    <row r="44" spans="1:14" ht="15">
      <c r="A44" s="89" t="s">
        <v>689</v>
      </c>
      <c r="B44" s="257">
        <v>20699421</v>
      </c>
      <c r="C44" s="257">
        <f>833367+234780+215420</f>
        <v>1283567</v>
      </c>
      <c r="D44" s="249">
        <f>'[6]Februāris'!$Z$32</f>
        <v>621198</v>
      </c>
      <c r="E44" s="245">
        <f t="shared" si="0"/>
        <v>3.001040463885439</v>
      </c>
      <c r="F44" s="246">
        <f t="shared" si="6"/>
        <v>48.39622707657645</v>
      </c>
      <c r="G44" s="251">
        <f>D44-'[9]Janvāris'!D44</f>
        <v>235747</v>
      </c>
      <c r="H44" s="89" t="s">
        <v>689</v>
      </c>
      <c r="I44" s="249">
        <f>ROUND(B44/1000,0)+1</f>
        <v>20700</v>
      </c>
      <c r="J44" s="249">
        <f t="shared" si="7"/>
        <v>1284</v>
      </c>
      <c r="K44" s="249">
        <f>ROUND(D44/1000,0)+1</f>
        <v>622</v>
      </c>
      <c r="L44" s="252">
        <f t="shared" si="8"/>
        <v>3.004830917874396</v>
      </c>
      <c r="M44" s="252">
        <f>K44/J44*100</f>
        <v>48.442367601246104</v>
      </c>
      <c r="N44" s="251">
        <f>K44-'[9]Janvāris'!K44</f>
        <v>237</v>
      </c>
    </row>
    <row r="45" spans="1:14" ht="30">
      <c r="A45" s="261" t="s">
        <v>690</v>
      </c>
      <c r="B45" s="255">
        <v>6699203</v>
      </c>
      <c r="C45" s="274" t="s">
        <v>360</v>
      </c>
      <c r="D45" s="255">
        <f>D46-D47</f>
        <v>1124535</v>
      </c>
      <c r="E45" s="245">
        <f t="shared" si="0"/>
        <v>16.78610127204684</v>
      </c>
      <c r="F45" s="259" t="s">
        <v>360</v>
      </c>
      <c r="G45" s="251">
        <f>D45-'[9]Janvāris'!D45</f>
        <v>656144</v>
      </c>
      <c r="H45" s="261" t="s">
        <v>690</v>
      </c>
      <c r="I45" s="247">
        <f t="shared" si="7"/>
        <v>6699</v>
      </c>
      <c r="J45" s="275" t="s">
        <v>360</v>
      </c>
      <c r="K45" s="247">
        <f t="shared" si="5"/>
        <v>1125</v>
      </c>
      <c r="L45" s="248">
        <f t="shared" si="8"/>
        <v>16.7935512763099</v>
      </c>
      <c r="M45" s="276" t="s">
        <v>360</v>
      </c>
      <c r="N45" s="244">
        <f>K45-'[9]Janvāris'!K45</f>
        <v>657</v>
      </c>
    </row>
    <row r="46" spans="1:14" ht="15">
      <c r="A46" s="189" t="s">
        <v>691</v>
      </c>
      <c r="B46" s="274" t="s">
        <v>360</v>
      </c>
      <c r="C46" s="249">
        <v>1386200</v>
      </c>
      <c r="D46" s="249">
        <f>'[6]Februāris'!$Z$34</f>
        <v>1138992</v>
      </c>
      <c r="E46" s="245"/>
      <c r="F46" s="246">
        <f t="shared" si="6"/>
        <v>82.16649834078777</v>
      </c>
      <c r="G46" s="251">
        <f>D46-'[9]Janvāris'!D46</f>
        <v>662872</v>
      </c>
      <c r="H46" s="189" t="s">
        <v>691</v>
      </c>
      <c r="I46" s="274" t="s">
        <v>360</v>
      </c>
      <c r="J46" s="249">
        <f t="shared" si="7"/>
        <v>1386</v>
      </c>
      <c r="K46" s="249">
        <f t="shared" si="5"/>
        <v>1139</v>
      </c>
      <c r="L46" s="260" t="s">
        <v>360</v>
      </c>
      <c r="M46" s="252">
        <f>K46/J46*100</f>
        <v>82.17893217893217</v>
      </c>
      <c r="N46" s="251">
        <f>K46-'[9]Janvāris'!K46</f>
        <v>663</v>
      </c>
    </row>
    <row r="47" spans="1:14" ht="26.25">
      <c r="A47" s="201" t="s">
        <v>692</v>
      </c>
      <c r="B47" s="274" t="s">
        <v>360</v>
      </c>
      <c r="C47" s="249">
        <v>19468</v>
      </c>
      <c r="D47" s="269">
        <v>14457</v>
      </c>
      <c r="E47" s="245"/>
      <c r="F47" s="246">
        <f t="shared" si="6"/>
        <v>74.26032463529896</v>
      </c>
      <c r="G47" s="251">
        <f>D47-'[9]Janvāris'!D47</f>
        <v>6728</v>
      </c>
      <c r="H47" s="201" t="s">
        <v>692</v>
      </c>
      <c r="I47" s="274" t="s">
        <v>360</v>
      </c>
      <c r="J47" s="249">
        <f t="shared" si="7"/>
        <v>19</v>
      </c>
      <c r="K47" s="249">
        <f t="shared" si="5"/>
        <v>14</v>
      </c>
      <c r="L47" s="260" t="s">
        <v>360</v>
      </c>
      <c r="M47" s="252">
        <f>K47/J47*100</f>
        <v>73.68421052631578</v>
      </c>
      <c r="N47" s="251">
        <f>K47-'[9]Janvāris'!K47</f>
        <v>6</v>
      </c>
    </row>
    <row r="48" spans="1:14" ht="17.25" customHeight="1">
      <c r="A48" s="261" t="s">
        <v>693</v>
      </c>
      <c r="B48" s="273">
        <f>B10-B15-B45</f>
        <v>-46327102</v>
      </c>
      <c r="C48" s="274" t="s">
        <v>360</v>
      </c>
      <c r="D48" s="273">
        <f>D10-D15-D45</f>
        <v>-10579578</v>
      </c>
      <c r="E48" s="245">
        <f t="shared" si="0"/>
        <v>22.836692871485898</v>
      </c>
      <c r="F48" s="259" t="s">
        <v>360</v>
      </c>
      <c r="G48" s="251"/>
      <c r="H48" s="261" t="s">
        <v>693</v>
      </c>
      <c r="I48" s="273">
        <f>I10-I15-I45</f>
        <v>-46327</v>
      </c>
      <c r="J48" s="275" t="s">
        <v>360</v>
      </c>
      <c r="K48" s="247">
        <f t="shared" si="5"/>
        <v>-10580</v>
      </c>
      <c r="L48" s="248">
        <f>K48/I48*100</f>
        <v>22.837654067822218</v>
      </c>
      <c r="M48" s="260" t="s">
        <v>360</v>
      </c>
      <c r="N48" s="244">
        <f>K48-'[9]Janvāris'!K48</f>
        <v>-5296</v>
      </c>
    </row>
    <row r="49" spans="1:14" ht="17.25" customHeight="1">
      <c r="A49" s="261" t="s">
        <v>595</v>
      </c>
      <c r="B49" s="255">
        <f>-B48</f>
        <v>46327102</v>
      </c>
      <c r="C49" s="258" t="s">
        <v>360</v>
      </c>
      <c r="D49" s="255">
        <f>-D48</f>
        <v>10579578</v>
      </c>
      <c r="E49" s="245">
        <f t="shared" si="0"/>
        <v>22.836692871485898</v>
      </c>
      <c r="F49" s="259" t="s">
        <v>360</v>
      </c>
      <c r="G49" s="251">
        <f>D49-'[9]Janvāris'!D49</f>
        <v>5296300</v>
      </c>
      <c r="H49" s="261" t="s">
        <v>595</v>
      </c>
      <c r="I49" s="255">
        <f>-I48</f>
        <v>46327</v>
      </c>
      <c r="J49" s="277" t="s">
        <v>360</v>
      </c>
      <c r="K49" s="247">
        <f t="shared" si="5"/>
        <v>10580</v>
      </c>
      <c r="L49" s="248">
        <f>K49/I49*100</f>
        <v>22.837654067822218</v>
      </c>
      <c r="M49" s="260" t="s">
        <v>360</v>
      </c>
      <c r="N49" s="244">
        <f>K49-'[9]Janvāris'!K49</f>
        <v>5296</v>
      </c>
    </row>
    <row r="50" spans="1:14" ht="17.25" customHeight="1">
      <c r="A50" s="89" t="s">
        <v>694</v>
      </c>
      <c r="B50" s="249">
        <v>48698241</v>
      </c>
      <c r="C50" s="258">
        <f>'[8]Februāris'!$C$17</f>
        <v>19263181</v>
      </c>
      <c r="D50" s="249">
        <f>'[6]Februāris'!$Z$43+'[6]Februāris'!$Z$39</f>
        <v>15305354</v>
      </c>
      <c r="E50" s="245">
        <f t="shared" si="0"/>
        <v>31.42896680806192</v>
      </c>
      <c r="F50" s="246">
        <f>D50/C50*100</f>
        <v>79.45392819597137</v>
      </c>
      <c r="G50" s="251">
        <f>D50-'[9]Janvāris'!D50</f>
        <v>7049736</v>
      </c>
      <c r="H50" s="89" t="s">
        <v>694</v>
      </c>
      <c r="I50" s="249">
        <f>ROUND(B50/1000,0)</f>
        <v>48698</v>
      </c>
      <c r="J50" s="249">
        <f>ROUND(C50/1000,0)</f>
        <v>19263</v>
      </c>
      <c r="K50" s="249">
        <f>ROUND(D50/1000,0)</f>
        <v>15305</v>
      </c>
      <c r="L50" s="252">
        <f>K50/I50*100</f>
        <v>31.428395416649558</v>
      </c>
      <c r="M50" s="252">
        <f>K50/J50*100</f>
        <v>79.45283704511239</v>
      </c>
      <c r="N50" s="251">
        <f>K50-'[9]Janvāris'!K50</f>
        <v>7049</v>
      </c>
    </row>
    <row r="51" spans="1:14" ht="39">
      <c r="A51" s="89" t="s">
        <v>695</v>
      </c>
      <c r="B51" s="249">
        <f>-(B48+B50)</f>
        <v>-2371139</v>
      </c>
      <c r="C51" s="259" t="s">
        <v>360</v>
      </c>
      <c r="D51" s="249">
        <f>-(D48+D50)</f>
        <v>-4725776</v>
      </c>
      <c r="E51" s="245">
        <f t="shared" si="0"/>
        <v>199.30404754845668</v>
      </c>
      <c r="F51" s="259" t="s">
        <v>360</v>
      </c>
      <c r="G51" s="251">
        <f>D51-'[9]Janvāris'!D51</f>
        <v>-1753436</v>
      </c>
      <c r="H51" s="89" t="s">
        <v>695</v>
      </c>
      <c r="I51" s="249">
        <f>-(I48+I50)</f>
        <v>-2371</v>
      </c>
      <c r="J51" s="259" t="s">
        <v>360</v>
      </c>
      <c r="K51" s="249">
        <f t="shared" si="5"/>
        <v>-4726</v>
      </c>
      <c r="L51" s="252">
        <f>K51/I51*100</f>
        <v>199.3251792492619</v>
      </c>
      <c r="M51" s="260" t="s">
        <v>360</v>
      </c>
      <c r="N51" s="251">
        <f>K51-'[9]Janvāris'!K51</f>
        <v>-1754</v>
      </c>
    </row>
    <row r="52" spans="1:14" ht="17.25" customHeight="1">
      <c r="A52" s="278"/>
      <c r="B52" s="166"/>
      <c r="C52" s="166"/>
      <c r="D52" s="232"/>
      <c r="E52" s="279"/>
      <c r="F52" s="280"/>
      <c r="G52" s="27"/>
      <c r="H52" s="278"/>
      <c r="I52" s="166"/>
      <c r="J52" s="166"/>
      <c r="K52" s="232"/>
      <c r="L52" s="279"/>
      <c r="M52" s="280"/>
      <c r="N52" s="27"/>
    </row>
    <row r="53" spans="1:14" ht="14.25" hidden="1">
      <c r="A53" s="281" t="s">
        <v>696</v>
      </c>
      <c r="B53" s="166"/>
      <c r="C53" s="166"/>
      <c r="D53" s="232"/>
      <c r="E53" s="279"/>
      <c r="F53" s="280"/>
      <c r="G53" s="27"/>
      <c r="H53" s="281" t="s">
        <v>696</v>
      </c>
      <c r="I53" s="166"/>
      <c r="J53" s="166"/>
      <c r="K53" s="232"/>
      <c r="L53" s="279"/>
      <c r="M53" s="280"/>
      <c r="N53" s="27"/>
    </row>
    <row r="54" spans="1:14" ht="12.75" hidden="1">
      <c r="A54" s="89" t="s">
        <v>697</v>
      </c>
      <c r="B54" s="190"/>
      <c r="C54" s="190"/>
      <c r="D54" s="282"/>
      <c r="E54" s="176"/>
      <c r="F54" s="259"/>
      <c r="G54" s="81"/>
      <c r="H54" s="89" t="s">
        <v>697</v>
      </c>
      <c r="I54" s="190"/>
      <c r="J54" s="190"/>
      <c r="K54" s="282"/>
      <c r="L54" s="176"/>
      <c r="M54" s="259"/>
      <c r="N54" s="81"/>
    </row>
    <row r="55" spans="1:14" ht="12.75" hidden="1">
      <c r="A55" s="81" t="s">
        <v>607</v>
      </c>
      <c r="B55" s="190"/>
      <c r="C55" s="190"/>
      <c r="D55" s="282"/>
      <c r="E55" s="176"/>
      <c r="F55" s="259"/>
      <c r="G55" s="81"/>
      <c r="H55" s="81" t="s">
        <v>607</v>
      </c>
      <c r="I55" s="190"/>
      <c r="J55" s="190"/>
      <c r="K55" s="282"/>
      <c r="L55" s="176"/>
      <c r="M55" s="259"/>
      <c r="N55" s="81"/>
    </row>
    <row r="56" spans="1:14" ht="25.5" hidden="1">
      <c r="A56" s="89" t="s">
        <v>698</v>
      </c>
      <c r="B56" s="190"/>
      <c r="C56" s="190"/>
      <c r="D56" s="282"/>
      <c r="E56" s="176"/>
      <c r="F56" s="259"/>
      <c r="G56" s="81"/>
      <c r="H56" s="89" t="s">
        <v>698</v>
      </c>
      <c r="I56" s="190"/>
      <c r="J56" s="190"/>
      <c r="K56" s="282"/>
      <c r="L56" s="176"/>
      <c r="M56" s="259"/>
      <c r="N56" s="81"/>
    </row>
    <row r="57" spans="1:14" ht="17.25" customHeight="1">
      <c r="A57" s="27"/>
      <c r="B57" s="166"/>
      <c r="C57" s="166"/>
      <c r="D57" s="232"/>
      <c r="E57" s="279"/>
      <c r="F57" s="280"/>
      <c r="G57" s="27"/>
      <c r="H57" s="27"/>
      <c r="I57" s="166"/>
      <c r="J57" s="166"/>
      <c r="K57" s="232"/>
      <c r="L57" s="279"/>
      <c r="M57" s="280"/>
      <c r="N57" s="27"/>
    </row>
    <row r="58" spans="1:14" ht="17.25" customHeight="1">
      <c r="A58" s="1"/>
      <c r="B58" s="283"/>
      <c r="C58" s="283"/>
      <c r="D58" s="70"/>
      <c r="E58" s="279"/>
      <c r="F58" s="284"/>
      <c r="G58" s="1"/>
      <c r="H58" s="1"/>
      <c r="I58" s="283"/>
      <c r="J58" s="283"/>
      <c r="K58" s="70"/>
      <c r="L58" s="279"/>
      <c r="M58" s="284"/>
      <c r="N58" s="1"/>
    </row>
    <row r="59" spans="2:14" ht="17.25" customHeight="1">
      <c r="B59" s="283"/>
      <c r="C59" s="283"/>
      <c r="D59" s="70"/>
      <c r="E59" s="285"/>
      <c r="F59" s="284"/>
      <c r="G59" s="1"/>
      <c r="I59" s="283"/>
      <c r="J59" s="283"/>
      <c r="K59" s="70"/>
      <c r="L59" s="285"/>
      <c r="M59" s="284"/>
      <c r="N59" s="1"/>
    </row>
    <row r="60" spans="2:14" ht="17.25" customHeight="1">
      <c r="B60" s="1"/>
      <c r="C60" s="1"/>
      <c r="D60" s="1"/>
      <c r="E60" s="286"/>
      <c r="F60" s="287"/>
      <c r="G60" s="1"/>
      <c r="I60" s="1"/>
      <c r="J60" s="1"/>
      <c r="K60" s="1"/>
      <c r="L60" s="286"/>
      <c r="M60" s="287"/>
      <c r="N60" s="1"/>
    </row>
    <row r="61" spans="2:14" ht="17.25" customHeight="1">
      <c r="B61" s="283"/>
      <c r="C61" s="288"/>
      <c r="D61" s="70"/>
      <c r="E61" s="288"/>
      <c r="F61" s="284"/>
      <c r="G61" s="1"/>
      <c r="I61" s="283"/>
      <c r="J61" s="288"/>
      <c r="K61" s="70"/>
      <c r="L61" s="288"/>
      <c r="M61" s="284"/>
      <c r="N61" s="1"/>
    </row>
    <row r="62" spans="2:13" ht="17.25" customHeight="1">
      <c r="B62" s="32"/>
      <c r="C62" s="32"/>
      <c r="E62" s="289"/>
      <c r="F62" s="290"/>
      <c r="I62" s="32"/>
      <c r="J62" s="32"/>
      <c r="L62" s="289"/>
      <c r="M62" s="290"/>
    </row>
    <row r="63" spans="2:13" ht="17.25" customHeight="1">
      <c r="B63" s="32"/>
      <c r="C63" s="32"/>
      <c r="E63" s="289"/>
      <c r="F63" s="290"/>
      <c r="H63" s="278"/>
      <c r="I63" s="278"/>
      <c r="J63" s="278"/>
      <c r="K63" s="278"/>
      <c r="L63" s="278"/>
      <c r="M63" s="278"/>
    </row>
    <row r="64" spans="1:14" ht="17.25" customHeight="1">
      <c r="A64" s="64" t="s">
        <v>644</v>
      </c>
      <c r="B64" s="4"/>
      <c r="C64" s="4"/>
      <c r="E64" s="288" t="s">
        <v>645</v>
      </c>
      <c r="F64" s="290"/>
      <c r="H64" s="291" t="s">
        <v>699</v>
      </c>
      <c r="I64" s="291"/>
      <c r="J64" s="291"/>
      <c r="K64" s="291"/>
      <c r="M64" s="291"/>
      <c r="N64" s="291" t="s">
        <v>348</v>
      </c>
    </row>
    <row r="65" spans="2:13" ht="17.25" customHeight="1">
      <c r="B65" s="292"/>
      <c r="C65" s="289"/>
      <c r="D65" s="293"/>
      <c r="E65" s="289"/>
      <c r="F65" s="290"/>
      <c r="H65" s="278"/>
      <c r="I65" s="278"/>
      <c r="J65" s="278"/>
      <c r="K65" s="278"/>
      <c r="L65" s="278"/>
      <c r="M65" s="278"/>
    </row>
    <row r="66" spans="2:13" ht="17.25" customHeight="1">
      <c r="B66" s="292"/>
      <c r="C66" s="289"/>
      <c r="D66" s="293"/>
      <c r="E66" s="289"/>
      <c r="F66" s="290"/>
      <c r="I66" s="292"/>
      <c r="J66" s="289"/>
      <c r="K66" s="293"/>
      <c r="L66" s="289"/>
      <c r="M66" s="290"/>
    </row>
    <row r="67" spans="2:13" ht="17.25" customHeight="1">
      <c r="B67" s="32"/>
      <c r="C67" s="32"/>
      <c r="E67" s="289"/>
      <c r="F67" s="290"/>
      <c r="I67" s="32"/>
      <c r="J67" s="32"/>
      <c r="L67" s="289"/>
      <c r="M67" s="290"/>
    </row>
    <row r="68" spans="2:13" ht="17.25" customHeight="1">
      <c r="B68" s="32"/>
      <c r="C68" s="32"/>
      <c r="E68" s="289"/>
      <c r="F68" s="290"/>
      <c r="I68" s="32"/>
      <c r="J68" s="32"/>
      <c r="L68" s="289"/>
      <c r="M68" s="290"/>
    </row>
    <row r="69" spans="5:13" ht="17.25" customHeight="1">
      <c r="E69" s="289"/>
      <c r="F69" s="290"/>
      <c r="L69" s="289"/>
      <c r="M69" s="290"/>
    </row>
    <row r="70" spans="1:13" ht="17.25" customHeight="1">
      <c r="A70" s="291"/>
      <c r="E70" s="289"/>
      <c r="F70" s="290"/>
      <c r="H70" s="291"/>
      <c r="L70" s="289"/>
      <c r="M70" s="290"/>
    </row>
    <row r="71" spans="5:13" ht="17.25" customHeight="1">
      <c r="E71" s="289"/>
      <c r="F71" s="290"/>
      <c r="L71" s="289"/>
      <c r="M71" s="290"/>
    </row>
    <row r="72" spans="5:13" ht="17.25" customHeight="1">
      <c r="E72" s="289"/>
      <c r="F72" s="290"/>
      <c r="L72" s="289"/>
      <c r="M72" s="290"/>
    </row>
    <row r="78" ht="17.25" customHeight="1">
      <c r="H78" s="31" t="s">
        <v>643</v>
      </c>
    </row>
    <row r="79" spans="1:8" ht="17.25" customHeight="1">
      <c r="A79" s="31" t="s">
        <v>643</v>
      </c>
      <c r="H79" s="31" t="s">
        <v>399</v>
      </c>
    </row>
    <row r="80" ht="17.25" customHeight="1">
      <c r="A80" s="31" t="s">
        <v>700</v>
      </c>
    </row>
    <row r="91" ht="17.25" customHeight="1">
      <c r="A91" s="28"/>
    </row>
    <row r="92" spans="1:8" ht="17.25" customHeight="1">
      <c r="A92" s="28"/>
      <c r="H92" s="28"/>
    </row>
  </sheetData>
  <mergeCells count="7">
    <mergeCell ref="A6:G6"/>
    <mergeCell ref="H6:N6"/>
    <mergeCell ref="H2:N2"/>
    <mergeCell ref="A4:G4"/>
    <mergeCell ref="H4:N4"/>
    <mergeCell ref="A5:G5"/>
    <mergeCell ref="H5:N5"/>
  </mergeCells>
  <printOptions/>
  <pageMargins left="0.75" right="0.19" top="0.31" bottom="1" header="0.17" footer="0.5"/>
  <pageSetup fitToHeight="2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08"/>
  <sheetViews>
    <sheetView workbookViewId="0" topLeftCell="G25">
      <selection activeCell="L31" sqref="L31"/>
    </sheetView>
  </sheetViews>
  <sheetFormatPr defaultColWidth="9.140625" defaultRowHeight="17.25" customHeight="1"/>
  <cols>
    <col min="1" max="1" width="46.8515625" style="27" hidden="1" customWidth="1"/>
    <col min="2" max="2" width="10.8515625" style="27" hidden="1" customWidth="1"/>
    <col min="3" max="3" width="13.140625" style="27" hidden="1" customWidth="1"/>
    <col min="4" max="4" width="11.7109375" style="27" hidden="1" customWidth="1"/>
    <col min="5" max="5" width="8.7109375" style="27" hidden="1" customWidth="1"/>
    <col min="6" max="6" width="12.8515625" style="27" hidden="1" customWidth="1"/>
    <col min="7" max="7" width="40.28125" style="27" customWidth="1"/>
    <col min="8" max="8" width="10.8515625" style="27" customWidth="1"/>
    <col min="9" max="9" width="12.00390625" style="27" customWidth="1"/>
    <col min="10" max="10" width="11.7109375" style="27" customWidth="1"/>
    <col min="11" max="11" width="8.7109375" style="27" customWidth="1"/>
    <col min="12" max="12" width="10.140625" style="27" customWidth="1"/>
  </cols>
  <sheetData>
    <row r="2" spans="1:12" ht="17.25" customHeight="1">
      <c r="A2" s="27" t="s">
        <v>627</v>
      </c>
      <c r="F2" s="26" t="s">
        <v>628</v>
      </c>
      <c r="G2" s="27" t="s">
        <v>627</v>
      </c>
      <c r="L2" s="26" t="s">
        <v>628</v>
      </c>
    </row>
    <row r="4" spans="1:12" ht="17.25" customHeight="1">
      <c r="A4" s="661" t="s">
        <v>629</v>
      </c>
      <c r="B4" s="661"/>
      <c r="C4" s="661"/>
      <c r="D4" s="661"/>
      <c r="E4" s="661"/>
      <c r="F4" s="661"/>
      <c r="G4" s="661" t="s">
        <v>629</v>
      </c>
      <c r="H4" s="661"/>
      <c r="I4" s="661"/>
      <c r="J4" s="661"/>
      <c r="K4" s="661"/>
      <c r="L4" s="661"/>
    </row>
    <row r="5" spans="1:12" ht="17.25" customHeight="1">
      <c r="A5" s="661" t="s">
        <v>630</v>
      </c>
      <c r="B5" s="661"/>
      <c r="C5" s="661"/>
      <c r="D5" s="661"/>
      <c r="E5" s="661"/>
      <c r="F5" s="661"/>
      <c r="G5" s="662" t="s">
        <v>527</v>
      </c>
      <c r="H5" s="662"/>
      <c r="I5" s="662"/>
      <c r="J5" s="662"/>
      <c r="K5" s="662"/>
      <c r="L5" s="662"/>
    </row>
    <row r="6" spans="6:12" ht="17.25" customHeight="1">
      <c r="F6" s="26" t="s">
        <v>599</v>
      </c>
      <c r="L6" s="26" t="s">
        <v>317</v>
      </c>
    </row>
    <row r="7" spans="1:12" ht="51">
      <c r="A7" s="221" t="s">
        <v>318</v>
      </c>
      <c r="B7" s="8" t="s">
        <v>631</v>
      </c>
      <c r="C7" s="8" t="s">
        <v>403</v>
      </c>
      <c r="D7" s="8" t="s">
        <v>404</v>
      </c>
      <c r="E7" s="8" t="s">
        <v>632</v>
      </c>
      <c r="F7" s="8" t="s">
        <v>633</v>
      </c>
      <c r="G7" s="221" t="s">
        <v>318</v>
      </c>
      <c r="H7" s="8" t="s">
        <v>631</v>
      </c>
      <c r="I7" s="8" t="s">
        <v>403</v>
      </c>
      <c r="J7" s="8" t="s">
        <v>404</v>
      </c>
      <c r="K7" s="8" t="s">
        <v>634</v>
      </c>
      <c r="L7" s="8" t="s">
        <v>601</v>
      </c>
    </row>
    <row r="8" spans="1:12" ht="17.25" customHeight="1">
      <c r="A8" s="221">
        <v>1</v>
      </c>
      <c r="B8" s="221">
        <v>2</v>
      </c>
      <c r="C8" s="8">
        <v>3</v>
      </c>
      <c r="D8" s="8">
        <v>4</v>
      </c>
      <c r="E8" s="8">
        <v>5</v>
      </c>
      <c r="F8" s="222">
        <v>6</v>
      </c>
      <c r="G8" s="221">
        <v>1</v>
      </c>
      <c r="H8" s="221">
        <v>2</v>
      </c>
      <c r="I8" s="8">
        <v>3</v>
      </c>
      <c r="J8" s="8">
        <v>4</v>
      </c>
      <c r="K8" s="8">
        <v>5</v>
      </c>
      <c r="L8" s="222">
        <v>6</v>
      </c>
    </row>
    <row r="9" spans="1:12" ht="30" customHeight="1">
      <c r="A9" s="187" t="s">
        <v>635</v>
      </c>
      <c r="B9" s="16"/>
      <c r="C9" s="223">
        <f>SUM(C10:C23)-C14</f>
        <v>771845803</v>
      </c>
      <c r="D9" s="223">
        <f>SUM(D10:D13,D15:D24)</f>
        <v>118953200</v>
      </c>
      <c r="E9" s="224">
        <f>D9/C9*100</f>
        <v>15.411523848112447</v>
      </c>
      <c r="F9" s="223">
        <f>D9</f>
        <v>118953200</v>
      </c>
      <c r="G9" s="217" t="s">
        <v>635</v>
      </c>
      <c r="H9" s="222"/>
      <c r="I9" s="223">
        <f>ROUND(C9/1000,0)</f>
        <v>771846</v>
      </c>
      <c r="J9" s="223">
        <f>SUM(J10:J13,J15:J24)</f>
        <v>118954</v>
      </c>
      <c r="K9" s="224">
        <f>J9/I9*100</f>
        <v>15.411623562213187</v>
      </c>
      <c r="L9" s="223">
        <f>SUM(L10:L13,L15:L24)</f>
        <v>57807</v>
      </c>
    </row>
    <row r="10" spans="1:12" ht="30" customHeight="1">
      <c r="A10" s="189" t="s">
        <v>534</v>
      </c>
      <c r="B10" s="225">
        <v>1</v>
      </c>
      <c r="C10" s="226">
        <v>756987</v>
      </c>
      <c r="D10" s="227">
        <f>'[6]Februāris'!$P$7</f>
        <v>16346</v>
      </c>
      <c r="E10" s="224">
        <f aca="true" t="shared" si="0" ref="E10:E23">D10/C10*100</f>
        <v>2.159350160570789</v>
      </c>
      <c r="F10" s="223">
        <f>D10-'[7]Janvāris'!D10</f>
        <v>8421</v>
      </c>
      <c r="G10" s="189" t="s">
        <v>534</v>
      </c>
      <c r="H10" s="225">
        <v>1</v>
      </c>
      <c r="I10" s="227">
        <f aca="true" t="shared" si="1" ref="I10:J24">ROUND(C10/1000,0)</f>
        <v>757</v>
      </c>
      <c r="J10" s="227">
        <f t="shared" si="1"/>
        <v>16</v>
      </c>
      <c r="K10" s="228">
        <f>J10/I10*100</f>
        <v>2.1136063408190227</v>
      </c>
      <c r="L10" s="227">
        <f>J10-'[7]Janvāris'!L10</f>
        <v>8</v>
      </c>
    </row>
    <row r="11" spans="1:12" ht="30" customHeight="1">
      <c r="A11" s="81" t="s">
        <v>536</v>
      </c>
      <c r="B11" s="225">
        <v>2</v>
      </c>
      <c r="C11" s="226"/>
      <c r="D11" s="227"/>
      <c r="E11" s="224"/>
      <c r="F11" s="223">
        <f>D11-'[7]Janvāris'!D11</f>
        <v>0</v>
      </c>
      <c r="G11" s="81" t="s">
        <v>536</v>
      </c>
      <c r="H11" s="225">
        <v>2</v>
      </c>
      <c r="I11" s="227">
        <f t="shared" si="1"/>
        <v>0</v>
      </c>
      <c r="J11" s="227">
        <f t="shared" si="1"/>
        <v>0</v>
      </c>
      <c r="K11" s="228"/>
      <c r="L11" s="227">
        <f>J11-'[7]Janvāris'!L11</f>
        <v>0</v>
      </c>
    </row>
    <row r="12" spans="1:12" ht="30" customHeight="1">
      <c r="A12" s="89" t="s">
        <v>538</v>
      </c>
      <c r="B12" s="225">
        <v>3</v>
      </c>
      <c r="C12" s="226"/>
      <c r="D12" s="227"/>
      <c r="E12" s="224"/>
      <c r="F12" s="223">
        <f>D12-'[7]Janvāris'!D12</f>
        <v>0</v>
      </c>
      <c r="G12" s="89" t="s">
        <v>538</v>
      </c>
      <c r="H12" s="225">
        <v>3</v>
      </c>
      <c r="I12" s="227">
        <f t="shared" si="1"/>
        <v>0</v>
      </c>
      <c r="J12" s="227">
        <f t="shared" si="1"/>
        <v>0</v>
      </c>
      <c r="K12" s="228"/>
      <c r="L12" s="227">
        <f>J12-'[7]Janvāris'!L12</f>
        <v>0</v>
      </c>
    </row>
    <row r="13" spans="1:12" ht="30" customHeight="1">
      <c r="A13" s="81" t="s">
        <v>636</v>
      </c>
      <c r="B13" s="225">
        <v>4</v>
      </c>
      <c r="C13" s="226">
        <f>1238299+C14</f>
        <v>7937502</v>
      </c>
      <c r="D13" s="227">
        <f>'[6]Februāris'!$O$7+D14</f>
        <v>1379039</v>
      </c>
      <c r="E13" s="224">
        <f t="shared" si="0"/>
        <v>17.37371530741032</v>
      </c>
      <c r="F13" s="223">
        <f>D13-'[7]Janvāris'!D13</f>
        <v>657915</v>
      </c>
      <c r="G13" s="81" t="s">
        <v>637</v>
      </c>
      <c r="H13" s="225">
        <v>4</v>
      </c>
      <c r="I13" s="227">
        <f>ROUND(C13/1000,0)-1</f>
        <v>7937</v>
      </c>
      <c r="J13" s="227">
        <f t="shared" si="1"/>
        <v>1379</v>
      </c>
      <c r="K13" s="228">
        <f aca="true" t="shared" si="2" ref="K13:K18">J13/I13*100</f>
        <v>17.374322791986895</v>
      </c>
      <c r="L13" s="227">
        <f>J13-'[7]Janvāris'!L13</f>
        <v>658</v>
      </c>
    </row>
    <row r="14" spans="1:12" ht="30" customHeight="1">
      <c r="A14" s="229" t="s">
        <v>638</v>
      </c>
      <c r="B14" s="225"/>
      <c r="C14" s="226">
        <v>6699203</v>
      </c>
      <c r="D14" s="227">
        <f>'[6]Februāris'!$O$33</f>
        <v>1124535</v>
      </c>
      <c r="E14" s="224"/>
      <c r="F14" s="223">
        <f>D14-'[7]Janvāris'!D14</f>
        <v>656144</v>
      </c>
      <c r="G14" s="229" t="s">
        <v>638</v>
      </c>
      <c r="H14" s="225"/>
      <c r="I14" s="227">
        <f t="shared" si="1"/>
        <v>6699</v>
      </c>
      <c r="J14" s="227">
        <f t="shared" si="1"/>
        <v>1125</v>
      </c>
      <c r="K14" s="228">
        <f t="shared" si="2"/>
        <v>16.7935512763099</v>
      </c>
      <c r="L14" s="227">
        <f>J14-'[7]Janvāris'!L14</f>
        <v>657</v>
      </c>
    </row>
    <row r="15" spans="1:12" ht="30" customHeight="1">
      <c r="A15" s="81" t="s">
        <v>542</v>
      </c>
      <c r="B15" s="225">
        <v>5</v>
      </c>
      <c r="C15" s="226">
        <v>141458002</v>
      </c>
      <c r="D15" s="230">
        <f>'[6]Februāris'!$D$7</f>
        <v>19857594</v>
      </c>
      <c r="E15" s="224">
        <f t="shared" si="0"/>
        <v>14.037801834639229</v>
      </c>
      <c r="F15" s="223">
        <f>D15-'[7]Janvāris'!D15</f>
        <v>10151856</v>
      </c>
      <c r="G15" s="81" t="s">
        <v>542</v>
      </c>
      <c r="H15" s="225">
        <v>5</v>
      </c>
      <c r="I15" s="227">
        <f t="shared" si="1"/>
        <v>141458</v>
      </c>
      <c r="J15" s="227">
        <f t="shared" si="1"/>
        <v>19858</v>
      </c>
      <c r="K15" s="228">
        <f t="shared" si="2"/>
        <v>14.038089044097896</v>
      </c>
      <c r="L15" s="227">
        <f>J15-'[7]Janvāris'!L15</f>
        <v>10152</v>
      </c>
    </row>
    <row r="16" spans="1:12" ht="30" customHeight="1">
      <c r="A16" s="89" t="s">
        <v>544</v>
      </c>
      <c r="B16" s="225">
        <v>6</v>
      </c>
      <c r="C16" s="226">
        <v>531273828</v>
      </c>
      <c r="D16" s="230">
        <f>'[6]Februāris'!$C$7</f>
        <v>84469158</v>
      </c>
      <c r="E16" s="224">
        <f t="shared" si="0"/>
        <v>15.89936367051757</v>
      </c>
      <c r="F16" s="223">
        <f>D16-'[7]Janvāris'!D16</f>
        <v>41065691</v>
      </c>
      <c r="G16" s="89" t="s">
        <v>544</v>
      </c>
      <c r="H16" s="225">
        <v>6</v>
      </c>
      <c r="I16" s="227">
        <f t="shared" si="1"/>
        <v>531274</v>
      </c>
      <c r="J16" s="227">
        <f t="shared" si="1"/>
        <v>84469</v>
      </c>
      <c r="K16" s="228">
        <f t="shared" si="2"/>
        <v>15.89932878326438</v>
      </c>
      <c r="L16" s="227">
        <f>J16-'[7]Janvāris'!L16</f>
        <v>41066</v>
      </c>
    </row>
    <row r="17" spans="1:12" ht="30" customHeight="1">
      <c r="A17" s="89" t="s">
        <v>546</v>
      </c>
      <c r="B17" s="225">
        <v>7</v>
      </c>
      <c r="C17" s="226">
        <v>9370924</v>
      </c>
      <c r="D17" s="230">
        <f>'[6]Februāris'!$E$7</f>
        <v>380070</v>
      </c>
      <c r="E17" s="224">
        <f t="shared" si="0"/>
        <v>4.055843372542559</v>
      </c>
      <c r="F17" s="223">
        <f>D17-'[7]Janvāris'!D17</f>
        <v>257757</v>
      </c>
      <c r="G17" s="89" t="s">
        <v>546</v>
      </c>
      <c r="H17" s="225">
        <v>7</v>
      </c>
      <c r="I17" s="227">
        <f t="shared" si="1"/>
        <v>9371</v>
      </c>
      <c r="J17" s="227">
        <f t="shared" si="1"/>
        <v>380</v>
      </c>
      <c r="K17" s="228">
        <f t="shared" si="2"/>
        <v>4.055063493757336</v>
      </c>
      <c r="L17" s="227">
        <f>J17-'[7]Janvāris'!L17</f>
        <v>258</v>
      </c>
    </row>
    <row r="18" spans="1:12" ht="30" customHeight="1">
      <c r="A18" s="81" t="s">
        <v>639</v>
      </c>
      <c r="B18" s="225">
        <v>8</v>
      </c>
      <c r="C18" s="226">
        <f>1508663+2272860</f>
        <v>3781523</v>
      </c>
      <c r="D18" s="230">
        <f>'[6]Februāris'!$N$7+'[6]Februāris'!$Q$7</f>
        <v>751473</v>
      </c>
      <c r="E18" s="224">
        <f t="shared" si="0"/>
        <v>19.87223137344398</v>
      </c>
      <c r="F18" s="223">
        <f>D18-'[7]Janvāris'!D18</f>
        <v>385638</v>
      </c>
      <c r="G18" s="81" t="s">
        <v>639</v>
      </c>
      <c r="H18" s="225">
        <v>8</v>
      </c>
      <c r="I18" s="227">
        <f t="shared" si="1"/>
        <v>3782</v>
      </c>
      <c r="J18" s="227">
        <f t="shared" si="1"/>
        <v>751</v>
      </c>
      <c r="K18" s="228">
        <f t="shared" si="2"/>
        <v>19.857218402961397</v>
      </c>
      <c r="L18" s="227">
        <f>J18-'[7]Janvāris'!L18</f>
        <v>385</v>
      </c>
    </row>
    <row r="19" spans="1:12" ht="30" customHeight="1">
      <c r="A19" s="81" t="s">
        <v>550</v>
      </c>
      <c r="B19" s="225">
        <v>9</v>
      </c>
      <c r="C19" s="226"/>
      <c r="D19" s="230"/>
      <c r="E19" s="224"/>
      <c r="F19" s="223">
        <f>D19-'[7]Janvāris'!D19</f>
        <v>0</v>
      </c>
      <c r="G19" s="81" t="s">
        <v>550</v>
      </c>
      <c r="H19" s="225">
        <v>9</v>
      </c>
      <c r="I19" s="227">
        <f t="shared" si="1"/>
        <v>0</v>
      </c>
      <c r="J19" s="227">
        <f t="shared" si="1"/>
        <v>0</v>
      </c>
      <c r="K19" s="228"/>
      <c r="L19" s="227">
        <f>J19-'[7]Janvāris'!L19</f>
        <v>0</v>
      </c>
    </row>
    <row r="20" spans="1:12" ht="30" customHeight="1">
      <c r="A20" s="89" t="s">
        <v>640</v>
      </c>
      <c r="B20" s="231">
        <v>10</v>
      </c>
      <c r="C20" s="226">
        <v>500000</v>
      </c>
      <c r="D20" s="230">
        <f>'[6]Februāris'!$L$7</f>
        <v>33649</v>
      </c>
      <c r="E20" s="224">
        <f t="shared" si="0"/>
        <v>6.7298</v>
      </c>
      <c r="F20" s="223">
        <f>D20-'[7]Janvāris'!D20</f>
        <v>27150</v>
      </c>
      <c r="G20" s="89" t="s">
        <v>640</v>
      </c>
      <c r="H20" s="231">
        <v>10</v>
      </c>
      <c r="I20" s="227">
        <f t="shared" si="1"/>
        <v>500</v>
      </c>
      <c r="J20" s="227">
        <f>ROUND(D20/1000,0)+1</f>
        <v>35</v>
      </c>
      <c r="K20" s="228">
        <f>J20/I20*100</f>
        <v>7.000000000000001</v>
      </c>
      <c r="L20" s="227">
        <f>J20-'[7]Janvāris'!L20</f>
        <v>28</v>
      </c>
    </row>
    <row r="21" spans="1:12" ht="30" customHeight="1">
      <c r="A21" s="89" t="s">
        <v>554</v>
      </c>
      <c r="B21" s="231">
        <v>11</v>
      </c>
      <c r="C21" s="226"/>
      <c r="D21" s="230"/>
      <c r="E21" s="224"/>
      <c r="F21" s="223">
        <f>D21-'[7]Janvāris'!D21</f>
        <v>0</v>
      </c>
      <c r="G21" s="89" t="s">
        <v>554</v>
      </c>
      <c r="H21" s="231">
        <v>11</v>
      </c>
      <c r="I21" s="227">
        <f t="shared" si="1"/>
        <v>0</v>
      </c>
      <c r="J21" s="227">
        <f t="shared" si="1"/>
        <v>0</v>
      </c>
      <c r="K21" s="228"/>
      <c r="L21" s="227">
        <f>J21-'[7]Janvāris'!L21</f>
        <v>0</v>
      </c>
    </row>
    <row r="22" spans="1:12" ht="30" customHeight="1">
      <c r="A22" s="81" t="s">
        <v>556</v>
      </c>
      <c r="B22" s="225">
        <v>12</v>
      </c>
      <c r="C22" s="226">
        <f>69029520+700000+2000000+926917</f>
        <v>72656437</v>
      </c>
      <c r="D22" s="230">
        <f>'[6]Februāris'!$F$7+'[6]Februāris'!$G$7+'[6]Februāris'!$I$7</f>
        <v>11609304</v>
      </c>
      <c r="E22" s="224">
        <f t="shared" si="0"/>
        <v>15.978355778717859</v>
      </c>
      <c r="F22" s="223">
        <f>D22-'[7]Janvāris'!D22</f>
        <v>5031758</v>
      </c>
      <c r="G22" s="81" t="s">
        <v>556</v>
      </c>
      <c r="H22" s="225">
        <v>12</v>
      </c>
      <c r="I22" s="227">
        <f t="shared" si="1"/>
        <v>72656</v>
      </c>
      <c r="J22" s="227">
        <f t="shared" si="1"/>
        <v>11609</v>
      </c>
      <c r="K22" s="228">
        <f>J22/I22*100</f>
        <v>15.978033472803347</v>
      </c>
      <c r="L22" s="227">
        <f>J22-'[7]Janvāris'!L22</f>
        <v>5031</v>
      </c>
    </row>
    <row r="23" spans="1:12" ht="30" customHeight="1">
      <c r="A23" s="81" t="s">
        <v>558</v>
      </c>
      <c r="B23" s="225">
        <v>13</v>
      </c>
      <c r="C23" s="226">
        <f>2874300+1205000+31300</f>
        <v>4110600</v>
      </c>
      <c r="D23" s="227">
        <f>'[6]Februāris'!$W$7+'[6]Februāris'!$X$7+'[6]Februāris'!$K$7</f>
        <v>456567</v>
      </c>
      <c r="E23" s="224">
        <f t="shared" si="0"/>
        <v>11.107064662093125</v>
      </c>
      <c r="F23" s="223">
        <f>D23-'[7]Janvāris'!D23</f>
        <v>220555</v>
      </c>
      <c r="G23" s="81" t="s">
        <v>558</v>
      </c>
      <c r="H23" s="225">
        <v>13</v>
      </c>
      <c r="I23" s="227">
        <f>ROUND(C23/1000,0)</f>
        <v>4111</v>
      </c>
      <c r="J23" s="227">
        <f t="shared" si="1"/>
        <v>457</v>
      </c>
      <c r="K23" s="228">
        <f>J23/I23*100</f>
        <v>11.116516662612504</v>
      </c>
      <c r="L23" s="227">
        <f>J23-'[7]Janvāris'!L23</f>
        <v>221</v>
      </c>
    </row>
    <row r="24" spans="1:12" ht="30" customHeight="1">
      <c r="A24" s="89" t="s">
        <v>641</v>
      </c>
      <c r="B24" s="225">
        <v>14</v>
      </c>
      <c r="C24" s="227"/>
      <c r="D24" s="227"/>
      <c r="E24" s="224"/>
      <c r="F24" s="223">
        <f>D24-'[7]Janvāris'!D24</f>
        <v>0</v>
      </c>
      <c r="G24" s="89" t="s">
        <v>641</v>
      </c>
      <c r="H24" s="225">
        <v>14</v>
      </c>
      <c r="I24" s="227">
        <f t="shared" si="1"/>
        <v>0</v>
      </c>
      <c r="J24" s="227"/>
      <c r="K24" s="228"/>
      <c r="L24" s="227">
        <f>J24-'[7]Janvāris'!L24</f>
        <v>0</v>
      </c>
    </row>
    <row r="25" spans="2:11" ht="17.25" customHeight="1">
      <c r="B25" s="138"/>
      <c r="C25" s="232"/>
      <c r="D25" s="232"/>
      <c r="E25" s="233"/>
      <c r="H25" s="138"/>
      <c r="I25" s="232"/>
      <c r="J25" s="232"/>
      <c r="K25" s="233"/>
    </row>
    <row r="26" spans="2:11" ht="17.25" customHeight="1">
      <c r="B26" s="138"/>
      <c r="C26" s="232"/>
      <c r="D26" s="232"/>
      <c r="E26" s="233"/>
      <c r="H26" s="138"/>
      <c r="I26" s="232"/>
      <c r="J26" s="232"/>
      <c r="K26" s="233"/>
    </row>
    <row r="27" spans="2:11" ht="17.25" customHeight="1">
      <c r="B27" s="138"/>
      <c r="C27" s="232"/>
      <c r="D27" s="232"/>
      <c r="E27" s="233"/>
      <c r="G27" s="64" t="s">
        <v>642</v>
      </c>
      <c r="H27" s="4"/>
      <c r="I27" s="4"/>
      <c r="J27" s="4" t="s">
        <v>348</v>
      </c>
      <c r="K27" s="233"/>
    </row>
    <row r="28" spans="2:11" ht="17.25" customHeight="1">
      <c r="B28" s="138"/>
      <c r="C28" s="232"/>
      <c r="D28" s="232"/>
      <c r="E28" s="233"/>
      <c r="H28" s="138"/>
      <c r="I28" s="232"/>
      <c r="J28" s="232"/>
      <c r="K28" s="233"/>
    </row>
    <row r="29" spans="2:11" ht="17.25" customHeight="1">
      <c r="B29" s="138"/>
      <c r="C29" s="232"/>
      <c r="D29" s="232"/>
      <c r="E29" s="233"/>
      <c r="H29" s="138"/>
      <c r="I29" s="232"/>
      <c r="J29" s="232"/>
      <c r="K29" s="233"/>
    </row>
    <row r="30" spans="2:11" ht="17.25" customHeight="1">
      <c r="B30" s="138"/>
      <c r="C30" s="232"/>
      <c r="D30" s="232"/>
      <c r="E30" s="233"/>
      <c r="H30" s="138"/>
      <c r="I30" s="232"/>
      <c r="J30" s="232"/>
      <c r="K30" s="233"/>
    </row>
    <row r="31" spans="4:11" ht="17.25" customHeight="1">
      <c r="D31" s="232"/>
      <c r="E31" s="233"/>
      <c r="J31" s="232"/>
      <c r="K31" s="233"/>
    </row>
    <row r="32" spans="2:11" ht="17.25" customHeight="1">
      <c r="B32" s="138"/>
      <c r="C32" s="232"/>
      <c r="D32" s="232"/>
      <c r="E32" s="233"/>
      <c r="H32" s="138"/>
      <c r="I32" s="232"/>
      <c r="J32" s="232"/>
      <c r="K32" s="233"/>
    </row>
    <row r="33" spans="2:11" ht="17.25" customHeight="1">
      <c r="B33" s="138"/>
      <c r="C33" s="232"/>
      <c r="D33" s="232"/>
      <c r="E33" s="233"/>
      <c r="G33" s="27" t="s">
        <v>643</v>
      </c>
      <c r="H33" s="138"/>
      <c r="I33" s="232"/>
      <c r="J33" s="232"/>
      <c r="K33" s="233"/>
    </row>
    <row r="34" spans="2:11" ht="17.25" customHeight="1">
      <c r="B34" s="138"/>
      <c r="C34" s="232"/>
      <c r="D34" s="232"/>
      <c r="E34" s="233"/>
      <c r="G34" s="27" t="s">
        <v>399</v>
      </c>
      <c r="H34" s="138"/>
      <c r="I34" s="232"/>
      <c r="J34" s="232"/>
      <c r="K34" s="233"/>
    </row>
    <row r="35" spans="3:11" ht="17.25" customHeight="1">
      <c r="C35" s="232"/>
      <c r="D35" s="232"/>
      <c r="E35" s="233"/>
      <c r="I35" s="232"/>
      <c r="J35" s="232"/>
      <c r="K35" s="233"/>
    </row>
    <row r="36" spans="1:12" ht="17.25" customHeight="1">
      <c r="A36" s="64" t="s">
        <v>644</v>
      </c>
      <c r="B36" s="4"/>
      <c r="C36" s="4"/>
      <c r="D36" s="4" t="s">
        <v>645</v>
      </c>
      <c r="E36" s="28"/>
      <c r="F36" s="232"/>
      <c r="K36" s="28"/>
      <c r="L36" s="232"/>
    </row>
    <row r="37" spans="3:11" ht="17.25" customHeight="1">
      <c r="C37" s="232"/>
      <c r="D37" s="232"/>
      <c r="E37" s="233"/>
      <c r="I37" s="232"/>
      <c r="J37" s="232"/>
      <c r="K37" s="233"/>
    </row>
    <row r="38" spans="3:11" ht="17.25" customHeight="1">
      <c r="C38" s="232"/>
      <c r="D38" s="232"/>
      <c r="E38" s="233"/>
      <c r="I38" s="232"/>
      <c r="J38" s="232"/>
      <c r="K38" s="233"/>
    </row>
    <row r="39" spans="3:11" ht="17.25" customHeight="1">
      <c r="C39" s="232"/>
      <c r="D39" s="232"/>
      <c r="E39" s="233"/>
      <c r="I39" s="232"/>
      <c r="J39" s="232"/>
      <c r="K39" s="233"/>
    </row>
    <row r="40" spans="3:11" ht="17.25" customHeight="1">
      <c r="C40" s="232"/>
      <c r="D40" s="232"/>
      <c r="E40" s="233"/>
      <c r="I40" s="232"/>
      <c r="J40" s="232"/>
      <c r="K40" s="233"/>
    </row>
    <row r="41" spans="3:11" ht="17.25" customHeight="1">
      <c r="C41" s="232"/>
      <c r="D41" s="232"/>
      <c r="E41" s="233"/>
      <c r="I41" s="232"/>
      <c r="J41" s="232"/>
      <c r="K41" s="233"/>
    </row>
    <row r="42" spans="3:11" ht="17.25" customHeight="1">
      <c r="C42" s="232"/>
      <c r="D42" s="232"/>
      <c r="E42" s="233"/>
      <c r="I42" s="232"/>
      <c r="J42" s="232"/>
      <c r="K42" s="233"/>
    </row>
    <row r="43" spans="3:11" ht="17.25" customHeight="1">
      <c r="C43" s="232"/>
      <c r="D43" s="232"/>
      <c r="E43" s="233"/>
      <c r="I43" s="232"/>
      <c r="J43" s="232"/>
      <c r="K43" s="233"/>
    </row>
    <row r="44" spans="3:11" ht="17.25" customHeight="1">
      <c r="C44" s="232"/>
      <c r="D44" s="232"/>
      <c r="E44" s="233"/>
      <c r="I44" s="232"/>
      <c r="J44" s="232"/>
      <c r="K44" s="233"/>
    </row>
    <row r="45" spans="3:11" ht="17.25" customHeight="1">
      <c r="C45" s="232"/>
      <c r="D45" s="232"/>
      <c r="E45" s="233"/>
      <c r="I45" s="232"/>
      <c r="J45" s="232"/>
      <c r="K45" s="233"/>
    </row>
    <row r="46" spans="3:11" ht="17.25" customHeight="1">
      <c r="C46" s="232"/>
      <c r="D46" s="232"/>
      <c r="E46" s="233"/>
      <c r="I46" s="232"/>
      <c r="J46" s="232"/>
      <c r="K46" s="233"/>
    </row>
    <row r="47" spans="1:11" ht="17.25" customHeight="1">
      <c r="A47" s="1"/>
      <c r="C47" s="232"/>
      <c r="D47" s="232"/>
      <c r="E47" s="233"/>
      <c r="G47" s="1"/>
      <c r="I47" s="232"/>
      <c r="J47" s="232"/>
      <c r="K47" s="233"/>
    </row>
    <row r="48" spans="1:11" ht="17.25" customHeight="1">
      <c r="A48" s="1"/>
      <c r="C48" s="232"/>
      <c r="D48" s="232"/>
      <c r="E48" s="233"/>
      <c r="G48" s="1"/>
      <c r="I48" s="232"/>
      <c r="J48" s="232"/>
      <c r="K48" s="233"/>
    </row>
    <row r="49" spans="3:11" ht="17.25" customHeight="1">
      <c r="C49" s="232"/>
      <c r="D49" s="232"/>
      <c r="E49" s="233"/>
      <c r="I49" s="232"/>
      <c r="J49" s="232"/>
      <c r="K49" s="233"/>
    </row>
    <row r="50" spans="3:11" ht="17.25" customHeight="1">
      <c r="C50" s="232"/>
      <c r="D50" s="232"/>
      <c r="E50" s="233"/>
      <c r="I50" s="232"/>
      <c r="J50" s="232"/>
      <c r="K50" s="233"/>
    </row>
    <row r="51" spans="3:11" ht="17.25" customHeight="1">
      <c r="C51" s="232"/>
      <c r="D51" s="232"/>
      <c r="E51" s="233"/>
      <c r="I51" s="232"/>
      <c r="J51" s="232"/>
      <c r="K51" s="233"/>
    </row>
    <row r="52" spans="3:11" ht="17.25" customHeight="1">
      <c r="C52" s="232"/>
      <c r="D52" s="232"/>
      <c r="E52" s="233"/>
      <c r="I52" s="232"/>
      <c r="J52" s="232"/>
      <c r="K52" s="233"/>
    </row>
    <row r="53" spans="3:11" ht="17.25" customHeight="1">
      <c r="C53" s="232"/>
      <c r="E53" s="233"/>
      <c r="I53" s="232"/>
      <c r="K53" s="233"/>
    </row>
    <row r="54" spans="3:11" ht="17.25" customHeight="1">
      <c r="C54" s="232"/>
      <c r="E54" s="233"/>
      <c r="I54" s="232"/>
      <c r="K54" s="233"/>
    </row>
    <row r="55" spans="3:11" ht="17.25" customHeight="1">
      <c r="C55" s="232"/>
      <c r="E55" s="233"/>
      <c r="I55" s="232"/>
      <c r="K55" s="233"/>
    </row>
    <row r="56" spans="3:11" ht="17.25" customHeight="1">
      <c r="C56" s="232"/>
      <c r="E56" s="233"/>
      <c r="I56" s="232"/>
      <c r="K56" s="233"/>
    </row>
    <row r="57" spans="3:11" ht="17.25" customHeight="1">
      <c r="C57" s="232"/>
      <c r="E57" s="233"/>
      <c r="I57" s="232"/>
      <c r="K57" s="233"/>
    </row>
    <row r="58" spans="3:11" ht="17.25" customHeight="1">
      <c r="C58" s="232"/>
      <c r="E58" s="233"/>
      <c r="I58" s="232"/>
      <c r="K58" s="233"/>
    </row>
    <row r="59" spans="3:11" ht="17.25" customHeight="1">
      <c r="C59" s="232"/>
      <c r="E59" s="233"/>
      <c r="I59" s="232"/>
      <c r="K59" s="233"/>
    </row>
    <row r="60" spans="3:11" ht="17.25" customHeight="1">
      <c r="C60" s="232"/>
      <c r="E60" s="233"/>
      <c r="I60" s="232"/>
      <c r="K60" s="233"/>
    </row>
    <row r="61" spans="3:11" ht="17.25" customHeight="1">
      <c r="C61" s="232"/>
      <c r="E61" s="233"/>
      <c r="I61" s="232"/>
      <c r="K61" s="233"/>
    </row>
    <row r="62" spans="3:11" ht="17.25" customHeight="1">
      <c r="C62" s="232"/>
      <c r="E62" s="233"/>
      <c r="I62" s="232"/>
      <c r="K62" s="233"/>
    </row>
    <row r="63" spans="3:11" ht="17.25" customHeight="1">
      <c r="C63" s="232"/>
      <c r="E63" s="233"/>
      <c r="I63" s="232"/>
      <c r="K63" s="233"/>
    </row>
    <row r="64" spans="3:11" ht="17.25" customHeight="1">
      <c r="C64" s="232"/>
      <c r="E64" s="233"/>
      <c r="I64" s="232"/>
      <c r="K64" s="233"/>
    </row>
    <row r="65" spans="3:11" ht="17.25" customHeight="1">
      <c r="C65" s="232"/>
      <c r="E65" s="233"/>
      <c r="I65" s="232"/>
      <c r="K65" s="233"/>
    </row>
    <row r="66" spans="3:11" ht="17.25" customHeight="1">
      <c r="C66" s="232"/>
      <c r="E66" s="233"/>
      <c r="I66" s="232"/>
      <c r="K66" s="233"/>
    </row>
    <row r="67" spans="3:11" ht="17.25" customHeight="1">
      <c r="C67" s="232"/>
      <c r="E67" s="233"/>
      <c r="I67" s="232"/>
      <c r="K67" s="233"/>
    </row>
    <row r="68" spans="3:11" ht="17.25" customHeight="1">
      <c r="C68" s="232"/>
      <c r="E68" s="233"/>
      <c r="I68" s="232"/>
      <c r="K68" s="233"/>
    </row>
    <row r="69" spans="3:11" ht="17.25" customHeight="1">
      <c r="C69" s="232"/>
      <c r="E69" s="233"/>
      <c r="I69" s="232"/>
      <c r="K69" s="233"/>
    </row>
    <row r="70" spans="3:11" ht="17.25" customHeight="1">
      <c r="C70" s="232"/>
      <c r="E70" s="233"/>
      <c r="I70" s="232"/>
      <c r="K70" s="233"/>
    </row>
    <row r="71" spans="3:11" ht="17.25" customHeight="1">
      <c r="C71" s="232"/>
      <c r="E71" s="233"/>
      <c r="I71" s="232"/>
      <c r="K71" s="233"/>
    </row>
    <row r="72" spans="3:11" ht="17.25" customHeight="1">
      <c r="C72" s="232"/>
      <c r="E72" s="233"/>
      <c r="I72" s="232"/>
      <c r="K72" s="233"/>
    </row>
    <row r="73" spans="3:11" ht="17.25" customHeight="1">
      <c r="C73" s="232"/>
      <c r="E73" s="233"/>
      <c r="I73" s="232"/>
      <c r="K73" s="233"/>
    </row>
    <row r="74" spans="3:11" ht="17.25" customHeight="1">
      <c r="C74" s="232"/>
      <c r="E74" s="233"/>
      <c r="I74" s="232"/>
      <c r="K74" s="233"/>
    </row>
    <row r="75" spans="3:11" ht="17.25" customHeight="1">
      <c r="C75" s="232"/>
      <c r="E75" s="233"/>
      <c r="I75" s="232"/>
      <c r="K75" s="233"/>
    </row>
    <row r="76" spans="3:11" ht="17.25" customHeight="1">
      <c r="C76" s="232"/>
      <c r="E76" s="233"/>
      <c r="I76" s="232"/>
      <c r="K76" s="233"/>
    </row>
    <row r="77" spans="3:11" ht="17.25" customHeight="1">
      <c r="C77" s="232"/>
      <c r="E77" s="233"/>
      <c r="I77" s="232"/>
      <c r="K77" s="233"/>
    </row>
    <row r="78" spans="3:11" ht="17.25" customHeight="1">
      <c r="C78" s="232"/>
      <c r="E78" s="233"/>
      <c r="I78" s="232"/>
      <c r="K78" s="233"/>
    </row>
    <row r="79" spans="3:11" ht="17.25" customHeight="1">
      <c r="C79" s="232"/>
      <c r="E79" s="233"/>
      <c r="I79" s="232"/>
      <c r="K79" s="233"/>
    </row>
    <row r="80" spans="2:10" ht="17.25" customHeight="1">
      <c r="B80" s="232"/>
      <c r="D80" s="233"/>
      <c r="H80" s="232"/>
      <c r="J80" s="233"/>
    </row>
    <row r="81" spans="2:10" ht="17.25" customHeight="1">
      <c r="B81" s="232"/>
      <c r="D81" s="233"/>
      <c r="H81" s="232"/>
      <c r="J81" s="233"/>
    </row>
    <row r="82" spans="2:10" ht="17.25" customHeight="1">
      <c r="B82" s="232"/>
      <c r="D82" s="233"/>
      <c r="H82" s="232"/>
      <c r="J82" s="233"/>
    </row>
    <row r="83" spans="2:10" ht="17.25" customHeight="1">
      <c r="B83" s="232"/>
      <c r="D83" s="233"/>
      <c r="H83" s="232"/>
      <c r="J83" s="233"/>
    </row>
    <row r="84" spans="2:10" ht="17.25" customHeight="1">
      <c r="B84" s="232"/>
      <c r="D84" s="233"/>
      <c r="H84" s="232"/>
      <c r="J84" s="233"/>
    </row>
    <row r="85" spans="2:10" ht="17.25" customHeight="1">
      <c r="B85" s="232"/>
      <c r="D85" s="233"/>
      <c r="H85" s="232"/>
      <c r="J85" s="233"/>
    </row>
    <row r="86" spans="2:10" ht="17.25" customHeight="1">
      <c r="B86" s="232"/>
      <c r="D86" s="233"/>
      <c r="H86" s="232"/>
      <c r="J86" s="233"/>
    </row>
    <row r="87" spans="2:10" ht="17.25" customHeight="1">
      <c r="B87" s="232"/>
      <c r="D87" s="233"/>
      <c r="H87" s="232"/>
      <c r="J87" s="233"/>
    </row>
    <row r="88" spans="2:10" ht="17.25" customHeight="1">
      <c r="B88" s="232"/>
      <c r="D88" s="233"/>
      <c r="H88" s="232"/>
      <c r="J88" s="233"/>
    </row>
    <row r="89" spans="2:10" ht="17.25" customHeight="1">
      <c r="B89" s="232"/>
      <c r="D89" s="233"/>
      <c r="H89" s="232"/>
      <c r="J89" s="233"/>
    </row>
    <row r="90" spans="2:10" ht="17.25" customHeight="1">
      <c r="B90" s="232"/>
      <c r="D90" s="233"/>
      <c r="H90" s="232"/>
      <c r="J90" s="233"/>
    </row>
    <row r="91" spans="2:10" ht="17.25" customHeight="1">
      <c r="B91" s="232"/>
      <c r="D91" s="233"/>
      <c r="H91" s="232"/>
      <c r="J91" s="233"/>
    </row>
    <row r="92" spans="2:10" ht="17.25" customHeight="1">
      <c r="B92" s="232"/>
      <c r="D92" s="233"/>
      <c r="H92" s="232"/>
      <c r="J92" s="233"/>
    </row>
    <row r="93" spans="2:10" ht="17.25" customHeight="1">
      <c r="B93" s="232"/>
      <c r="D93" s="233"/>
      <c r="H93" s="232"/>
      <c r="J93" s="233"/>
    </row>
    <row r="94" spans="2:10" ht="17.25" customHeight="1">
      <c r="B94" s="232"/>
      <c r="D94" s="233"/>
      <c r="H94" s="232"/>
      <c r="J94" s="233"/>
    </row>
    <row r="95" spans="2:10" ht="17.25" customHeight="1">
      <c r="B95" s="232"/>
      <c r="D95" s="233"/>
      <c r="H95" s="232"/>
      <c r="J95" s="233"/>
    </row>
    <row r="96" spans="2:10" ht="17.25" customHeight="1">
      <c r="B96" s="232"/>
      <c r="D96" s="233"/>
      <c r="H96" s="232"/>
      <c r="J96" s="233"/>
    </row>
    <row r="97" spans="2:10" ht="17.25" customHeight="1">
      <c r="B97" s="232"/>
      <c r="D97" s="233"/>
      <c r="H97" s="232"/>
      <c r="J97" s="233"/>
    </row>
    <row r="98" spans="2:10" ht="17.25" customHeight="1">
      <c r="B98" s="232"/>
      <c r="D98" s="233"/>
      <c r="H98" s="232"/>
      <c r="J98" s="233"/>
    </row>
    <row r="99" spans="2:10" ht="17.25" customHeight="1">
      <c r="B99" s="232"/>
      <c r="D99" s="233"/>
      <c r="H99" s="232"/>
      <c r="J99" s="233"/>
    </row>
    <row r="100" spans="2:8" ht="17.25" customHeight="1">
      <c r="B100" s="232"/>
      <c r="H100" s="232"/>
    </row>
    <row r="101" spans="2:8" ht="17.25" customHeight="1">
      <c r="B101" s="232"/>
      <c r="H101" s="232"/>
    </row>
    <row r="102" spans="2:8" ht="17.25" customHeight="1">
      <c r="B102" s="232"/>
      <c r="H102" s="232"/>
    </row>
    <row r="103" spans="2:8" ht="17.25" customHeight="1">
      <c r="B103" s="232"/>
      <c r="H103" s="232"/>
    </row>
    <row r="104" spans="2:8" ht="17.25" customHeight="1">
      <c r="B104" s="232"/>
      <c r="H104" s="232"/>
    </row>
    <row r="105" spans="2:8" ht="17.25" customHeight="1">
      <c r="B105" s="232"/>
      <c r="H105" s="232"/>
    </row>
    <row r="106" spans="2:8" ht="17.25" customHeight="1">
      <c r="B106" s="232"/>
      <c r="H106" s="232"/>
    </row>
    <row r="107" spans="2:8" ht="17.25" customHeight="1">
      <c r="B107" s="232"/>
      <c r="H107" s="232"/>
    </row>
    <row r="108" spans="2:8" ht="17.25" customHeight="1">
      <c r="B108" s="232"/>
      <c r="H108" s="232"/>
    </row>
  </sheetData>
  <mergeCells count="4">
    <mergeCell ref="A4:F4"/>
    <mergeCell ref="G4:L4"/>
    <mergeCell ref="A5:F5"/>
    <mergeCell ref="G5:L5"/>
  </mergeCells>
  <printOptions/>
  <pageMargins left="0.75" right="0.19" top="0.17" bottom="0.1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GuntarsM</cp:lastModifiedBy>
  <cp:lastPrinted>2001-03-15T14:07:50Z</cp:lastPrinted>
  <dcterms:created xsi:type="dcterms:W3CDTF">2001-03-15T13:00:07Z</dcterms:created>
  <dcterms:modified xsi:type="dcterms:W3CDTF">2002-09-26T10:18:39Z</dcterms:modified>
  <cp:category/>
  <cp:version/>
  <cp:contentType/>
  <cp:contentStatus/>
</cp:coreProperties>
</file>