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2.tab.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/>
  <calcPr fullCalcOnLoad="1"/>
</workbook>
</file>

<file path=xl/sharedStrings.xml><?xml version="1.0" encoding="utf-8"?>
<sst xmlns="http://schemas.openxmlformats.org/spreadsheetml/2006/main" count="3864" uniqueCount="941">
  <si>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</si>
  <si>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</si>
  <si>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</si>
  <si>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</si>
  <si>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</si>
  <si>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</si>
  <si>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</si>
  <si>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</si>
  <si>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</si>
  <si>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</si>
  <si>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</si>
  <si>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</si>
  <si>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</si>
  <si>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</si>
  <si>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</si>
  <si>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</si>
  <si>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</si>
  <si>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</si>
  <si>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</si>
  <si>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</si>
  <si>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</si>
  <si>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</si>
  <si>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</si>
  <si>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</si>
  <si>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</si>
  <si>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</si>
  <si>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</si>
  <si>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>Fondēto pensiju shēmas līdzekļi</t>
  </si>
  <si>
    <t xml:space="preserve">   t.sk. sociālās apdrošināšanas obligātās iemaksas</t>
  </si>
  <si>
    <t xml:space="preserve">Valsts kases pārvaldnieks                                                                       </t>
  </si>
  <si>
    <t>2001.gada 15.februārī</t>
  </si>
  <si>
    <t>2001.gada 17.marts</t>
  </si>
  <si>
    <t>6.tabula</t>
  </si>
  <si>
    <t xml:space="preserve"> Valsts kases oDiciālais mēneša pārskats</t>
  </si>
  <si>
    <t xml:space="preserve"> Valsts kases oficiālais mēneša pārskats</t>
  </si>
  <si>
    <t xml:space="preserve">Valsts speciālā budžeta ieņēmumi un izdevumi pa ministrijām </t>
  </si>
  <si>
    <t>(2001.gada februāris - marts)</t>
  </si>
  <si>
    <t xml:space="preserve"> (tūkst.latu)</t>
  </si>
  <si>
    <t>Finansēšanas plāns</t>
  </si>
  <si>
    <t>Izpilde % pret gada plānu 
   (4/2)</t>
  </si>
  <si>
    <t xml:space="preserve">Pārskata mēneša  izpilde 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</si>
  <si>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</si>
  <si>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</si>
  <si>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</si>
  <si>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</si>
  <si>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>Tīrie aizdevumi</t>
  </si>
  <si>
    <t>Fiskālā bilance</t>
  </si>
  <si>
    <t xml:space="preserve">Aizņēmums no pamatbudžeta </t>
  </si>
  <si>
    <t>Centrālā dzīvojamo māju privatizācijas komisija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</si>
  <si>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</si>
  <si>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</si>
  <si>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</si>
  <si>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</si>
  <si>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</si>
  <si>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</si>
  <si>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</si>
  <si>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</si>
  <si>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</si>
  <si>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</si>
  <si>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</si>
  <si>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</si>
  <si>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</si>
  <si>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</si>
  <si>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</si>
  <si>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</si>
  <si>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</si>
  <si>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</si>
  <si>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</si>
  <si>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</si>
  <si>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</si>
  <si>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</si>
  <si>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</si>
  <si>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</si>
  <si>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</si>
  <si>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</si>
  <si>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</si>
  <si>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</si>
  <si>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</si>
  <si>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</si>
  <si>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</si>
  <si>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</si>
  <si>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</si>
  <si>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Maksas pakalpojumi un citi pašu ieņēmumi</t>
  </si>
  <si>
    <t xml:space="preserve">   Ārvalstu finansu palīdzība </t>
  </si>
  <si>
    <t xml:space="preserve">         t.sk. aizņēmuma atmaksa pamatbudžetā</t>
  </si>
  <si>
    <t>Latvijas ostu attīstības fonds</t>
  </si>
  <si>
    <t xml:space="preserve">    Atskaitījumi no ostu maksām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</si>
  <si>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</si>
  <si>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</si>
  <si>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</si>
  <si>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</si>
  <si>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</si>
  <si>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</si>
  <si>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</si>
  <si>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</si>
  <si>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</si>
  <si>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</si>
  <si>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>Izdevumi*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</si>
  <si>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</si>
  <si>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</si>
  <si>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</si>
  <si>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</si>
  <si>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</si>
  <si>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</si>
  <si>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</si>
  <si>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</si>
  <si>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</si>
  <si>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</si>
  <si>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</si>
  <si>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</si>
  <si>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</si>
  <si>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</si>
  <si>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 xml:space="preserve">* konsolidēts par sociālās apdrošināšanas iekšējiem maksājumiem </t>
  </si>
  <si>
    <t>tūkst.latu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</si>
  <si>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</si>
  <si>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</si>
  <si>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>(2001. gada janvāris - marts)</t>
  </si>
  <si>
    <t xml:space="preserve">                (tūkst.latu)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</si>
  <si>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</si>
  <si>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</si>
  <si>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</si>
  <si>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</si>
  <si>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</si>
  <si>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</si>
  <si>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</si>
  <si>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</si>
  <si>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</si>
  <si>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</si>
  <si>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</si>
  <si>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</si>
  <si>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</si>
  <si>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</si>
  <si>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</si>
  <si>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</si>
  <si>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</si>
  <si>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</si>
  <si>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</si>
  <si>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</si>
  <si>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</si>
  <si>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</si>
  <si>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</si>
  <si>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</si>
  <si>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</si>
  <si>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</si>
  <si>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</si>
  <si>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</si>
  <si>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</si>
  <si>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</si>
  <si>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</si>
  <si>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</si>
  <si>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</si>
  <si>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</si>
  <si>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</si>
  <si>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</si>
  <si>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</si>
  <si>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</si>
  <si>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</si>
  <si>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</si>
  <si>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>Norēķinu kontu atlikumu izmaiņas</t>
  </si>
  <si>
    <t>Valsts kases pārvaldnieks                                                                                              A. Veiss</t>
  </si>
  <si>
    <t>1.tabula</t>
  </si>
  <si>
    <t xml:space="preserve">Valsts konsolidētā budžeta izpilde  (neieskaitot ziedojumus un dāvinājumus) </t>
  </si>
  <si>
    <t>Izpilde  % pret gada plānu         (3/2)</t>
  </si>
  <si>
    <t xml:space="preserve">Janvāra  izpilde </t>
  </si>
  <si>
    <t xml:space="preserve">Marta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</si>
  <si>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</si>
  <si>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</si>
  <si>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</si>
  <si>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</si>
  <si>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</si>
  <si>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</si>
  <si>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</si>
  <si>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</si>
  <si>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</si>
  <si>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</si>
  <si>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</si>
  <si>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</si>
  <si>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</si>
  <si>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</si>
  <si>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</si>
  <si>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</si>
  <si>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</si>
  <si>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</si>
  <si>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</si>
  <si>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</si>
  <si>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</si>
  <si>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</si>
  <si>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</si>
  <si>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</si>
  <si>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</si>
  <si>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</si>
  <si>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</si>
  <si>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</si>
  <si>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</si>
  <si>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</si>
  <si>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</si>
  <si>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</si>
  <si>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</si>
  <si>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</si>
  <si>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</si>
  <si>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</si>
  <si>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</si>
  <si>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</si>
  <si>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        pārējā finansēšana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</si>
  <si>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</si>
  <si>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</si>
  <si>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</si>
  <si>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</si>
  <si>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</si>
  <si>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</si>
  <si>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</si>
  <si>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</si>
  <si>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</si>
  <si>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</si>
  <si>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</si>
  <si>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</si>
  <si>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</si>
  <si>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</si>
  <si>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</si>
  <si>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</si>
  <si>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</si>
  <si>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</si>
  <si>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</si>
  <si>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</si>
  <si>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</si>
  <si>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</si>
  <si>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</si>
  <si>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</si>
  <si>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</si>
  <si>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</si>
  <si>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</si>
  <si>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</si>
  <si>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</si>
  <si>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</si>
  <si>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</si>
  <si>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</si>
  <si>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</si>
  <si>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                                                                                                                                 A.Veiss                                                                    </t>
  </si>
  <si>
    <t>1999.gada 15.oktobris</t>
  </si>
  <si>
    <t>2.tabula</t>
  </si>
  <si>
    <t xml:space="preserve">Valsts pamatbudžeta ieņēmumi </t>
  </si>
  <si>
    <t xml:space="preserve">             (2001.gada janvāris - marts)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</si>
  <si>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</si>
  <si>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</si>
  <si>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</si>
  <si>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</si>
  <si>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</si>
  <si>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</si>
  <si>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</si>
  <si>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</si>
  <si>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</si>
  <si>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</si>
  <si>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</si>
  <si>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</si>
  <si>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</si>
  <si>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</si>
  <si>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</si>
  <si>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</si>
  <si>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</si>
  <si>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</si>
  <si>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</si>
  <si>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</si>
  <si>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      Valsts nodeva par jūras navigācijas pakalpojumiem (bāku nodeva)</t>
  </si>
  <si>
    <t xml:space="preserve">     Valsts nodeva par jūras navigācijas pakalpojumiem (bāku nodeva)</t>
  </si>
  <si>
    <t xml:space="preserve">           Izložu un azartspēļu valsts nodeva, izložu nodoklis, azartspēļu nodoklis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</si>
  <si>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</si>
  <si>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</si>
  <si>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</si>
  <si>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</si>
  <si>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  VAS "Latvijas meži" fiksētais maksājums</t>
  </si>
  <si>
    <t xml:space="preserve">        VAS "Latvijas meži" fiksētais maksājums</t>
  </si>
  <si>
    <t xml:space="preserve">          Iemaksas no Dzelzceļa infrastruktūras fonda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</si>
  <si>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</si>
  <si>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</si>
  <si>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 xml:space="preserve">          Ieņēmumi no pasēm</t>
  </si>
  <si>
    <t>1.3. Pašu ieņēmumi</t>
  </si>
  <si>
    <t xml:space="preserve">   Budžeta iestāžu ieņēmumi no maksas pakalpojumiem           un citi pašu ieņēmumi</t>
  </si>
  <si>
    <t>1.4. Ārvalstu finansu palīdzība</t>
  </si>
  <si>
    <t xml:space="preserve">Valsts kases pārvaldnieks                                                             </t>
  </si>
  <si>
    <t>Valsts kase /Pārskatu departaments</t>
  </si>
  <si>
    <t>3.tabula</t>
  </si>
  <si>
    <t xml:space="preserve">     Valsts pamatbudżeta ieņēmumi un  izdevumi pa ministrijām un citām centrālām valsts iestādēm </t>
  </si>
  <si>
    <t>(saimnieciskais gads, pārskata periods)</t>
  </si>
  <si>
    <t>kopā ar ārvalstu  finansu palīdzību</t>
  </si>
  <si>
    <t>Resursi izdevumu segšanai</t>
  </si>
  <si>
    <t>Dotācijas no vispārējiem ieņēmumiem</t>
  </si>
  <si>
    <t>Dotācijas īpašiem mērķiem</t>
  </si>
  <si>
    <t>Mērķdotācijas pašvaldībām</t>
  </si>
  <si>
    <t>Dotācija pašvaldībām</t>
  </si>
  <si>
    <t xml:space="preserve">Valsts kases pārvaldnieks                                                                 A.Veiss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</si>
  <si>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</si>
  <si>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</si>
  <si>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</si>
  <si>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(2001.gada janvāris-marts)</t>
  </si>
  <si>
    <t>Izpilde % pret finansēša-nas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</si>
  <si>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</si>
  <si>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</si>
  <si>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</si>
  <si>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</si>
  <si>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>2.1. Uzturēšanas izdevumi</t>
  </si>
  <si>
    <t xml:space="preserve">   valsts sociālās apdrošināšanas obligātās iemaksas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</si>
  <si>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</si>
  <si>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</si>
  <si>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</si>
  <si>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 dotācijas iestādēm un organizācijām</t>
  </si>
  <si>
    <t xml:space="preserve">                t.sk. dotācijas lauksaimniecībai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</si>
  <si>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</si>
  <si>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</si>
  <si>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</si>
  <si>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</si>
  <si>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</si>
  <si>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</si>
  <si>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</si>
  <si>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</si>
  <si>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</si>
  <si>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</si>
  <si>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</si>
  <si>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</si>
  <si>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</si>
  <si>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</si>
  <si>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</si>
  <si>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</si>
  <si>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</si>
  <si>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</si>
  <si>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</si>
  <si>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 xml:space="preserve">    ieņēmumi no valsts un pašvaldību īpašuma privatizācijas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</si>
  <si>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</si>
  <si>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</si>
  <si>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</si>
  <si>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</si>
  <si>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</si>
  <si>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</si>
  <si>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</si>
  <si>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 xml:space="preserve">    (2001.gada janvāris-marts)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</si>
  <si>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</si>
  <si>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</si>
  <si>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</si>
  <si>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</si>
  <si>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</si>
  <si>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</si>
  <si>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</si>
  <si>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</si>
  <si>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</si>
  <si>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</si>
  <si>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</si>
  <si>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</si>
  <si>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</si>
  <si>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</si>
  <si>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</si>
  <si>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</si>
  <si>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</si>
  <si>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</si>
  <si>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</si>
  <si>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</si>
  <si>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</si>
  <si>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</si>
  <si>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</si>
  <si>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</si>
  <si>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</si>
  <si>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</si>
  <si>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</si>
  <si>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</si>
  <si>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</si>
  <si>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</si>
  <si>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</si>
  <si>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</si>
  <si>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</si>
  <si>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</si>
  <si>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</si>
  <si>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</si>
  <si>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</si>
  <si>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</si>
  <si>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</si>
  <si>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</si>
  <si>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</si>
  <si>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</si>
  <si>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</si>
  <si>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</si>
  <si>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</si>
  <si>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</si>
  <si>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</si>
  <si>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</si>
  <si>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</si>
  <si>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</si>
  <si>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</si>
  <si>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</si>
  <si>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</si>
  <si>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</si>
  <si>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</si>
  <si>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</si>
  <si>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</si>
  <si>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</si>
  <si>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</si>
  <si>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</si>
  <si>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</si>
  <si>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</si>
  <si>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23.tabula</t>
  </si>
  <si>
    <t>Pašvaldību budžeta ziedojumu un dāvinājumu izdevumi pēc valdības funkcijām</t>
  </si>
  <si>
    <t>Gada plāns</t>
  </si>
  <si>
    <t>Izpilde % pret gada plānu (3/2)</t>
  </si>
  <si>
    <t>1</t>
  </si>
  <si>
    <t>2</t>
  </si>
  <si>
    <t>3</t>
  </si>
  <si>
    <t>4</t>
  </si>
  <si>
    <t>5</t>
  </si>
  <si>
    <t xml:space="preserve">Izdevumi kopā </t>
  </si>
  <si>
    <t>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</si>
  <si>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</si>
  <si>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</si>
  <si>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</si>
  <si>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</si>
  <si>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</si>
  <si>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</si>
  <si>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Norēķini ar pašvaldību budžetiem</t>
  </si>
  <si>
    <t xml:space="preserve">Valsts kases pārvaldnieks                                                                     </t>
  </si>
  <si>
    <t>22.tabula</t>
  </si>
  <si>
    <t>Pašvaldību  budžeta ziedojumu un dāvinājumu ieņēmumi un izdevumi pēc ekonomiskās klasifikācijas</t>
  </si>
  <si>
    <t>(2001.gada februaris - marts)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</si>
  <si>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</si>
  <si>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</si>
  <si>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</si>
  <si>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Fiskālā bilance (1.-2.-3)</t>
  </si>
  <si>
    <t xml:space="preserve">Valsts kases pārvaldnieks                                                                         </t>
  </si>
  <si>
    <t>21.tabula</t>
  </si>
  <si>
    <t xml:space="preserve">                Valsts kases oficiālais pārskats</t>
  </si>
  <si>
    <t>Pašvaldību  budžeta ziedojumu un dāvinājumu  izpildes rādītāji</t>
  </si>
  <si>
    <t>Rajona, pilsētas nosaukums</t>
  </si>
  <si>
    <t xml:space="preserve">Izdevumi </t>
  </si>
  <si>
    <t>Fiskālais deficīts (-), pārpalikums (+)      (2-5)</t>
  </si>
  <si>
    <t>Aizdevumi/ atmaksas</t>
  </si>
  <si>
    <t>Finansiālais deficīts (-), pārpalikums (+)       (6-7)</t>
  </si>
  <si>
    <t>Finansē-šana        -(6-7)</t>
  </si>
  <si>
    <t>Iekšējā finansēšana</t>
  </si>
  <si>
    <t>Ārējā finansēšana</t>
  </si>
  <si>
    <t>tai skaitā</t>
  </si>
  <si>
    <t>Uzturēšanas</t>
  </si>
  <si>
    <t>Kapitālie</t>
  </si>
  <si>
    <t>Kopā</t>
  </si>
  <si>
    <t>Budžeta līdzekļu izmaiņas         (12-13)</t>
  </si>
  <si>
    <t>Līdzekļu atlikums gada sākumā</t>
  </si>
  <si>
    <t>Līdzekļu atlikums perioda beigās</t>
  </si>
  <si>
    <t>No komerc-bankām</t>
  </si>
  <si>
    <t>KOPĀ PILSĒTĀS</t>
  </si>
  <si>
    <t>KOPĀ RAJONOS</t>
  </si>
  <si>
    <t xml:space="preserve">Valsts kases pārvaldnieks                                                                            </t>
  </si>
  <si>
    <t>20.tabula</t>
  </si>
  <si>
    <t>Pašvaldību speciālā budžeta izpildes rādītāji (neieskaitot ziedojumus un dāvinājumus)</t>
  </si>
  <si>
    <t>Aizdevumi (+) / atmaksas (-)</t>
  </si>
  <si>
    <t>Finansē-šana  
 -(6-7)</t>
  </si>
  <si>
    <t>Uzturē-šanas</t>
  </si>
  <si>
    <t>No komercbankām</t>
  </si>
  <si>
    <t>2001.gada  17.aprīlis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</si>
  <si>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</si>
  <si>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</si>
  <si>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</si>
  <si>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</si>
  <si>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</si>
  <si>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</si>
  <si>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</si>
  <si>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</si>
  <si>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</si>
  <si>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</si>
  <si>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</si>
  <si>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</si>
  <si>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</si>
  <si>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>Norēķini</t>
  </si>
  <si>
    <t>t.sk. norēķini ar  PFIFu</t>
  </si>
  <si>
    <t>Izdevumi kopā (6+7)</t>
  </si>
  <si>
    <t>Pārbaude</t>
  </si>
  <si>
    <t>Budžeta līdzekļu izmaiņas (14-15)</t>
  </si>
  <si>
    <t>No komerc-
bankām</t>
  </si>
  <si>
    <t>PILSĒTAS</t>
  </si>
  <si>
    <t>RAJONI</t>
  </si>
  <si>
    <t>*  -  neieskaitot iedzīvotāju ienākuma nodokļa atlikumu sadales kontā</t>
  </si>
  <si>
    <t xml:space="preserve"> </t>
  </si>
  <si>
    <t>Valsts kase/ Pārksatu departaments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</si>
  <si>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</si>
  <si>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</si>
  <si>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</si>
  <si>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</si>
  <si>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</si>
  <si>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</si>
  <si>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</si>
  <si>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</si>
  <si>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</si>
  <si>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</si>
  <si>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</si>
  <si>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</si>
  <si>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</si>
  <si>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</si>
  <si>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</si>
  <si>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pašvaldību budžetu transferti</t>
  </si>
  <si>
    <t>Kapitālie izdevumi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</si>
  <si>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</si>
  <si>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</si>
  <si>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</si>
  <si>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</si>
  <si>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</si>
  <si>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</si>
  <si>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</si>
  <si>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</si>
  <si>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</si>
  <si>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</si>
  <si>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</si>
  <si>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</si>
  <si>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</si>
  <si>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 xml:space="preserve">Pārvaldnieks 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</si>
  <si>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</si>
  <si>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</si>
  <si>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</si>
  <si>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</si>
  <si>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>(2001.gada  janvāris - marts)</t>
  </si>
  <si>
    <t xml:space="preserve">                                                             (tūkst.latu)</t>
  </si>
  <si>
    <t xml:space="preserve">Februāra mēneša  izpilde </t>
  </si>
  <si>
    <t xml:space="preserve">                                   pārējie izdevumi</t>
  </si>
  <si>
    <t xml:space="preserve">  transferti budžetu savstarpējiem maksājumiem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</si>
  <si>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</si>
  <si>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</si>
  <si>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</si>
  <si>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 xml:space="preserve">                               (tūkst.latu)</t>
  </si>
  <si>
    <t xml:space="preserve">1. Izdevumi kopā (1.1. + 1.2.) </t>
  </si>
  <si>
    <t>1.1. Izdevumi pēc valdības funkcijām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</si>
  <si>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</si>
  <si>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</si>
  <si>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</si>
  <si>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Pārējie norēķini</t>
  </si>
  <si>
    <t>Maksājumi pašvaldību finansu izlīdzināšanas fondam</t>
  </si>
  <si>
    <t>Pašvaldību  pārskata gada maksājumi</t>
  </si>
  <si>
    <t>Pašvaldību iepriekšējā gada parādu maksājumi</t>
  </si>
  <si>
    <t xml:space="preserve">Valsts kases pārvaldnieks                                                                  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</si>
  <si>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</si>
  <si>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</si>
  <si>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</si>
  <si>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</si>
  <si>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</si>
  <si>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</si>
  <si>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</si>
  <si>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</si>
  <si>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</si>
  <si>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</si>
  <si>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</si>
  <si>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</si>
  <si>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</si>
  <si>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</si>
  <si>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</si>
  <si>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</si>
  <si>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</si>
  <si>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</si>
  <si>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</si>
  <si>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</si>
  <si>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</si>
  <si>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</si>
  <si>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</si>
  <si>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</si>
  <si>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</si>
  <si>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citām  pašvaldībām  par izglītības iestāžu sniegtajiem pakalpojumiem</t>
  </si>
  <si>
    <t>Norēķini ar citām pašvaldībām par sociālās palīdzības iestāžu sniegtajiem pakalpojumiem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</si>
  <si>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</si>
  <si>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</si>
  <si>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</si>
  <si>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</si>
  <si>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</si>
  <si>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</si>
  <si>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</si>
  <si>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</si>
  <si>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</si>
  <si>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</si>
  <si>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</si>
  <si>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 xml:space="preserve"> No valsts pamatbudžeta saņemtā dotācija PFIF   1931 tūkst. latu</t>
  </si>
  <si>
    <t>* nesadalītais atlikums uz perioda beigām -1168 tūkst.latu</t>
  </si>
  <si>
    <t>13. tabula</t>
  </si>
  <si>
    <t>Pašvaldību konsolidētā budžeta izpilde  (neieskaitot ziedojumus un dāvinājumus)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</si>
  <si>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</si>
  <si>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</si>
  <si>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</si>
  <si>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</si>
  <si>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</si>
  <si>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</si>
  <si>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</si>
  <si>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</si>
  <si>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</si>
  <si>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</si>
  <si>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</si>
  <si>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</si>
  <si>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</si>
  <si>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</si>
  <si>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</si>
  <si>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</si>
  <si>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</si>
  <si>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</si>
  <si>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</si>
  <si>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</si>
  <si>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</si>
  <si>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</si>
  <si>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</si>
  <si>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</si>
  <si>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</si>
  <si>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</si>
  <si>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</si>
  <si>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</si>
  <si>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</si>
  <si>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</si>
  <si>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</si>
  <si>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</si>
  <si>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</si>
  <si>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</si>
  <si>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</si>
  <si>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</si>
  <si>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</si>
  <si>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</si>
  <si>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</si>
  <si>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</si>
  <si>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</si>
  <si>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</si>
  <si>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</si>
  <si>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</si>
  <si>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</si>
  <si>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</si>
  <si>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</si>
  <si>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30.tabula</t>
  </si>
  <si>
    <t>32.tabula</t>
  </si>
  <si>
    <t xml:space="preserve">Valsts kases kontu atlikumi kredītiestādēs </t>
  </si>
  <si>
    <t>(2001. gada marts)</t>
  </si>
  <si>
    <t>Iepriekšējā gada beigās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</si>
  <si>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</si>
  <si>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</si>
  <si>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</si>
  <si>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</si>
  <si>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</si>
  <si>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</si>
  <si>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</si>
  <si>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</si>
  <si>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</si>
  <si>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</si>
  <si>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</si>
  <si>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</si>
  <si>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</si>
  <si>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</si>
  <si>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</si>
  <si>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</si>
  <si>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</si>
  <si>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</si>
  <si>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</si>
  <si>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</si>
  <si>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</si>
  <si>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</si>
  <si>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</si>
  <si>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Bank of America *</t>
  </si>
  <si>
    <t>Deutche Bank AG</t>
  </si>
  <si>
    <t>Bankers Trust Co</t>
  </si>
  <si>
    <t>Bankers Trust Co *</t>
  </si>
  <si>
    <t>HSBC Bank USA</t>
  </si>
  <si>
    <t>HSBC Bank USA *</t>
  </si>
  <si>
    <t>* atlikumi gada sākumā precizēti</t>
  </si>
  <si>
    <t>Valsts kases pārvaldnieks</t>
  </si>
  <si>
    <t>29.tabula</t>
  </si>
  <si>
    <t>Programmas "Valsts aizsardzība, drošība un integrācija NATO" izpilde 
(saimnieciskais gads, pārskata periods)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</si>
  <si>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marts)</t>
    </r>
  </si>
  <si>
    <t>Izpilde  % pret gada plānu         (4/2)</t>
  </si>
  <si>
    <t xml:space="preserve">Marta  mēneša izpilde 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</si>
  <si>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</si>
  <si>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</si>
  <si>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</si>
  <si>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</si>
  <si>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</si>
  <si>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</si>
  <si>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</si>
  <si>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</si>
  <si>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</si>
  <si>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</si>
  <si>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</si>
  <si>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</si>
  <si>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</si>
  <si>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 xml:space="preserve">     Centralizētā bruņojuma un munīcijas 
     nodrošināsanas izdevumi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</si>
  <si>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</si>
  <si>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</si>
  <si>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</si>
  <si>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t xml:space="preserve">Valsts kases pārvaldnieks                                                                                        A. Veiss                                            </t>
  </si>
  <si>
    <t>28.tabula</t>
  </si>
  <si>
    <t>Ministriju un centrālo valsts iestāžu valsts ilgtermiņa saistību limiti</t>
  </si>
  <si>
    <t>Ministriju un centrālo valsts iestāžu ilgtermiņa valsts saistību limiti</t>
  </si>
  <si>
    <t>2002., 2003. gadam un turpmākajiem gadiem valsts speciālajā 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</si>
  <si>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</si>
  <si>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</si>
  <si>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</si>
  <si>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</si>
  <si>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</si>
  <si>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</si>
  <si>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</si>
  <si>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</si>
  <si>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</si>
  <si>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Valsts kases pārvaldnieks ________________________________________ (A.Veiss)</t>
  </si>
  <si>
    <t>Valsts kases pārvaldnieks                                                                                                                                                         A.Veiss</t>
  </si>
  <si>
    <t>27.tabula</t>
  </si>
  <si>
    <t>2002., 2003. gadam un turpmākajiem gadiem valsts pamatbudžetā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</si>
  <si>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</si>
  <si>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</si>
  <si>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</si>
  <si>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</si>
  <si>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Valsts kases pārvaldnieks                                                                                                                                                               A.Veiss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</si>
  <si>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</si>
  <si>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</si>
  <si>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</si>
  <si>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</si>
  <si>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</si>
  <si>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</si>
  <si>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</si>
  <si>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 xml:space="preserve">fiskālajam deficītam: </t>
  </si>
  <si>
    <t>(milj. latu)</t>
  </si>
  <si>
    <t>1. janvāris - 31. marts, 2001 (indikatīvā robeža)</t>
  </si>
  <si>
    <t>1. janvāris - 30. jūnijs, 2001 : kontroles rādītājs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</si>
  <si>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</si>
  <si>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</si>
  <si>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</si>
  <si>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</si>
  <si>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</si>
  <si>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</si>
  <si>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</si>
  <si>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</si>
  <si>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</si>
  <si>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</si>
  <si>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</si>
  <si>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</si>
  <si>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</si>
  <si>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</si>
  <si>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</si>
  <si>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</si>
  <si>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</si>
  <si>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</si>
  <si>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</si>
  <si>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</si>
  <si>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</si>
  <si>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</si>
  <si>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</si>
  <si>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 xml:space="preserve">  Indikatīvie mērķi pamatbudžeta </t>
  </si>
  <si>
    <t xml:space="preserve">  ieņēmumiem: </t>
  </si>
  <si>
    <t>1. janvāris - 30. jūnijs, 2001 (indikatīvā robeža)</t>
  </si>
  <si>
    <t>1. janvāris - 30. septembris, 2001 (indikatīvā robeža)</t>
  </si>
  <si>
    <t>1. janvāris - 31. decembris, 2001 (indikatīvā robeža)</t>
  </si>
  <si>
    <t xml:space="preserve">    Pārvaldnieks                                                                                                                        A. Veiss</t>
  </si>
  <si>
    <t xml:space="preserve">Valsts kases oficiālais mēneša pārskats </t>
  </si>
  <si>
    <t>10. tabula</t>
  </si>
  <si>
    <t>12.tabula</t>
  </si>
  <si>
    <t xml:space="preserve">Ārvalstu finansu palīdzības un valsts budžeta līdzdalības maksājumi </t>
  </si>
  <si>
    <t>(2001.gada marts)</t>
  </si>
  <si>
    <t>(2001.gada janvāris -  marts)</t>
  </si>
  <si>
    <t>(latos)</t>
  </si>
  <si>
    <t>(tūkst. latu)</t>
  </si>
  <si>
    <t>Rādītāji</t>
  </si>
  <si>
    <t>Likumā apstiprinātais gada plāns</t>
  </si>
  <si>
    <t xml:space="preserve">Finansēšanas plāns pārskata periodam </t>
  </si>
  <si>
    <t>Izpilde no gada sākuma</t>
  </si>
  <si>
    <t>Izpilde % pret gada plānu (4/2)</t>
  </si>
  <si>
    <t>Izpilde % pret finansēša-nas plānu pārskata periodam 
  (4/3)</t>
  </si>
  <si>
    <t>Mēneša izpilde</t>
  </si>
  <si>
    <t>Izpilde % pret finansēšanas plānu pārskata periodam 
  (4/3)</t>
  </si>
  <si>
    <t>Marta mēneša izpilde</t>
  </si>
  <si>
    <t xml:space="preserve">   1. Ārvalstu finansu palīdzība
un valsts pamatbudžeta 
līdzdalības maksājumi kopā</t>
  </si>
  <si>
    <t>Ārvalstu finansu palīdzība</t>
  </si>
  <si>
    <t xml:space="preserve">     Uzturēšanas izdevumi</t>
  </si>
  <si>
    <t xml:space="preserve">     Izdevumi kapitālieguldījumiem</t>
  </si>
  <si>
    <t>Valsts pamatbudžets</t>
  </si>
  <si>
    <t>Saeima</t>
  </si>
  <si>
    <t xml:space="preserve">  Ārvalstu finansu palīdzība</t>
  </si>
  <si>
    <t>Ministru Kabinets</t>
  </si>
  <si>
    <t xml:space="preserve">  Valsts pamatbudžets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</si>
  <si>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</si>
  <si>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</si>
  <si>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</si>
  <si>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</si>
  <si>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</si>
  <si>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</si>
  <si>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</si>
  <si>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</si>
  <si>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 xml:space="preserve">Tieslietu ministrija </t>
  </si>
  <si>
    <t xml:space="preserve">  Ārvalstu finansu palīdzība *</t>
  </si>
  <si>
    <t>Vides aizsardzības un reģionālās 
attīstības ministrija</t>
  </si>
  <si>
    <t>Kultūras ministrija</t>
  </si>
  <si>
    <t>Valsts kontrole</t>
  </si>
  <si>
    <t>Īpašu uzdevumu ministra sadarbībai  ar starptautiskajām finansu institūcijām sekretariāts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</si>
  <si>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</si>
  <si>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</si>
  <si>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</si>
  <si>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</si>
  <si>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</si>
  <si>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</si>
  <si>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* saskaņā ar finansēšanas plāna izmaiņām pārnesti 209 tūkst.latu no uzturēšanas izdevumiem uz izdevumiem kapitālieguldījumiem</t>
  </si>
  <si>
    <t>Valsts kases pārvaldnieks                                                                                  A. Veiss</t>
  </si>
  <si>
    <t>Valsts kase / Pārskatu departaments</t>
  </si>
  <si>
    <t>2001. gada 17. aprīlis</t>
  </si>
  <si>
    <t>11.tabula</t>
  </si>
  <si>
    <t>Valsts kases oficiālais mēneša pārskats</t>
  </si>
  <si>
    <t>Valsts budžeta ziedojumu un dāvinājumu izdevumi pēc valdības funkcijām</t>
  </si>
  <si>
    <t>(2001.gada janvāris - marts)</t>
  </si>
  <si>
    <t xml:space="preserve">Valdības funkciju kods </t>
  </si>
  <si>
    <t xml:space="preserve">Izpilde no gada sākuma </t>
  </si>
  <si>
    <t>Izpilde % pret finansēšanas plānu  (3/2)</t>
  </si>
  <si>
    <t xml:space="preserve">Marta mēneša  izpilde </t>
  </si>
  <si>
    <t>Izpilde % pret finansēšanas plānu  (4/3)</t>
  </si>
  <si>
    <t>Izdevumi kopā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</si>
  <si>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</si>
  <si>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</si>
  <si>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</si>
  <si>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</si>
  <si>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</si>
  <si>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</si>
  <si>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</si>
  <si>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</si>
  <si>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</si>
  <si>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</si>
  <si>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</si>
  <si>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</si>
  <si>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</si>
  <si>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</si>
  <si>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>Brīvais laiks, sports, kultūra un reliģija</t>
  </si>
  <si>
    <t>08.000</t>
  </si>
  <si>
    <t>Kurināmā un enerģētikas dienesti un pasākumi</t>
  </si>
  <si>
    <t>09.000</t>
  </si>
  <si>
    <t>Lauksaimniecība (zemkopība), mežkopība un zvejniecība</t>
  </si>
  <si>
    <t>10.000</t>
  </si>
  <si>
    <t>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</si>
  <si>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</si>
  <si>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</si>
  <si>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</si>
  <si>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</si>
  <si>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</si>
  <si>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>Pārējie izdevumi, kas nav atspoguļoti pamatgrupās</t>
  </si>
  <si>
    <t>14.000</t>
  </si>
  <si>
    <t>Pārējie izdevumi, kas nav atspoguļoti pamatgrupās (ieskaitot tīros aizdevumus)</t>
  </si>
  <si>
    <t xml:space="preserve">Valsts kases pārvaldnieks                                                                      </t>
  </si>
  <si>
    <t>A.Veiss</t>
  </si>
  <si>
    <t>Valsts kase/Pārskatu departaments</t>
  </si>
  <si>
    <t>2001.gada 17.aprīlis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</si>
  <si>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</si>
  <si>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</si>
  <si>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</si>
  <si>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>(2001.gada janvāris - februāris)</t>
  </si>
  <si>
    <t>(tūkst.latu)</t>
  </si>
  <si>
    <t xml:space="preserve">Marta  mēneša  izpilde 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</si>
  <si>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</si>
  <si>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</si>
  <si>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</si>
  <si>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</si>
  <si>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</si>
  <si>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>2.1.Uzturēšanas izdevumi</t>
  </si>
  <si>
    <t>Kārtējie izdevumi</t>
  </si>
  <si>
    <t xml:space="preserve">    atalgojumi</t>
  </si>
  <si>
    <t xml:space="preserve">    valsts sociālās apdrošināšanas obligātās iemaksas</t>
  </si>
  <si>
    <t>x</t>
  </si>
  <si>
    <t xml:space="preserve">          </t>
  </si>
  <si>
    <t xml:space="preserve">    pārējie kārtējie izdevumi</t>
  </si>
  <si>
    <t xml:space="preserve">     t.sk. preču un pakalpojumu izdevumi  </t>
  </si>
  <si>
    <t xml:space="preserve">            pārējie izdevumi</t>
  </si>
  <si>
    <t xml:space="preserve">     aizņēmumu atmaksa</t>
  </si>
  <si>
    <t>Maksājumi par aizņēmumiem un kredītiem</t>
  </si>
  <si>
    <t xml:space="preserve">     procentu nomaksa par iekšējiem aizņēmumiem</t>
  </si>
  <si>
    <t xml:space="preserve">     procentu nomaksa par ārvalstu aizņēmumiem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</si>
  <si>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</si>
  <si>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</si>
  <si>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</si>
  <si>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</si>
  <si>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 dotācijas iestādēm un organizācijām</t>
  </si>
  <si>
    <t xml:space="preserve">     dotācijas iedzīvotājiem</t>
  </si>
  <si>
    <t>2.2.Izdevumi  kapitālieguldījumiem</t>
  </si>
  <si>
    <t xml:space="preserve">Kapitālie izdevumi  </t>
  </si>
  <si>
    <t>Investīcijas</t>
  </si>
  <si>
    <t>Fiskālā bilance (1.-2.)</t>
  </si>
  <si>
    <t>Finansēšana</t>
  </si>
  <si>
    <t>Naudas līdzekļu atlikumu izmaiņas palielinājums (-) vai samazinājums (+)</t>
  </si>
  <si>
    <t>2001.gada 15.aprīlis</t>
  </si>
  <si>
    <t>9.tabula</t>
  </si>
  <si>
    <t xml:space="preserve">Valsts  budžeta  ziedojumu un dāvinājumu ieņēmumi un izdevumi pa ministrijām un citām centrālām valsts iestādēm </t>
  </si>
  <si>
    <t>(2001. gada janvāris- marts)</t>
  </si>
  <si>
    <t>Izpilde % pret finansēšanas plānu (3/2)</t>
  </si>
  <si>
    <t>Ieņēmumi kopā</t>
  </si>
  <si>
    <t xml:space="preserve">Izdevumi - kopā </t>
  </si>
  <si>
    <t>Uzturēšanas izdevumi</t>
  </si>
  <si>
    <t>Izdevumi kapitālieguldījumiem</t>
  </si>
  <si>
    <t>Valsts prezidenta kanceleja</t>
  </si>
  <si>
    <t>Ieņēmumi</t>
  </si>
  <si>
    <t>Aizsardzības ministrija</t>
  </si>
  <si>
    <t xml:space="preserve">   Izdevumi - kopā </t>
  </si>
  <si>
    <t>Tieslietu ministrija</t>
  </si>
  <si>
    <t>Vides aizsardzības un reģionālās attīstības ministrija</t>
  </si>
  <si>
    <t>Valsts zemes dienests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</si>
  <si>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</si>
  <si>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</si>
  <si>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</si>
  <si>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</si>
  <si>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</si>
  <si>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</si>
  <si>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</si>
  <si>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</si>
  <si>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valsts reformu lietās  sekretariāts</t>
  </si>
  <si>
    <t>Sabiedrisko pakalpojumu regulēšanas komisija</t>
  </si>
  <si>
    <t xml:space="preserve">Valsts kases pārvaldnieks                                                                           </t>
  </si>
  <si>
    <t>A. Veiss</t>
  </si>
  <si>
    <t>2001. gada 17.aprīlis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</si>
  <si>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</si>
  <si>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</si>
  <si>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</si>
  <si>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>(2001.gada janvāris- marts)</t>
  </si>
  <si>
    <t>latos</t>
  </si>
  <si>
    <t>Valdības funkcijas kods</t>
  </si>
  <si>
    <t>Izpilde % pret gada plānu          (3/2)</t>
  </si>
  <si>
    <t xml:space="preserve">Janvāra mēneša  izpilde </t>
  </si>
  <si>
    <t>Izpilde % pret gada plānu          (4/3)</t>
  </si>
  <si>
    <t>Izdevumi - kopā</t>
  </si>
  <si>
    <t xml:space="preserve">Izglītība </t>
  </si>
  <si>
    <t xml:space="preserve">Izglītība  </t>
  </si>
  <si>
    <t>t.sk. tīrie  aizdevumi</t>
  </si>
  <si>
    <t xml:space="preserve">Brīvais laiks, sports,kultūra un reliģija </t>
  </si>
  <si>
    <t xml:space="preserve">Lauksaimniecība (zemkopība), mežkopība un zvejniecība </t>
  </si>
  <si>
    <t>Pārējie izdevumi, kas nav atspoguļoti pamatgrupās  (ieskaitot tīros aizdevumus)</t>
  </si>
  <si>
    <t xml:space="preserve">Valsts kases pārvaldnieks                                                                        </t>
  </si>
  <si>
    <t>Valsts kase/ Pārskatu departaments</t>
  </si>
  <si>
    <t xml:space="preserve">Valsts kases pārvaldnieks                           (paraksts)                                                 </t>
  </si>
  <si>
    <t>(paraksta atšifrējums)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</si>
  <si>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</si>
  <si>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</si>
  <si>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</si>
  <si>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</si>
  <si>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Finansēšanas plāns pārskata periodam</t>
  </si>
  <si>
    <t>Izpilde % pret gada plānu      (4/2)</t>
  </si>
  <si>
    <t>Izpilde % pret finansēšanas plānu pārskata periodam           (4/3)</t>
  </si>
  <si>
    <t xml:space="preserve">Marta
 mēneša  izpilde </t>
  </si>
  <si>
    <t>1.Ieņēmumi - kopā</t>
  </si>
  <si>
    <t>Īpašiem mērķiem iezīmēti ieņēmumi</t>
  </si>
  <si>
    <t xml:space="preserve">   t.sk.valsts pamatbudžeta dotācijas</t>
  </si>
  <si>
    <t>Maksas pakalpojumi un citi pašu ieņēmumi</t>
  </si>
  <si>
    <t>2. Izdevumi - kopā (2.1.+2.2.)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</si>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</sst>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,###%"/>
    <numFmt numFmtId="174" formatCode="0.0"/>
    <numFmt numFmtId="175" formatCode="###,###,###"/>
    <numFmt numFmtId="176" formatCode="#,##0.0\ _L_s"/>
    <numFmt numFmtId="177" formatCode="00.000"/>
    <numFmt numFmtId="178" formatCode="0;[Red]0"/>
    <numFmt numFmtId="179" formatCode="#,##0.0"/>
    <numFmt numFmtId="180" formatCode="###0"/>
    <numFmt numFmtId="181" formatCode="###,###,##0"/>
    <numFmt numFmtId="182" formatCode="#\ ###\ ##0"/>
    <numFmt numFmtId="183" formatCode="#\ ###\ \ ##0"/>
    <numFmt numFmtId="184" formatCode="0.0%"/>
    <numFmt numFmtId="185" formatCode="###,##0,"/>
  </numFmts>
  <fonts count="2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.5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72" fontId="6" fillId="0" borderId="3" xfId="0" applyNumberFormat="1" applyFont="1" applyBorder="1" applyAlignment="1">
      <alignment horizontal="right"/>
    </xf>
    <xf numFmtId="173" fontId="6" fillId="0" borderId="3" xfId="19" applyNumberFormat="1" applyFont="1" applyBorder="1" applyAlignment="1">
      <alignment/>
    </xf>
    <xf numFmtId="172" fontId="7" fillId="0" borderId="3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4" fontId="6" fillId="0" borderId="1" xfId="19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 horizontal="right"/>
    </xf>
    <xf numFmtId="173" fontId="7" fillId="0" borderId="3" xfId="19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4" fontId="8" fillId="0" borderId="1" xfId="1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172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4" fontId="7" fillId="0" borderId="1" xfId="19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74" fontId="2" fillId="0" borderId="1" xfId="19" applyNumberFormat="1" applyFont="1" applyBorder="1" applyAlignment="1">
      <alignment/>
    </xf>
    <xf numFmtId="173" fontId="8" fillId="0" borderId="3" xfId="19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8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2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4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4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174" fontId="6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7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4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7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 wrapText="1"/>
    </xf>
    <xf numFmtId="172" fontId="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4" fontId="6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4" fontId="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right" vertical="center" wrapText="1"/>
    </xf>
    <xf numFmtId="174" fontId="1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 horizontal="right"/>
    </xf>
    <xf numFmtId="176" fontId="6" fillId="0" borderId="1" xfId="19" applyNumberFormat="1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right"/>
    </xf>
    <xf numFmtId="176" fontId="0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5" fontId="0" fillId="0" borderId="1" xfId="0" applyNumberFormat="1" applyFont="1" applyFill="1" applyBorder="1" applyAlignment="1">
      <alignment horizontal="right"/>
    </xf>
    <xf numFmtId="177" fontId="0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 wrapText="1"/>
    </xf>
    <xf numFmtId="3" fontId="10" fillId="0" borderId="1" xfId="19" applyNumberFormat="1" applyFont="1" applyBorder="1" applyAlignment="1">
      <alignment/>
    </xf>
    <xf numFmtId="178" fontId="5" fillId="0" borderId="1" xfId="19" applyNumberFormat="1" applyFont="1" applyBorder="1" applyAlignment="1">
      <alignment/>
    </xf>
    <xf numFmtId="175" fontId="6" fillId="0" borderId="1" xfId="0" applyNumberFormat="1" applyFont="1" applyBorder="1" applyAlignment="1">
      <alignment horizontal="right" wrapText="1"/>
    </xf>
    <xf numFmtId="179" fontId="10" fillId="0" borderId="1" xfId="19" applyNumberFormat="1" applyFont="1" applyBorder="1" applyAlignment="1">
      <alignment/>
    </xf>
    <xf numFmtId="175" fontId="0" fillId="0" borderId="1" xfId="0" applyNumberFormat="1" applyFont="1" applyBorder="1" applyAlignment="1">
      <alignment horizontal="right" wrapText="1"/>
    </xf>
    <xf numFmtId="3" fontId="5" fillId="0" borderId="1" xfId="19" applyNumberFormat="1" applyFont="1" applyBorder="1" applyAlignment="1">
      <alignment/>
    </xf>
    <xf numFmtId="175" fontId="5" fillId="0" borderId="1" xfId="0" applyNumberFormat="1" applyFont="1" applyBorder="1" applyAlignment="1">
      <alignment horizontal="right" wrapText="1"/>
    </xf>
    <xf numFmtId="179" fontId="5" fillId="0" borderId="1" xfId="19" applyNumberFormat="1" applyFont="1" applyBorder="1" applyAlignment="1">
      <alignment/>
    </xf>
    <xf numFmtId="0" fontId="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right" vertical="center" wrapText="1"/>
    </xf>
    <xf numFmtId="175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175" fontId="10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5" fontId="9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 applyProtection="1">
      <alignment horizontal="right" wrapText="1"/>
      <protection locked="0"/>
    </xf>
    <xf numFmtId="175" fontId="9" fillId="0" borderId="1" xfId="0" applyNumberFormat="1" applyFont="1" applyBorder="1" applyAlignment="1" applyProtection="1">
      <alignment horizontal="right" wrapText="1"/>
      <protection locked="0"/>
    </xf>
    <xf numFmtId="175" fontId="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4" fontId="13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 applyProtection="1">
      <alignment/>
      <protection locked="0"/>
    </xf>
    <xf numFmtId="174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Continuous"/>
    </xf>
    <xf numFmtId="174" fontId="0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172" fontId="14" fillId="0" borderId="1" xfId="0" applyNumberFormat="1" applyFont="1" applyBorder="1" applyAlignment="1">
      <alignment horizontal="center" wrapText="1"/>
    </xf>
    <xf numFmtId="172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14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14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1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175" fontId="2" fillId="0" borderId="1" xfId="0" applyNumberFormat="1" applyFont="1" applyBorder="1" applyAlignment="1">
      <alignment horizontal="center" vertical="center" wrapText="1"/>
    </xf>
    <xf numFmtId="175" fontId="6" fillId="0" borderId="1" xfId="0" applyNumberFormat="1" applyFont="1" applyBorder="1" applyAlignment="1">
      <alignment/>
    </xf>
    <xf numFmtId="173" fontId="7" fillId="0" borderId="1" xfId="19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175" fontId="2" fillId="0" borderId="1" xfId="0" applyNumberFormat="1" applyFont="1" applyBorder="1" applyAlignment="1">
      <alignment/>
    </xf>
    <xf numFmtId="173" fontId="2" fillId="0" borderId="1" xfId="19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74" fontId="1" fillId="0" borderId="1" xfId="19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75" fontId="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175" fontId="14" fillId="0" borderId="1" xfId="0" applyNumberFormat="1" applyFont="1" applyBorder="1" applyAlignment="1">
      <alignment/>
    </xf>
    <xf numFmtId="181" fontId="14" fillId="0" borderId="1" xfId="0" applyNumberFormat="1" applyFont="1" applyBorder="1" applyAlignment="1">
      <alignment/>
    </xf>
    <xf numFmtId="174" fontId="14" fillId="0" borderId="1" xfId="19" applyNumberFormat="1" applyFont="1" applyBorder="1" applyAlignment="1">
      <alignment/>
    </xf>
    <xf numFmtId="0" fontId="14" fillId="0" borderId="1" xfId="0" applyFont="1" applyBorder="1" applyAlignment="1">
      <alignment/>
    </xf>
    <xf numFmtId="175" fontId="16" fillId="0" borderId="1" xfId="0" applyNumberFormat="1" applyFont="1" applyBorder="1" applyAlignment="1">
      <alignment/>
    </xf>
    <xf numFmtId="174" fontId="16" fillId="0" borderId="1" xfId="19" applyNumberFormat="1" applyFont="1" applyBorder="1" applyAlignment="1">
      <alignment/>
    </xf>
    <xf numFmtId="175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175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74" fontId="7" fillId="0" borderId="1" xfId="0" applyNumberFormat="1" applyFont="1" applyBorder="1" applyAlignment="1">
      <alignment/>
    </xf>
    <xf numFmtId="2" fontId="7" fillId="0" borderId="1" xfId="19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2" fontId="2" fillId="0" borderId="1" xfId="19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4" fontId="8" fillId="0" borderId="1" xfId="19" applyNumberFormat="1" applyFont="1" applyFill="1" applyBorder="1" applyAlignment="1">
      <alignment/>
    </xf>
    <xf numFmtId="174" fontId="1" fillId="0" borderId="1" xfId="19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vertical="center" wrapText="1"/>
    </xf>
    <xf numFmtId="174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wrapText="1" shrinkToFit="1"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1" fillId="0" borderId="4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9" fontId="1" fillId="0" borderId="1" xfId="19" applyNumberFormat="1" applyFont="1" applyBorder="1" applyAlignment="1">
      <alignment horizontal="right"/>
    </xf>
    <xf numFmtId="179" fontId="1" fillId="0" borderId="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right"/>
    </xf>
    <xf numFmtId="179" fontId="8" fillId="0" borderId="1" xfId="19" applyNumberFormat="1" applyFont="1" applyBorder="1" applyAlignment="1">
      <alignment horizontal="right"/>
    </xf>
    <xf numFmtId="179" fontId="8" fillId="0" borderId="1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179" fontId="8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0" fontId="16" fillId="0" borderId="4" xfId="0" applyFont="1" applyBorder="1" applyAlignment="1">
      <alignment wrapText="1"/>
    </xf>
    <xf numFmtId="0" fontId="16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74" fontId="0" fillId="0" borderId="0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74" fontId="6" fillId="0" borderId="1" xfId="19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5" xfId="0" applyFont="1" applyBorder="1" applyAlignment="1">
      <alignment wrapText="1"/>
    </xf>
    <xf numFmtId="3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 vertical="top"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 vertical="top" wrapText="1"/>
    </xf>
    <xf numFmtId="184" fontId="1" fillId="0" borderId="1" xfId="19" applyNumberFormat="1" applyFont="1" applyBorder="1" applyAlignment="1">
      <alignment horizontal="right"/>
    </xf>
    <xf numFmtId="9" fontId="6" fillId="0" borderId="1" xfId="19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Continuous" vertical="top" wrapText="1"/>
    </xf>
    <xf numFmtId="0" fontId="7" fillId="0" borderId="0" xfId="0" applyFont="1" applyAlignment="1">
      <alignment horizontal="centerContinuous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85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0" fillId="0" borderId="0" xfId="0" applyFont="1" applyAlignment="1">
      <alignment horizontal="centerContinuous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3" fontId="22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 wrapText="1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" fontId="1" fillId="0" borderId="0" xfId="0" applyNumberFormat="1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top" wrapText="1"/>
    </xf>
    <xf numFmtId="174" fontId="8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Continuous" vertical="top" wrapText="1"/>
    </xf>
    <xf numFmtId="0" fontId="4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 wrapText="1"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4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172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72" fontId="16" fillId="0" borderId="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Fill="1" applyBorder="1" applyAlignment="1">
      <alignment horizontal="left" wrapText="1"/>
    </xf>
    <xf numFmtId="172" fontId="16" fillId="0" borderId="1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9" fillId="0" borderId="1" xfId="0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174" fontId="1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19" fillId="0" borderId="6" xfId="0" applyFont="1" applyBorder="1" applyAlignment="1">
      <alignment/>
    </xf>
    <xf numFmtId="0" fontId="19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3" xfId="0" applyFont="1" applyBorder="1" applyAlignment="1">
      <alignment/>
    </xf>
    <xf numFmtId="0" fontId="0" fillId="0" borderId="0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9" fontId="3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/>
    </xf>
    <xf numFmtId="174" fontId="6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74" fontId="7" fillId="0" borderId="1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6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/>
    </xf>
    <xf numFmtId="172" fontId="1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0" fontId="2" fillId="0" borderId="2" xfId="0" applyFont="1" applyBorder="1" applyAlignment="1">
      <alignment horizontal="left"/>
    </xf>
    <xf numFmtId="174" fontId="2" fillId="0" borderId="4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74" fontId="9" fillId="0" borderId="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 wrapText="1"/>
      <protection locked="0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externalLink" Target="externalLinks/externalLink18.xml" /><Relationship Id="rId52" Type="http://schemas.openxmlformats.org/officeDocument/2006/relationships/externalLink" Target="externalLinks/externalLink19.xml" /><Relationship Id="rId53" Type="http://schemas.openxmlformats.org/officeDocument/2006/relationships/externalLink" Target="externalLinks/externalLink20.xml" /><Relationship Id="rId54" Type="http://schemas.openxmlformats.org/officeDocument/2006/relationships/externalLink" Target="externalLinks/externalLink21.xml" /><Relationship Id="rId55" Type="http://schemas.openxmlformats.org/officeDocument/2006/relationships/externalLink" Target="externalLinks/externalLink22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2-arv.fin.pal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.tabu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.tabu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4.tabu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5.tab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2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1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17ta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1.ta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Vineta\Pa&#353;vald&#299;bu%20m&#275;nesis\13-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9-NA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0.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8-SBU-vald.f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7-SBU-EK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kopbudze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-konsolidet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8">
          <cell r="D8">
            <v>3189206</v>
          </cell>
          <cell r="K8">
            <v>3189</v>
          </cell>
        </row>
        <row r="9">
          <cell r="D9">
            <v>2949530</v>
          </cell>
          <cell r="K9">
            <v>2950</v>
          </cell>
        </row>
        <row r="10">
          <cell r="D10">
            <v>1744216</v>
          </cell>
          <cell r="K10">
            <v>1744</v>
          </cell>
        </row>
        <row r="11">
          <cell r="D11">
            <v>1205314</v>
          </cell>
          <cell r="K11">
            <v>1206</v>
          </cell>
        </row>
        <row r="12">
          <cell r="D12">
            <v>239676</v>
          </cell>
          <cell r="K12">
            <v>239</v>
          </cell>
        </row>
        <row r="13">
          <cell r="D13">
            <v>99070</v>
          </cell>
          <cell r="K13">
            <v>99</v>
          </cell>
        </row>
        <row r="14">
          <cell r="D14">
            <v>140606</v>
          </cell>
          <cell r="K14">
            <v>140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4315</v>
          </cell>
          <cell r="K18">
            <v>4</v>
          </cell>
        </row>
        <row r="19">
          <cell r="D19">
            <v>0</v>
          </cell>
          <cell r="K19">
            <v>0</v>
          </cell>
        </row>
        <row r="20">
          <cell r="K20">
            <v>0</v>
          </cell>
        </row>
        <row r="21">
          <cell r="D21">
            <v>4315</v>
          </cell>
          <cell r="K21">
            <v>4</v>
          </cell>
        </row>
        <row r="22">
          <cell r="D22">
            <v>4315</v>
          </cell>
          <cell r="K22">
            <v>4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19713</v>
          </cell>
          <cell r="K26">
            <v>20</v>
          </cell>
        </row>
        <row r="27">
          <cell r="D27">
            <v>19713</v>
          </cell>
          <cell r="K27">
            <v>20</v>
          </cell>
        </row>
        <row r="28">
          <cell r="D28">
            <v>19713</v>
          </cell>
          <cell r="K28">
            <v>20</v>
          </cell>
        </row>
        <row r="29">
          <cell r="K29">
            <v>0</v>
          </cell>
        </row>
        <row r="30">
          <cell r="D30">
            <v>0</v>
          </cell>
          <cell r="K30">
            <v>0</v>
          </cell>
        </row>
        <row r="31">
          <cell r="K31">
            <v>0</v>
          </cell>
        </row>
        <row r="32">
          <cell r="D32">
            <v>538504</v>
          </cell>
          <cell r="K32">
            <v>538</v>
          </cell>
        </row>
        <row r="33">
          <cell r="D33">
            <v>478125</v>
          </cell>
          <cell r="K33">
            <v>478</v>
          </cell>
        </row>
        <row r="34">
          <cell r="D34">
            <v>120288</v>
          </cell>
          <cell r="K34">
            <v>120</v>
          </cell>
        </row>
        <row r="35">
          <cell r="D35">
            <v>357837</v>
          </cell>
          <cell r="K35">
            <v>358</v>
          </cell>
        </row>
        <row r="36">
          <cell r="D36">
            <v>60379</v>
          </cell>
          <cell r="K36">
            <v>60</v>
          </cell>
        </row>
        <row r="37">
          <cell r="K37">
            <v>0</v>
          </cell>
        </row>
        <row r="38">
          <cell r="D38">
            <v>60379</v>
          </cell>
          <cell r="K38">
            <v>60</v>
          </cell>
        </row>
        <row r="39">
          <cell r="D39">
            <v>16350</v>
          </cell>
          <cell r="K39">
            <v>16</v>
          </cell>
        </row>
        <row r="40">
          <cell r="D40">
            <v>16350</v>
          </cell>
          <cell r="K40">
            <v>16</v>
          </cell>
        </row>
        <row r="41">
          <cell r="D41">
            <v>16350</v>
          </cell>
          <cell r="K41">
            <v>16</v>
          </cell>
        </row>
        <row r="42">
          <cell r="K42">
            <v>0</v>
          </cell>
        </row>
        <row r="43">
          <cell r="D43">
            <v>0</v>
          </cell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D46">
            <v>1242047</v>
          </cell>
          <cell r="K46">
            <v>1242</v>
          </cell>
        </row>
        <row r="47">
          <cell r="D47">
            <v>1203004</v>
          </cell>
          <cell r="K47">
            <v>1203</v>
          </cell>
        </row>
        <row r="48">
          <cell r="D48">
            <v>1203004</v>
          </cell>
          <cell r="K48">
            <v>1203</v>
          </cell>
        </row>
        <row r="49">
          <cell r="K49">
            <v>0</v>
          </cell>
        </row>
        <row r="50">
          <cell r="D50">
            <v>39043</v>
          </cell>
          <cell r="K50">
            <v>39</v>
          </cell>
        </row>
        <row r="51">
          <cell r="D51">
            <v>39043</v>
          </cell>
          <cell r="K51">
            <v>39</v>
          </cell>
        </row>
        <row r="52">
          <cell r="D52">
            <v>101080</v>
          </cell>
          <cell r="K52">
            <v>101</v>
          </cell>
        </row>
        <row r="53">
          <cell r="D53">
            <v>44067</v>
          </cell>
          <cell r="K53">
            <v>44</v>
          </cell>
        </row>
        <row r="54">
          <cell r="D54">
            <v>44067</v>
          </cell>
          <cell r="K54">
            <v>44</v>
          </cell>
        </row>
        <row r="55">
          <cell r="K55">
            <v>0</v>
          </cell>
        </row>
        <row r="56">
          <cell r="D56">
            <v>57013</v>
          </cell>
          <cell r="K56">
            <v>57</v>
          </cell>
        </row>
        <row r="57">
          <cell r="K57">
            <v>0</v>
          </cell>
        </row>
        <row r="58">
          <cell r="D58">
            <v>57013</v>
          </cell>
          <cell r="K58">
            <v>57</v>
          </cell>
        </row>
        <row r="59">
          <cell r="D59">
            <v>101874</v>
          </cell>
          <cell r="K59">
            <v>102</v>
          </cell>
        </row>
        <row r="60">
          <cell r="D60">
            <v>90483</v>
          </cell>
          <cell r="K60">
            <v>91</v>
          </cell>
        </row>
        <row r="61">
          <cell r="D61">
            <v>62809</v>
          </cell>
          <cell r="K61">
            <v>63</v>
          </cell>
        </row>
        <row r="62">
          <cell r="D62">
            <v>27674</v>
          </cell>
          <cell r="K62">
            <v>28</v>
          </cell>
        </row>
        <row r="63">
          <cell r="D63">
            <v>11391</v>
          </cell>
          <cell r="K63">
            <v>11</v>
          </cell>
        </row>
        <row r="64">
          <cell r="D64">
            <v>11391</v>
          </cell>
          <cell r="K64">
            <v>11</v>
          </cell>
        </row>
        <row r="65">
          <cell r="D65">
            <v>34732</v>
          </cell>
          <cell r="K65">
            <v>35</v>
          </cell>
        </row>
        <row r="66">
          <cell r="D66">
            <v>0</v>
          </cell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D69">
            <v>34732</v>
          </cell>
          <cell r="K69">
            <v>35</v>
          </cell>
        </row>
        <row r="70">
          <cell r="D70">
            <v>32209</v>
          </cell>
          <cell r="K70">
            <v>32</v>
          </cell>
        </row>
        <row r="71">
          <cell r="D71">
            <v>2523</v>
          </cell>
          <cell r="K71">
            <v>3</v>
          </cell>
        </row>
        <row r="72">
          <cell r="D72">
            <v>254373</v>
          </cell>
          <cell r="K72">
            <v>254</v>
          </cell>
        </row>
        <row r="73">
          <cell r="D73">
            <v>240006</v>
          </cell>
          <cell r="K73">
            <v>240</v>
          </cell>
        </row>
        <row r="74">
          <cell r="D74">
            <v>30918</v>
          </cell>
          <cell r="K74">
            <v>31</v>
          </cell>
        </row>
        <row r="75">
          <cell r="D75">
            <v>209088</v>
          </cell>
          <cell r="K75">
            <v>209</v>
          </cell>
        </row>
        <row r="76">
          <cell r="D76">
            <v>14367</v>
          </cell>
          <cell r="K76">
            <v>14</v>
          </cell>
        </row>
        <row r="77">
          <cell r="D77">
            <v>5067</v>
          </cell>
          <cell r="K77">
            <v>5</v>
          </cell>
        </row>
        <row r="78">
          <cell r="D78">
            <v>9300</v>
          </cell>
          <cell r="K78">
            <v>9</v>
          </cell>
        </row>
        <row r="79">
          <cell r="D79">
            <v>610715</v>
          </cell>
          <cell r="K79">
            <v>611</v>
          </cell>
        </row>
        <row r="80">
          <cell r="D80">
            <v>610715</v>
          </cell>
          <cell r="K80">
            <v>611</v>
          </cell>
        </row>
        <row r="81">
          <cell r="K81">
            <v>0</v>
          </cell>
        </row>
        <row r="82">
          <cell r="D82">
            <v>610715</v>
          </cell>
          <cell r="K82">
            <v>611</v>
          </cell>
        </row>
        <row r="83">
          <cell r="D83">
            <v>0</v>
          </cell>
          <cell r="K83">
            <v>0</v>
          </cell>
        </row>
        <row r="84">
          <cell r="D84">
            <v>0</v>
          </cell>
        </row>
        <row r="85">
          <cell r="K85">
            <v>0</v>
          </cell>
        </row>
        <row r="86">
          <cell r="D86">
            <v>0</v>
          </cell>
          <cell r="K86">
            <v>0</v>
          </cell>
        </row>
        <row r="87">
          <cell r="D87">
            <v>0</v>
          </cell>
          <cell r="K87">
            <v>0</v>
          </cell>
        </row>
        <row r="88">
          <cell r="K88">
            <v>0</v>
          </cell>
        </row>
        <row r="89">
          <cell r="D89">
            <v>0</v>
          </cell>
          <cell r="K89">
            <v>0</v>
          </cell>
        </row>
        <row r="90">
          <cell r="K90">
            <v>0</v>
          </cell>
        </row>
        <row r="91">
          <cell r="D91">
            <v>0</v>
          </cell>
          <cell r="K91">
            <v>0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0</v>
          </cell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D98">
            <v>265503</v>
          </cell>
          <cell r="K98">
            <v>266</v>
          </cell>
        </row>
        <row r="99">
          <cell r="D99">
            <v>247067</v>
          </cell>
          <cell r="K99">
            <v>247</v>
          </cell>
        </row>
        <row r="100">
          <cell r="D100">
            <v>247067</v>
          </cell>
          <cell r="K100">
            <v>247</v>
          </cell>
        </row>
        <row r="101">
          <cell r="K101">
            <v>0</v>
          </cell>
        </row>
        <row r="102">
          <cell r="D102">
            <v>18436</v>
          </cell>
          <cell r="K102">
            <v>19</v>
          </cell>
        </row>
        <row r="103">
          <cell r="D103">
            <v>18436</v>
          </cell>
          <cell r="K103">
            <v>19</v>
          </cell>
        </row>
        <row r="104">
          <cell r="D104">
            <v>0</v>
          </cell>
          <cell r="K104">
            <v>0</v>
          </cell>
        </row>
        <row r="105">
          <cell r="D105">
            <v>0</v>
          </cell>
          <cell r="K105">
            <v>0</v>
          </cell>
        </row>
        <row r="106">
          <cell r="K106">
            <v>0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519839</v>
          </cell>
          <cell r="K109">
            <v>520</v>
          </cell>
        </row>
        <row r="110">
          <cell r="D110">
            <v>519839</v>
          </cell>
          <cell r="K110">
            <v>520</v>
          </cell>
        </row>
        <row r="111">
          <cell r="D111">
            <v>0</v>
          </cell>
          <cell r="K111">
            <v>0</v>
          </cell>
        </row>
        <row r="112">
          <cell r="D112">
            <v>519839</v>
          </cell>
          <cell r="K112">
            <v>520</v>
          </cell>
        </row>
        <row r="113">
          <cell r="D113">
            <v>0</v>
          </cell>
          <cell r="K113">
            <v>0</v>
          </cell>
        </row>
        <row r="114">
          <cell r="D114">
            <v>0</v>
          </cell>
          <cell r="K114">
            <v>0</v>
          </cell>
        </row>
        <row r="115">
          <cell r="D115">
            <v>0</v>
          </cell>
          <cell r="K115">
            <v>0</v>
          </cell>
        </row>
        <row r="116">
          <cell r="D116">
            <v>519839</v>
          </cell>
          <cell r="K116">
            <v>520</v>
          </cell>
        </row>
        <row r="117">
          <cell r="D117">
            <v>519839</v>
          </cell>
          <cell r="K117">
            <v>520</v>
          </cell>
        </row>
        <row r="118">
          <cell r="K118">
            <v>0</v>
          </cell>
        </row>
        <row r="119">
          <cell r="D119">
            <v>519839</v>
          </cell>
          <cell r="K119">
            <v>520</v>
          </cell>
        </row>
        <row r="120">
          <cell r="D120">
            <v>0</v>
          </cell>
          <cell r="K120">
            <v>0</v>
          </cell>
        </row>
        <row r="121">
          <cell r="K121">
            <v>0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7">
          <cell r="D127">
            <v>0</v>
          </cell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Sheet1"/>
    </sheetNames>
    <sheetDataSet>
      <sheetData sheetId="2">
        <row r="12">
          <cell r="D12">
            <v>13504254.5</v>
          </cell>
        </row>
        <row r="13">
          <cell r="D13">
            <v>72909870.83</v>
          </cell>
        </row>
        <row r="14">
          <cell r="D14">
            <v>52068093.9</v>
          </cell>
        </row>
        <row r="15">
          <cell r="D15">
            <v>18787430.21</v>
          </cell>
        </row>
        <row r="16">
          <cell r="D16">
            <v>2054346.72</v>
          </cell>
        </row>
        <row r="17">
          <cell r="D17">
            <v>3495362.96</v>
          </cell>
        </row>
        <row r="18">
          <cell r="D18">
            <v>73051.06</v>
          </cell>
        </row>
        <row r="19">
          <cell r="D19">
            <v>10857509.829999998</v>
          </cell>
        </row>
        <row r="20">
          <cell r="D20">
            <v>181940.46</v>
          </cell>
        </row>
        <row r="21">
          <cell r="D21">
            <v>3093627.21</v>
          </cell>
        </row>
        <row r="22">
          <cell r="D22">
            <v>2457422.03</v>
          </cell>
        </row>
        <row r="23">
          <cell r="D23">
            <v>79121.35</v>
          </cell>
        </row>
        <row r="24">
          <cell r="D24">
            <v>139250.57</v>
          </cell>
        </row>
        <row r="25">
          <cell r="D25">
            <v>1494637.6</v>
          </cell>
        </row>
        <row r="26">
          <cell r="D26">
            <v>446467.57</v>
          </cell>
        </row>
        <row r="27">
          <cell r="D27">
            <v>927137.16</v>
          </cell>
        </row>
        <row r="28">
          <cell r="D28">
            <v>54395</v>
          </cell>
        </row>
        <row r="29">
          <cell r="D29">
            <v>1196809.29</v>
          </cell>
        </row>
        <row r="30">
          <cell r="D30">
            <v>2214701.32</v>
          </cell>
        </row>
        <row r="31">
          <cell r="D31">
            <v>200000</v>
          </cell>
        </row>
        <row r="32">
          <cell r="D32">
            <v>1356000</v>
          </cell>
        </row>
        <row r="33">
          <cell r="D33">
            <v>15934</v>
          </cell>
        </row>
        <row r="36">
          <cell r="D36">
            <v>10472852</v>
          </cell>
        </row>
        <row r="37">
          <cell r="D37">
            <v>10472852</v>
          </cell>
        </row>
        <row r="38">
          <cell r="D38">
            <v>2846253.11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paligs"/>
      <sheetName val="Marts "/>
    </sheetNames>
    <sheetDataSet>
      <sheetData sheetId="1">
        <row r="23">
          <cell r="D23">
            <v>146268</v>
          </cell>
        </row>
        <row r="29">
          <cell r="D29">
            <v>988714</v>
          </cell>
        </row>
        <row r="36">
          <cell r="D36">
            <v>432316</v>
          </cell>
        </row>
        <row r="44">
          <cell r="D44">
            <v>7477537</v>
          </cell>
        </row>
        <row r="51">
          <cell r="D51">
            <v>1906533</v>
          </cell>
        </row>
        <row r="58">
          <cell r="D58">
            <v>711536</v>
          </cell>
        </row>
        <row r="67">
          <cell r="D67">
            <v>10925490</v>
          </cell>
        </row>
        <row r="78">
          <cell r="D78">
            <v>11561232</v>
          </cell>
        </row>
        <row r="86">
          <cell r="D86">
            <v>9541007</v>
          </cell>
        </row>
        <row r="95">
          <cell r="D95">
            <v>7820408</v>
          </cell>
        </row>
        <row r="103">
          <cell r="D103">
            <v>1203515</v>
          </cell>
        </row>
        <row r="111">
          <cell r="D111">
            <v>24729184</v>
          </cell>
        </row>
        <row r="120">
          <cell r="D120">
            <v>3980675</v>
          </cell>
        </row>
        <row r="128">
          <cell r="D128">
            <v>1067355</v>
          </cell>
        </row>
        <row r="136">
          <cell r="D136">
            <v>2707393</v>
          </cell>
        </row>
        <row r="144">
          <cell r="D144">
            <v>808763</v>
          </cell>
        </row>
        <row r="151">
          <cell r="D151">
            <v>168935</v>
          </cell>
        </row>
        <row r="159">
          <cell r="D159">
            <v>104633</v>
          </cell>
        </row>
        <row r="164">
          <cell r="D164">
            <v>44907</v>
          </cell>
        </row>
        <row r="171">
          <cell r="D171">
            <v>974284</v>
          </cell>
        </row>
        <row r="178">
          <cell r="D178">
            <v>90772</v>
          </cell>
        </row>
        <row r="184">
          <cell r="D184">
            <v>7564</v>
          </cell>
        </row>
        <row r="189">
          <cell r="D189">
            <v>181900</v>
          </cell>
        </row>
        <row r="194">
          <cell r="D194">
            <v>1028585</v>
          </cell>
        </row>
        <row r="201">
          <cell r="D201">
            <v>16031</v>
          </cell>
        </row>
        <row r="206">
          <cell r="D206">
            <v>79895</v>
          </cell>
        </row>
        <row r="215">
          <cell r="D215">
            <v>2.3</v>
          </cell>
        </row>
        <row r="230">
          <cell r="D230">
            <v>16914646.92</v>
          </cell>
        </row>
        <row r="236">
          <cell r="D236">
            <v>1300946.86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marts"/>
    </sheetNames>
    <sheetDataSet>
      <sheetData sheetId="1">
        <row r="12">
          <cell r="D12">
            <v>107639502</v>
          </cell>
        </row>
        <row r="13">
          <cell r="D13">
            <v>146255.1</v>
          </cell>
        </row>
        <row r="14">
          <cell r="D14">
            <v>10472852</v>
          </cell>
        </row>
        <row r="15">
          <cell r="D15">
            <v>2949530</v>
          </cell>
        </row>
        <row r="16">
          <cell r="D16">
            <v>112026988.09000002</v>
          </cell>
        </row>
        <row r="17">
          <cell r="D17">
            <v>107105185.30000001</v>
          </cell>
        </row>
        <row r="18">
          <cell r="D18">
            <v>53930871.230000004</v>
          </cell>
        </row>
        <row r="19">
          <cell r="D19">
            <v>24675966.08</v>
          </cell>
        </row>
        <row r="20">
          <cell r="D20">
            <v>6415217.8</v>
          </cell>
        </row>
        <row r="21">
          <cell r="D21">
            <v>22839687.35</v>
          </cell>
        </row>
        <row r="22">
          <cell r="D22">
            <v>3826427.75</v>
          </cell>
        </row>
        <row r="23">
          <cell r="D23">
            <v>1874246.78</v>
          </cell>
        </row>
        <row r="24">
          <cell r="D24">
            <v>1890976.79</v>
          </cell>
        </row>
        <row r="25">
          <cell r="D25">
            <v>61204.18</v>
          </cell>
        </row>
        <row r="26">
          <cell r="D26">
            <v>49347886.32</v>
          </cell>
        </row>
        <row r="27">
          <cell r="D27">
            <v>3524188.37</v>
          </cell>
        </row>
        <row r="28">
          <cell r="D28">
            <v>16422014</v>
          </cell>
        </row>
        <row r="29">
          <cell r="D29">
            <v>1287530</v>
          </cell>
        </row>
        <row r="30">
          <cell r="D30">
            <v>3641335.5</v>
          </cell>
        </row>
        <row r="32">
          <cell r="D32">
            <v>13141536.57</v>
          </cell>
        </row>
        <row r="33">
          <cell r="D33">
            <v>235777</v>
          </cell>
        </row>
        <row r="34">
          <cell r="D34">
            <v>9780259.97</v>
          </cell>
        </row>
        <row r="35">
          <cell r="D35">
            <v>1182828.82</v>
          </cell>
        </row>
        <row r="36">
          <cell r="D36">
            <v>1942671.36</v>
          </cell>
        </row>
        <row r="37">
          <cell r="D37">
            <v>1666130.88</v>
          </cell>
        </row>
        <row r="38">
          <cell r="D38">
            <v>9665151</v>
          </cell>
        </row>
        <row r="39">
          <cell r="D39">
            <v>9665151</v>
          </cell>
        </row>
        <row r="41">
          <cell r="D41">
            <v>4921802.79</v>
          </cell>
        </row>
        <row r="42">
          <cell r="D42">
            <v>1742103.2</v>
          </cell>
        </row>
        <row r="43">
          <cell r="D43">
            <v>3179699.59</v>
          </cell>
        </row>
        <row r="44">
          <cell r="D44">
            <v>172000</v>
          </cell>
        </row>
        <row r="45">
          <cell r="D45">
            <v>492633</v>
          </cell>
        </row>
        <row r="46">
          <cell r="D46">
            <v>13590470</v>
          </cell>
        </row>
        <row r="47">
          <cell r="D47">
            <v>18459238</v>
          </cell>
        </row>
        <row r="48">
          <cell r="D48">
            <v>15305354</v>
          </cell>
        </row>
        <row r="49">
          <cell r="D49">
            <v>4868768</v>
          </cell>
        </row>
        <row r="50">
          <cell r="D50">
            <v>708919</v>
          </cell>
        </row>
        <row r="51">
          <cell r="D51">
            <v>-11531355</v>
          </cell>
        </row>
        <row r="52">
          <cell r="D52">
            <v>11531355</v>
          </cell>
        </row>
        <row r="54">
          <cell r="D54">
            <v>260034.19</v>
          </cell>
        </row>
        <row r="55">
          <cell r="D55">
            <v>11271321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Sheet1"/>
    </sheetNames>
    <sheetDataSet>
      <sheetData sheetId="2">
        <row r="11">
          <cell r="D11">
            <v>13005106.21</v>
          </cell>
        </row>
        <row r="12">
          <cell r="D12">
            <v>6651767.82</v>
          </cell>
        </row>
        <row r="13">
          <cell r="D13">
            <v>16532265.61</v>
          </cell>
        </row>
        <row r="14">
          <cell r="D14">
            <v>13043110.04</v>
          </cell>
        </row>
        <row r="15">
          <cell r="D15">
            <v>10028050.6</v>
          </cell>
        </row>
        <row r="16">
          <cell r="D16">
            <v>13869184.8</v>
          </cell>
        </row>
        <row r="17">
          <cell r="D17">
            <v>1223740.47</v>
          </cell>
        </row>
        <row r="18">
          <cell r="D18">
            <v>3643005.87</v>
          </cell>
        </row>
        <row r="19">
          <cell r="D19">
            <v>28535.36</v>
          </cell>
        </row>
        <row r="20">
          <cell r="D20">
            <v>8563182.89</v>
          </cell>
        </row>
        <row r="21">
          <cell r="D21">
            <v>107760.79</v>
          </cell>
        </row>
        <row r="22">
          <cell r="D22">
            <v>1002269</v>
          </cell>
        </row>
        <row r="23">
          <cell r="D23">
            <v>2206515.6</v>
          </cell>
        </row>
        <row r="24">
          <cell r="D24">
            <v>35713372.879999995</v>
          </cell>
        </row>
        <row r="25">
          <cell r="D25">
            <v>13590470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</sheetNames>
    <sheetDataSet>
      <sheetData sheetId="1">
        <row r="9">
          <cell r="C9">
            <v>-213</v>
          </cell>
        </row>
        <row r="10">
          <cell r="C10">
            <v>-213</v>
          </cell>
        </row>
        <row r="11">
          <cell r="C11">
            <v>17</v>
          </cell>
        </row>
        <row r="13">
          <cell r="C13">
            <v>1</v>
          </cell>
        </row>
        <row r="14">
          <cell r="C14">
            <v>89</v>
          </cell>
        </row>
        <row r="15">
          <cell r="C15">
            <v>3</v>
          </cell>
        </row>
        <row r="16">
          <cell r="C16">
            <v>14</v>
          </cell>
        </row>
        <row r="17">
          <cell r="C17">
            <v>238</v>
          </cell>
        </row>
        <row r="18">
          <cell r="C18">
            <v>166</v>
          </cell>
        </row>
        <row r="19">
          <cell r="C19">
            <v>-3</v>
          </cell>
        </row>
        <row r="22">
          <cell r="C22">
            <v>-756</v>
          </cell>
        </row>
        <row r="23">
          <cell r="C23">
            <v>15</v>
          </cell>
        </row>
        <row r="27">
          <cell r="C27">
            <v>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</sheetNames>
    <sheetDataSet>
      <sheetData sheetId="1">
        <row r="9">
          <cell r="C9">
            <v>621</v>
          </cell>
        </row>
        <row r="10">
          <cell r="C10">
            <v>501</v>
          </cell>
        </row>
        <row r="11">
          <cell r="C11">
            <v>120</v>
          </cell>
        </row>
        <row r="13">
          <cell r="C13">
            <v>582</v>
          </cell>
        </row>
        <row r="14">
          <cell r="C14">
            <v>358</v>
          </cell>
        </row>
        <row r="15">
          <cell r="C15">
            <v>287</v>
          </cell>
        </row>
        <row r="16">
          <cell r="C16">
            <v>35</v>
          </cell>
        </row>
        <row r="17">
          <cell r="C17">
            <v>8</v>
          </cell>
        </row>
        <row r="18">
          <cell r="C18">
            <v>244</v>
          </cell>
        </row>
        <row r="19">
          <cell r="C19">
            <v>236</v>
          </cell>
        </row>
        <row r="20">
          <cell r="C20">
            <v>8</v>
          </cell>
        </row>
        <row r="25">
          <cell r="C25">
            <v>71</v>
          </cell>
        </row>
        <row r="29">
          <cell r="C29">
            <v>63</v>
          </cell>
        </row>
        <row r="30">
          <cell r="C30">
            <v>8</v>
          </cell>
        </row>
        <row r="31">
          <cell r="C31">
            <v>224</v>
          </cell>
        </row>
        <row r="32">
          <cell r="C32">
            <v>221</v>
          </cell>
        </row>
        <row r="33">
          <cell r="C33">
            <v>3</v>
          </cell>
        </row>
        <row r="34">
          <cell r="C34">
            <v>-795</v>
          </cell>
        </row>
        <row r="36">
          <cell r="C36">
            <v>795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10">
          <cell r="C10">
            <v>6712</v>
          </cell>
        </row>
        <row r="11">
          <cell r="C11">
            <v>4011</v>
          </cell>
        </row>
        <row r="12">
          <cell r="C12">
            <v>3147</v>
          </cell>
        </row>
        <row r="13">
          <cell r="C13">
            <v>1978</v>
          </cell>
        </row>
        <row r="14">
          <cell r="C14">
            <v>282</v>
          </cell>
        </row>
        <row r="15">
          <cell r="C15">
            <v>69</v>
          </cell>
        </row>
        <row r="16">
          <cell r="C16">
            <v>1627</v>
          </cell>
        </row>
        <row r="17">
          <cell r="C17">
            <v>1602</v>
          </cell>
        </row>
        <row r="18">
          <cell r="C18">
            <v>25</v>
          </cell>
        </row>
        <row r="19">
          <cell r="C19">
            <v>5</v>
          </cell>
        </row>
        <row r="20">
          <cell r="C20">
            <v>1164</v>
          </cell>
        </row>
        <row r="21">
          <cell r="C21">
            <v>38</v>
          </cell>
        </row>
        <row r="22">
          <cell r="C22">
            <v>99</v>
          </cell>
        </row>
        <row r="23">
          <cell r="C23">
            <v>74</v>
          </cell>
        </row>
        <row r="24">
          <cell r="C24">
            <v>542</v>
          </cell>
        </row>
        <row r="25">
          <cell r="C25">
            <v>371</v>
          </cell>
        </row>
        <row r="26">
          <cell r="C26">
            <v>40</v>
          </cell>
        </row>
        <row r="27">
          <cell r="C27">
            <v>864</v>
          </cell>
        </row>
        <row r="28">
          <cell r="C28">
            <v>781</v>
          </cell>
        </row>
        <row r="29">
          <cell r="C29">
            <v>83</v>
          </cell>
        </row>
        <row r="30">
          <cell r="C30">
            <v>-876</v>
          </cell>
        </row>
        <row r="31">
          <cell r="C31">
            <v>132</v>
          </cell>
        </row>
        <row r="32">
          <cell r="C32">
            <v>1008</v>
          </cell>
        </row>
        <row r="33">
          <cell r="C33">
            <v>3577</v>
          </cell>
        </row>
      </sheetData>
      <sheetData sheetId="2">
        <row r="12">
          <cell r="C12">
            <v>5406</v>
          </cell>
        </row>
        <row r="28">
          <cell r="C28">
            <v>1234</v>
          </cell>
        </row>
        <row r="29">
          <cell r="C29">
            <v>473</v>
          </cell>
        </row>
        <row r="31">
          <cell r="C31">
            <v>269</v>
          </cell>
        </row>
        <row r="32">
          <cell r="C32">
            <v>1128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9">
          <cell r="C9">
            <v>6712</v>
          </cell>
        </row>
        <row r="10">
          <cell r="C10">
            <v>1499</v>
          </cell>
        </row>
        <row r="11">
          <cell r="C11">
            <v>261</v>
          </cell>
        </row>
        <row r="12">
          <cell r="C12">
            <v>2018</v>
          </cell>
        </row>
        <row r="13">
          <cell r="C13">
            <v>554</v>
          </cell>
        </row>
        <row r="14">
          <cell r="C14">
            <v>2380</v>
          </cell>
        </row>
        <row r="16">
          <cell r="C16">
            <v>437</v>
          </cell>
        </row>
        <row r="17">
          <cell r="C17">
            <v>123</v>
          </cell>
        </row>
        <row r="18">
          <cell r="C18">
            <v>1203</v>
          </cell>
        </row>
        <row r="19">
          <cell r="C19">
            <v>360</v>
          </cell>
        </row>
        <row r="20">
          <cell r="C20">
            <v>1012</v>
          </cell>
        </row>
      </sheetData>
      <sheetData sheetId="2">
        <row r="9">
          <cell r="C9">
            <v>9351</v>
          </cell>
        </row>
        <row r="10">
          <cell r="C10">
            <v>2695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13">
          <cell r="C13">
            <v>31218822</v>
          </cell>
          <cell r="H13">
            <v>31219</v>
          </cell>
        </row>
        <row r="14">
          <cell r="H14">
            <v>1055</v>
          </cell>
        </row>
        <row r="15">
          <cell r="C15">
            <v>5218757</v>
          </cell>
          <cell r="H15">
            <v>5219</v>
          </cell>
        </row>
        <row r="16">
          <cell r="C16">
            <v>1825834</v>
          </cell>
          <cell r="H16">
            <v>1826</v>
          </cell>
        </row>
        <row r="17">
          <cell r="C17">
            <v>3392923</v>
          </cell>
          <cell r="H17">
            <v>3393</v>
          </cell>
        </row>
        <row r="18">
          <cell r="C18">
            <v>672808</v>
          </cell>
          <cell r="H18">
            <v>673</v>
          </cell>
        </row>
        <row r="19">
          <cell r="C19">
            <v>208608</v>
          </cell>
          <cell r="H19">
            <v>209</v>
          </cell>
        </row>
        <row r="21">
          <cell r="C21">
            <v>206272</v>
          </cell>
          <cell r="H21">
            <v>206</v>
          </cell>
        </row>
        <row r="23">
          <cell r="C23">
            <v>85153</v>
          </cell>
          <cell r="H23">
            <v>85</v>
          </cell>
        </row>
        <row r="24">
          <cell r="C24">
            <v>485187</v>
          </cell>
          <cell r="H24">
            <v>485</v>
          </cell>
        </row>
        <row r="25">
          <cell r="C25">
            <v>49859</v>
          </cell>
          <cell r="H25">
            <v>50</v>
          </cell>
        </row>
        <row r="26">
          <cell r="C26">
            <v>2161764</v>
          </cell>
          <cell r="H26">
            <v>2162</v>
          </cell>
        </row>
        <row r="27">
          <cell r="C27">
            <v>179835</v>
          </cell>
          <cell r="H27">
            <v>180</v>
          </cell>
        </row>
        <row r="28">
          <cell r="C28">
            <v>37558</v>
          </cell>
          <cell r="H28">
            <v>37</v>
          </cell>
        </row>
        <row r="29">
          <cell r="C29">
            <v>3989019</v>
          </cell>
          <cell r="H29">
            <v>3989</v>
          </cell>
        </row>
        <row r="32">
          <cell r="C32">
            <v>594228</v>
          </cell>
          <cell r="H32">
            <v>594</v>
          </cell>
        </row>
        <row r="33">
          <cell r="C33">
            <v>66647</v>
          </cell>
          <cell r="H33">
            <v>67</v>
          </cell>
        </row>
        <row r="34">
          <cell r="C34">
            <v>139681</v>
          </cell>
          <cell r="H34">
            <v>140</v>
          </cell>
        </row>
        <row r="36">
          <cell r="C36">
            <v>41668</v>
          </cell>
          <cell r="H36">
            <v>42</v>
          </cell>
        </row>
        <row r="37">
          <cell r="C37">
            <v>17302558</v>
          </cell>
          <cell r="H37">
            <v>17302</v>
          </cell>
        </row>
        <row r="40">
          <cell r="C40">
            <v>5726020</v>
          </cell>
          <cell r="H40">
            <v>5726</v>
          </cell>
        </row>
        <row r="41">
          <cell r="H41">
            <v>0</v>
          </cell>
        </row>
        <row r="42">
          <cell r="C42">
            <v>1002</v>
          </cell>
          <cell r="H42">
            <v>1</v>
          </cell>
        </row>
        <row r="43">
          <cell r="C43">
            <v>250460</v>
          </cell>
          <cell r="H43">
            <v>250</v>
          </cell>
        </row>
      </sheetData>
      <sheetData sheetId="2">
        <row r="9">
          <cell r="C9">
            <v>0</v>
          </cell>
        </row>
        <row r="11">
          <cell r="H11">
            <v>61270</v>
          </cell>
        </row>
        <row r="22">
          <cell r="H22">
            <v>4619</v>
          </cell>
        </row>
        <row r="29">
          <cell r="H29">
            <v>6566</v>
          </cell>
        </row>
        <row r="30">
          <cell r="H30">
            <v>36748</v>
          </cell>
        </row>
        <row r="31">
          <cell r="H31">
            <v>1594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9">
          <cell r="C9">
            <v>68635906</v>
          </cell>
          <cell r="H9">
            <v>68636</v>
          </cell>
        </row>
        <row r="13">
          <cell r="C13">
            <v>23554221</v>
          </cell>
          <cell r="H13">
            <v>23554</v>
          </cell>
        </row>
        <row r="14">
          <cell r="C14">
            <v>5991894</v>
          </cell>
          <cell r="H14">
            <v>5992</v>
          </cell>
        </row>
        <row r="15">
          <cell r="H15">
            <v>15945</v>
          </cell>
        </row>
        <row r="16">
          <cell r="C16">
            <v>15603111</v>
          </cell>
          <cell r="H16">
            <v>15603</v>
          </cell>
        </row>
        <row r="17">
          <cell r="C17">
            <v>341469</v>
          </cell>
          <cell r="H17">
            <v>342</v>
          </cell>
        </row>
        <row r="18">
          <cell r="C18">
            <v>771900</v>
          </cell>
          <cell r="H18">
            <v>772</v>
          </cell>
        </row>
        <row r="20">
          <cell r="C20">
            <v>38125</v>
          </cell>
          <cell r="H20">
            <v>38</v>
          </cell>
        </row>
        <row r="21">
          <cell r="C21">
            <v>829807</v>
          </cell>
          <cell r="H21">
            <v>830</v>
          </cell>
        </row>
        <row r="22">
          <cell r="C22">
            <v>4462452</v>
          </cell>
          <cell r="H22">
            <v>4462</v>
          </cell>
        </row>
        <row r="23">
          <cell r="C23">
            <v>2911111</v>
          </cell>
          <cell r="H23">
            <v>2911</v>
          </cell>
        </row>
        <row r="24">
          <cell r="C24">
            <v>3038707</v>
          </cell>
          <cell r="H24">
            <v>3039</v>
          </cell>
        </row>
        <row r="25">
          <cell r="C25">
            <v>855345</v>
          </cell>
          <cell r="H25">
            <v>855</v>
          </cell>
        </row>
        <row r="27">
          <cell r="C27">
            <v>1887416</v>
          </cell>
          <cell r="H27">
            <v>1887</v>
          </cell>
        </row>
        <row r="28">
          <cell r="C28">
            <v>4632026</v>
          </cell>
          <cell r="H28">
            <v>4632</v>
          </cell>
        </row>
        <row r="30">
          <cell r="C30">
            <v>27735</v>
          </cell>
          <cell r="H30">
            <v>28</v>
          </cell>
        </row>
        <row r="31">
          <cell r="C31">
            <v>80593</v>
          </cell>
          <cell r="H31">
            <v>81</v>
          </cell>
        </row>
        <row r="32">
          <cell r="C32">
            <v>2915835</v>
          </cell>
          <cell r="H32">
            <v>3772</v>
          </cell>
        </row>
      </sheetData>
      <sheetData sheetId="2">
        <row r="11">
          <cell r="H11">
            <v>93489</v>
          </cell>
        </row>
        <row r="27">
          <cell r="H27">
            <v>3276</v>
          </cell>
        </row>
        <row r="28">
          <cell r="H28">
            <v>7472</v>
          </cell>
        </row>
        <row r="30">
          <cell r="H30">
            <v>49</v>
          </cell>
        </row>
        <row r="31">
          <cell r="H31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darbam"/>
    </sheetNames>
    <sheetDataSet>
      <sheetData sheetId="1">
        <row r="10">
          <cell r="D10">
            <v>41440.4</v>
          </cell>
        </row>
        <row r="11">
          <cell r="D11">
            <v>1615.1</v>
          </cell>
        </row>
        <row r="12">
          <cell r="D12">
            <v>21468</v>
          </cell>
        </row>
        <row r="13">
          <cell r="D13">
            <v>283007.7</v>
          </cell>
        </row>
        <row r="14">
          <cell r="D14">
            <v>58491</v>
          </cell>
        </row>
        <row r="15">
          <cell r="D15">
            <v>6674.7</v>
          </cell>
        </row>
        <row r="16">
          <cell r="D16">
            <v>1052.9</v>
          </cell>
        </row>
        <row r="17">
          <cell r="D17">
            <v>93608.8</v>
          </cell>
        </row>
        <row r="19">
          <cell r="D19">
            <v>10959.3</v>
          </cell>
        </row>
        <row r="22">
          <cell r="D22">
            <v>72784.4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11">
          <cell r="C11">
            <v>6694987</v>
          </cell>
          <cell r="H11">
            <v>6695</v>
          </cell>
        </row>
        <row r="12">
          <cell r="C12">
            <v>19592</v>
          </cell>
          <cell r="H12">
            <v>20</v>
          </cell>
        </row>
        <row r="13">
          <cell r="C13">
            <v>969071</v>
          </cell>
          <cell r="H13">
            <v>969</v>
          </cell>
        </row>
        <row r="14">
          <cell r="C14">
            <v>30435070</v>
          </cell>
          <cell r="H14">
            <v>30435</v>
          </cell>
        </row>
        <row r="15">
          <cell r="C15">
            <v>1044870</v>
          </cell>
          <cell r="H15">
            <v>1045</v>
          </cell>
        </row>
        <row r="16">
          <cell r="C16">
            <v>5962556</v>
          </cell>
          <cell r="H16">
            <v>5963</v>
          </cell>
        </row>
        <row r="17">
          <cell r="C17">
            <v>8107376</v>
          </cell>
          <cell r="H17">
            <v>8107</v>
          </cell>
        </row>
        <row r="18">
          <cell r="C18">
            <v>3566861</v>
          </cell>
          <cell r="H18">
            <v>3567</v>
          </cell>
        </row>
        <row r="19">
          <cell r="C19">
            <v>132453</v>
          </cell>
          <cell r="H19">
            <v>133</v>
          </cell>
        </row>
        <row r="20">
          <cell r="C20">
            <v>149306</v>
          </cell>
          <cell r="H20">
            <v>149</v>
          </cell>
        </row>
        <row r="21">
          <cell r="C21">
            <v>45461</v>
          </cell>
          <cell r="H21">
            <v>45</v>
          </cell>
        </row>
        <row r="22">
          <cell r="C22">
            <v>1297797</v>
          </cell>
          <cell r="H22">
            <v>1298</v>
          </cell>
        </row>
        <row r="23">
          <cell r="C23">
            <v>152248</v>
          </cell>
          <cell r="H23">
            <v>152</v>
          </cell>
        </row>
        <row r="24">
          <cell r="C24">
            <v>713989</v>
          </cell>
          <cell r="H24">
            <v>714</v>
          </cell>
        </row>
        <row r="25">
          <cell r="C25">
            <v>46809</v>
          </cell>
          <cell r="H25">
            <v>47</v>
          </cell>
        </row>
        <row r="26">
          <cell r="C26">
            <v>3012</v>
          </cell>
          <cell r="H26">
            <v>3</v>
          </cell>
        </row>
        <row r="27">
          <cell r="C27">
            <v>205471</v>
          </cell>
          <cell r="H27">
            <v>205</v>
          </cell>
        </row>
        <row r="31">
          <cell r="C31">
            <v>667852</v>
          </cell>
          <cell r="H31">
            <v>668</v>
          </cell>
        </row>
        <row r="32">
          <cell r="C32">
            <v>91623</v>
          </cell>
          <cell r="H32">
            <v>91</v>
          </cell>
        </row>
        <row r="33">
          <cell r="C33">
            <v>95870</v>
          </cell>
          <cell r="H33">
            <v>96</v>
          </cell>
        </row>
        <row r="35">
          <cell r="C35">
            <v>4462452</v>
          </cell>
          <cell r="H35">
            <v>4462</v>
          </cell>
        </row>
        <row r="36">
          <cell r="H36">
            <v>0</v>
          </cell>
        </row>
      </sheetData>
      <sheetData sheetId="2">
        <row r="29">
          <cell r="H29">
            <v>8394</v>
          </cell>
        </row>
        <row r="34">
          <cell r="H34">
            <v>6694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11">
          <cell r="C11">
            <v>37526</v>
          </cell>
        </row>
        <row r="12">
          <cell r="C12">
            <v>2999</v>
          </cell>
        </row>
        <row r="13">
          <cell r="C13">
            <v>3989</v>
          </cell>
        </row>
        <row r="14">
          <cell r="C14">
            <v>24122</v>
          </cell>
        </row>
        <row r="15">
          <cell r="C15">
            <v>801</v>
          </cell>
        </row>
        <row r="16">
          <cell r="C16">
            <v>4462</v>
          </cell>
        </row>
        <row r="18">
          <cell r="C18">
            <v>6712</v>
          </cell>
        </row>
        <row r="19">
          <cell r="C19">
            <v>6710</v>
          </cell>
        </row>
        <row r="20">
          <cell r="C20">
            <v>1499</v>
          </cell>
        </row>
        <row r="31">
          <cell r="C31">
            <v>1499</v>
          </cell>
        </row>
        <row r="32">
          <cell r="C32">
            <v>-162</v>
          </cell>
        </row>
        <row r="33">
          <cell r="C33">
            <v>-5974</v>
          </cell>
        </row>
        <row r="35">
          <cell r="C35">
            <v>5317</v>
          </cell>
        </row>
        <row r="37">
          <cell r="C37">
            <v>58398</v>
          </cell>
        </row>
        <row r="38">
          <cell r="C38">
            <v>5317</v>
          </cell>
        </row>
        <row r="40">
          <cell r="C40">
            <v>1887</v>
          </cell>
        </row>
        <row r="41">
          <cell r="C41">
            <v>4632</v>
          </cell>
        </row>
        <row r="44">
          <cell r="C44">
            <v>28</v>
          </cell>
        </row>
        <row r="45">
          <cell r="C45">
            <v>81</v>
          </cell>
        </row>
        <row r="48">
          <cell r="C48">
            <v>3147</v>
          </cell>
        </row>
        <row r="49">
          <cell r="C49">
            <v>781</v>
          </cell>
        </row>
        <row r="50">
          <cell r="C50">
            <v>83</v>
          </cell>
        </row>
        <row r="53">
          <cell r="C53">
            <v>132</v>
          </cell>
        </row>
        <row r="54">
          <cell r="C54">
            <v>1008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9">
          <cell r="C9">
            <v>7679437</v>
          </cell>
          <cell r="H9">
            <v>7680</v>
          </cell>
        </row>
        <row r="10">
          <cell r="C10">
            <v>6637716</v>
          </cell>
          <cell r="H10">
            <v>6638</v>
          </cell>
        </row>
        <row r="11">
          <cell r="C11">
            <v>25703</v>
          </cell>
          <cell r="H11">
            <v>26</v>
          </cell>
        </row>
        <row r="12">
          <cell r="C12">
            <v>6881</v>
          </cell>
          <cell r="H12">
            <v>7</v>
          </cell>
        </row>
        <row r="13">
          <cell r="C13">
            <v>18822</v>
          </cell>
          <cell r="H13">
            <v>19</v>
          </cell>
        </row>
        <row r="14">
          <cell r="C14">
            <v>361070</v>
          </cell>
          <cell r="H14">
            <v>361</v>
          </cell>
        </row>
        <row r="15">
          <cell r="C15">
            <v>6356</v>
          </cell>
          <cell r="H15">
            <v>6</v>
          </cell>
        </row>
        <row r="16">
          <cell r="C16">
            <v>0</v>
          </cell>
          <cell r="H16">
            <v>0</v>
          </cell>
        </row>
        <row r="17">
          <cell r="C17">
            <v>342714</v>
          </cell>
          <cell r="H17">
            <v>343</v>
          </cell>
        </row>
        <row r="18">
          <cell r="C18">
            <v>12000</v>
          </cell>
          <cell r="H18">
            <v>12</v>
          </cell>
        </row>
        <row r="19">
          <cell r="C19">
            <v>40997</v>
          </cell>
          <cell r="H19">
            <v>41</v>
          </cell>
        </row>
        <row r="20">
          <cell r="C20">
            <v>40997</v>
          </cell>
          <cell r="H20">
            <v>41</v>
          </cell>
        </row>
        <row r="21">
          <cell r="C21">
            <v>11391</v>
          </cell>
          <cell r="H21">
            <v>11</v>
          </cell>
        </row>
        <row r="22">
          <cell r="C22">
            <v>11391</v>
          </cell>
          <cell r="H22">
            <v>11</v>
          </cell>
        </row>
        <row r="23">
          <cell r="C23">
            <v>420660</v>
          </cell>
          <cell r="H23">
            <v>421</v>
          </cell>
        </row>
        <row r="24">
          <cell r="C24">
            <v>205762</v>
          </cell>
          <cell r="H24">
            <v>206</v>
          </cell>
        </row>
        <row r="25">
          <cell r="C25">
            <v>42034</v>
          </cell>
          <cell r="H25">
            <v>42</v>
          </cell>
        </row>
        <row r="26">
          <cell r="C26">
            <v>38208</v>
          </cell>
          <cell r="H26">
            <v>38</v>
          </cell>
        </row>
        <row r="27">
          <cell r="C27">
            <v>23980</v>
          </cell>
          <cell r="H27">
            <v>24</v>
          </cell>
        </row>
        <row r="28">
          <cell r="C28">
            <v>20911</v>
          </cell>
          <cell r="H28">
            <v>21</v>
          </cell>
        </row>
        <row r="29">
          <cell r="C29">
            <v>89765</v>
          </cell>
          <cell r="H29">
            <v>90</v>
          </cell>
        </row>
        <row r="30">
          <cell r="C30">
            <v>181900</v>
          </cell>
          <cell r="H30">
            <v>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darbam"/>
      <sheetName val="Sheet3"/>
      <sheetName val="Sheet2"/>
      <sheetName val="darbamjanv"/>
      <sheetName val="Ieva"/>
    </sheetNames>
    <sheetDataSet>
      <sheetData sheetId="1">
        <row r="10">
          <cell r="C10">
            <v>521066.34</v>
          </cell>
        </row>
        <row r="11">
          <cell r="C11">
            <v>72219</v>
          </cell>
        </row>
        <row r="13">
          <cell r="C13">
            <v>1114566</v>
          </cell>
        </row>
        <row r="14">
          <cell r="C14">
            <v>1020605</v>
          </cell>
        </row>
        <row r="15">
          <cell r="C15">
            <v>896937</v>
          </cell>
        </row>
        <row r="16">
          <cell r="C16">
            <v>128488</v>
          </cell>
        </row>
        <row r="17">
          <cell r="C17">
            <v>18016</v>
          </cell>
        </row>
        <row r="18">
          <cell r="C18">
            <v>750433</v>
          </cell>
        </row>
        <row r="19">
          <cell r="C19">
            <v>655382</v>
          </cell>
        </row>
        <row r="20">
          <cell r="C20">
            <v>95051</v>
          </cell>
        </row>
        <row r="25">
          <cell r="C25">
            <v>123668</v>
          </cell>
        </row>
        <row r="26">
          <cell r="C26">
            <v>4100</v>
          </cell>
        </row>
        <row r="27">
          <cell r="C27">
            <v>300</v>
          </cell>
        </row>
        <row r="29">
          <cell r="C29">
            <v>41002</v>
          </cell>
        </row>
        <row r="30">
          <cell r="C30">
            <v>78266</v>
          </cell>
        </row>
        <row r="31">
          <cell r="C31">
            <v>93961</v>
          </cell>
        </row>
        <row r="32">
          <cell r="C32">
            <v>93961</v>
          </cell>
        </row>
        <row r="34">
          <cell r="C34">
            <v>-521280.6599999999</v>
          </cell>
        </row>
        <row r="35">
          <cell r="C35">
            <v>521280.6599999999</v>
          </cell>
        </row>
      </sheetData>
      <sheetData sheetId="4">
        <row r="17">
          <cell r="B17">
            <v>128488</v>
          </cell>
        </row>
        <row r="18">
          <cell r="B18">
            <v>18016</v>
          </cell>
        </row>
        <row r="20">
          <cell r="B20">
            <v>583163</v>
          </cell>
        </row>
        <row r="21">
          <cell r="B21">
            <v>95051</v>
          </cell>
        </row>
        <row r="28">
          <cell r="B28">
            <v>4100</v>
          </cell>
        </row>
        <row r="29">
          <cell r="B29">
            <v>300</v>
          </cell>
        </row>
        <row r="31">
          <cell r="B31">
            <v>41002</v>
          </cell>
        </row>
        <row r="32">
          <cell r="B32">
            <v>78266</v>
          </cell>
        </row>
        <row r="35">
          <cell r="B35">
            <v>93961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9">
          <cell r="D9">
            <v>118953200</v>
          </cell>
        </row>
        <row r="10">
          <cell r="D10">
            <v>16346</v>
          </cell>
          <cell r="J10">
            <v>16</v>
          </cell>
        </row>
        <row r="11">
          <cell r="J11">
            <v>0</v>
          </cell>
        </row>
        <row r="12">
          <cell r="J12">
            <v>0</v>
          </cell>
        </row>
        <row r="13">
          <cell r="D13">
            <v>1379039</v>
          </cell>
          <cell r="J13">
            <v>1379</v>
          </cell>
        </row>
        <row r="14">
          <cell r="D14">
            <v>1124535</v>
          </cell>
          <cell r="J14">
            <v>1125</v>
          </cell>
        </row>
        <row r="15">
          <cell r="D15">
            <v>19857594</v>
          </cell>
          <cell r="J15">
            <v>19858</v>
          </cell>
        </row>
        <row r="16">
          <cell r="D16">
            <v>84469158</v>
          </cell>
          <cell r="J16">
            <v>84469</v>
          </cell>
        </row>
        <row r="17">
          <cell r="D17">
            <v>380070</v>
          </cell>
          <cell r="J17">
            <v>380</v>
          </cell>
        </row>
        <row r="18">
          <cell r="D18">
            <v>751473</v>
          </cell>
          <cell r="J18">
            <v>751</v>
          </cell>
        </row>
        <row r="19">
          <cell r="J19">
            <v>0</v>
          </cell>
        </row>
        <row r="20">
          <cell r="D20">
            <v>33649</v>
          </cell>
          <cell r="J20">
            <v>35</v>
          </cell>
        </row>
        <row r="21">
          <cell r="J21">
            <v>0</v>
          </cell>
        </row>
        <row r="22">
          <cell r="D22">
            <v>11609304</v>
          </cell>
          <cell r="J22">
            <v>11609</v>
          </cell>
        </row>
        <row r="23">
          <cell r="D23">
            <v>456567</v>
          </cell>
          <cell r="J23">
            <v>457</v>
          </cell>
        </row>
        <row r="24">
          <cell r="L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2">
        <row r="6">
          <cell r="F6">
            <v>154701</v>
          </cell>
          <cell r="G6">
            <v>488411</v>
          </cell>
          <cell r="K6">
            <v>523431</v>
          </cell>
          <cell r="N6">
            <v>653500</v>
          </cell>
          <cell r="P6">
            <v>15766</v>
          </cell>
          <cell r="X6">
            <v>388027</v>
          </cell>
        </row>
        <row r="7">
          <cell r="C7">
            <v>121951690</v>
          </cell>
          <cell r="D7">
            <v>32063344</v>
          </cell>
          <cell r="E7">
            <v>512908</v>
          </cell>
          <cell r="F7">
            <v>26040</v>
          </cell>
          <cell r="G7">
            <v>33652</v>
          </cell>
          <cell r="I7">
            <v>15386448</v>
          </cell>
          <cell r="K7">
            <v>494137</v>
          </cell>
          <cell r="L7">
            <v>65030</v>
          </cell>
          <cell r="N7">
            <v>648607</v>
          </cell>
          <cell r="O7">
            <v>275950</v>
          </cell>
          <cell r="P7">
            <v>27893</v>
          </cell>
          <cell r="Q7">
            <v>457240</v>
          </cell>
          <cell r="W7">
            <v>216809</v>
          </cell>
          <cell r="X7">
            <v>9905</v>
          </cell>
        </row>
        <row r="8">
          <cell r="C8">
            <v>121814928</v>
          </cell>
          <cell r="D8">
            <v>31372563</v>
          </cell>
          <cell r="E8">
            <v>498950</v>
          </cell>
          <cell r="F8">
            <v>25570</v>
          </cell>
          <cell r="I8">
            <v>11616097</v>
          </cell>
          <cell r="K8">
            <v>489374</v>
          </cell>
          <cell r="L8">
            <v>59301</v>
          </cell>
          <cell r="N8">
            <v>540642</v>
          </cell>
          <cell r="O8">
            <v>275950</v>
          </cell>
          <cell r="P8">
            <v>27723</v>
          </cell>
          <cell r="Q8">
            <v>457240</v>
          </cell>
          <cell r="W8">
            <v>216809</v>
          </cell>
        </row>
        <row r="9">
          <cell r="Z9">
            <v>7919978</v>
          </cell>
        </row>
        <row r="10">
          <cell r="Z10">
            <v>303507</v>
          </cell>
        </row>
        <row r="11">
          <cell r="Z11">
            <v>75112</v>
          </cell>
        </row>
        <row r="12">
          <cell r="Z12">
            <v>6722567</v>
          </cell>
        </row>
        <row r="15">
          <cell r="I15">
            <v>592296</v>
          </cell>
          <cell r="N15">
            <v>200000</v>
          </cell>
          <cell r="Z15">
            <v>818792</v>
          </cell>
        </row>
        <row r="16">
          <cell r="Z16">
            <v>1904217</v>
          </cell>
        </row>
        <row r="17">
          <cell r="Z17">
            <v>1180834</v>
          </cell>
        </row>
        <row r="18">
          <cell r="Z18">
            <v>723383</v>
          </cell>
        </row>
        <row r="20">
          <cell r="Z20">
            <v>1126629</v>
          </cell>
        </row>
        <row r="21">
          <cell r="Z21">
            <v>3821785</v>
          </cell>
        </row>
        <row r="23">
          <cell r="Z23">
            <v>34503195</v>
          </cell>
        </row>
        <row r="29">
          <cell r="Z29">
            <v>5011</v>
          </cell>
        </row>
        <row r="30">
          <cell r="C30">
            <v>136762</v>
          </cell>
          <cell r="D30">
            <v>690781</v>
          </cell>
          <cell r="E30">
            <v>13958</v>
          </cell>
          <cell r="F30">
            <v>470</v>
          </cell>
          <cell r="G30">
            <v>33652</v>
          </cell>
          <cell r="I30">
            <v>3770351</v>
          </cell>
          <cell r="L30">
            <v>5729</v>
          </cell>
          <cell r="N30">
            <v>107965</v>
          </cell>
          <cell r="P30">
            <v>170</v>
          </cell>
        </row>
        <row r="31">
          <cell r="K31">
            <v>4763</v>
          </cell>
          <cell r="Z31">
            <v>3825475</v>
          </cell>
        </row>
        <row r="32">
          <cell r="Z32">
            <v>939126</v>
          </cell>
        </row>
        <row r="33">
          <cell r="O33">
            <v>1973327</v>
          </cell>
        </row>
        <row r="34">
          <cell r="Z34">
            <v>2039041</v>
          </cell>
        </row>
        <row r="35">
          <cell r="Z35">
            <v>-65714</v>
          </cell>
        </row>
        <row r="39">
          <cell r="C39">
            <v>8704170</v>
          </cell>
          <cell r="Z39">
            <v>8704170</v>
          </cell>
        </row>
        <row r="43">
          <cell r="C43">
            <v>55098</v>
          </cell>
          <cell r="D43">
            <v>535471</v>
          </cell>
          <cell r="I43">
            <v>3301067</v>
          </cell>
          <cell r="P43">
            <v>14188</v>
          </cell>
          <cell r="Z43">
            <v>5948979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20">
          <cell r="D20">
            <v>351571</v>
          </cell>
        </row>
        <row r="21">
          <cell r="D21">
            <v>351571</v>
          </cell>
          <cell r="J21">
            <v>352</v>
          </cell>
        </row>
        <row r="22">
          <cell r="D22">
            <v>345705</v>
          </cell>
          <cell r="J22">
            <v>346</v>
          </cell>
        </row>
        <row r="23">
          <cell r="D23">
            <v>341682</v>
          </cell>
          <cell r="J23">
            <v>342</v>
          </cell>
        </row>
        <row r="24">
          <cell r="D24">
            <v>4023</v>
          </cell>
          <cell r="J24">
            <v>4</v>
          </cell>
        </row>
        <row r="27">
          <cell r="D27">
            <v>470060</v>
          </cell>
          <cell r="J27">
            <v>470</v>
          </cell>
        </row>
        <row r="28">
          <cell r="D28">
            <v>402749</v>
          </cell>
          <cell r="J28">
            <v>403</v>
          </cell>
        </row>
        <row r="29">
          <cell r="D29">
            <v>287129</v>
          </cell>
          <cell r="J29">
            <v>287</v>
          </cell>
        </row>
        <row r="30">
          <cell r="D30">
            <v>50589</v>
          </cell>
        </row>
        <row r="31">
          <cell r="D31">
            <v>30786</v>
          </cell>
        </row>
        <row r="32">
          <cell r="D32">
            <v>34245</v>
          </cell>
          <cell r="J32">
            <v>34</v>
          </cell>
        </row>
        <row r="34">
          <cell r="D34">
            <v>35518</v>
          </cell>
          <cell r="J34">
            <v>35</v>
          </cell>
        </row>
        <row r="35">
          <cell r="D35">
            <v>31793</v>
          </cell>
          <cell r="J35">
            <v>32</v>
          </cell>
        </row>
        <row r="36">
          <cell r="D36">
            <v>105369</v>
          </cell>
          <cell r="J36">
            <v>105</v>
          </cell>
        </row>
        <row r="37">
          <cell r="D37">
            <v>105369</v>
          </cell>
          <cell r="J37">
            <v>105</v>
          </cell>
        </row>
        <row r="39">
          <cell r="D39">
            <v>369527</v>
          </cell>
          <cell r="J39">
            <v>369</v>
          </cell>
        </row>
        <row r="40">
          <cell r="D40">
            <v>369527</v>
          </cell>
          <cell r="J40">
            <v>369</v>
          </cell>
        </row>
        <row r="41">
          <cell r="D41">
            <v>5493</v>
          </cell>
          <cell r="J41">
            <v>5</v>
          </cell>
        </row>
        <row r="42">
          <cell r="D42">
            <v>5493</v>
          </cell>
          <cell r="J42">
            <v>5</v>
          </cell>
        </row>
        <row r="44">
          <cell r="D44">
            <v>47652</v>
          </cell>
          <cell r="J44">
            <v>48</v>
          </cell>
        </row>
        <row r="45">
          <cell r="D45">
            <v>47652</v>
          </cell>
          <cell r="J45">
            <v>48</v>
          </cell>
        </row>
        <row r="46">
          <cell r="D46">
            <v>4975</v>
          </cell>
          <cell r="J46">
            <v>5</v>
          </cell>
        </row>
        <row r="47">
          <cell r="D47">
            <v>42677</v>
          </cell>
          <cell r="J47">
            <v>43</v>
          </cell>
        </row>
        <row r="50">
          <cell r="D50">
            <v>428000</v>
          </cell>
          <cell r="J50">
            <v>428</v>
          </cell>
        </row>
        <row r="51">
          <cell r="D51">
            <v>428000</v>
          </cell>
          <cell r="J51">
            <v>428</v>
          </cell>
        </row>
        <row r="52">
          <cell r="D52">
            <v>419558</v>
          </cell>
          <cell r="J52">
            <v>420</v>
          </cell>
        </row>
        <row r="53">
          <cell r="D53">
            <v>369558</v>
          </cell>
          <cell r="J53">
            <v>370</v>
          </cell>
        </row>
        <row r="54">
          <cell r="D54">
            <v>200000</v>
          </cell>
        </row>
        <row r="55">
          <cell r="D55">
            <v>50000</v>
          </cell>
          <cell r="J55">
            <v>50</v>
          </cell>
        </row>
        <row r="57">
          <cell r="D57">
            <v>295721</v>
          </cell>
        </row>
        <row r="58">
          <cell r="D58">
            <v>295501</v>
          </cell>
          <cell r="J58">
            <v>296</v>
          </cell>
        </row>
        <row r="60">
          <cell r="D60">
            <v>254504</v>
          </cell>
          <cell r="J60">
            <v>255</v>
          </cell>
        </row>
        <row r="61">
          <cell r="D61">
            <v>254504</v>
          </cell>
          <cell r="J61">
            <v>255</v>
          </cell>
        </row>
        <row r="62">
          <cell r="D62">
            <v>6600</v>
          </cell>
          <cell r="J62">
            <v>7</v>
          </cell>
        </row>
        <row r="64">
          <cell r="D64">
            <v>1124535</v>
          </cell>
          <cell r="J64">
            <v>1125</v>
          </cell>
        </row>
        <row r="65">
          <cell r="D65">
            <v>-1083318</v>
          </cell>
          <cell r="J65">
            <v>-1084</v>
          </cell>
        </row>
        <row r="66">
          <cell r="D66">
            <v>1135068</v>
          </cell>
          <cell r="J66">
            <v>1135</v>
          </cell>
        </row>
        <row r="69">
          <cell r="D69">
            <v>168326</v>
          </cell>
          <cell r="J69">
            <v>168</v>
          </cell>
        </row>
        <row r="70">
          <cell r="D70">
            <v>59199</v>
          </cell>
          <cell r="J70">
            <v>59</v>
          </cell>
        </row>
        <row r="71">
          <cell r="D71">
            <v>109127</v>
          </cell>
          <cell r="J71">
            <v>109</v>
          </cell>
        </row>
        <row r="72">
          <cell r="D72">
            <v>33649</v>
          </cell>
          <cell r="J72">
            <v>34</v>
          </cell>
        </row>
        <row r="73">
          <cell r="D73">
            <v>33649</v>
          </cell>
          <cell r="J73">
            <v>34</v>
          </cell>
        </row>
        <row r="77">
          <cell r="D77">
            <v>8247341</v>
          </cell>
          <cell r="J77">
            <v>8247</v>
          </cell>
        </row>
        <row r="78">
          <cell r="D78">
            <v>1488630</v>
          </cell>
          <cell r="J78">
            <v>1489</v>
          </cell>
        </row>
        <row r="79">
          <cell r="D79">
            <v>6237869</v>
          </cell>
          <cell r="J79">
            <v>6238</v>
          </cell>
        </row>
        <row r="80">
          <cell r="D80">
            <v>1002</v>
          </cell>
        </row>
        <row r="81">
          <cell r="D81">
            <v>519840</v>
          </cell>
          <cell r="J81">
            <v>520</v>
          </cell>
        </row>
        <row r="82">
          <cell r="D82">
            <v>11595629</v>
          </cell>
          <cell r="J82">
            <v>11596</v>
          </cell>
        </row>
        <row r="83">
          <cell r="D83">
            <v>8045983</v>
          </cell>
          <cell r="J83">
            <v>8046</v>
          </cell>
        </row>
        <row r="84">
          <cell r="D84">
            <v>502319</v>
          </cell>
          <cell r="J84">
            <v>502</v>
          </cell>
        </row>
        <row r="85">
          <cell r="D85">
            <v>3549646</v>
          </cell>
          <cell r="J85">
            <v>3550</v>
          </cell>
        </row>
        <row r="86">
          <cell r="D86">
            <v>-3348288</v>
          </cell>
          <cell r="J86">
            <v>-3349</v>
          </cell>
        </row>
        <row r="87">
          <cell r="D87">
            <v>2801067</v>
          </cell>
          <cell r="J87">
            <v>2801</v>
          </cell>
        </row>
        <row r="89">
          <cell r="D89">
            <v>105621</v>
          </cell>
          <cell r="J89">
            <v>106</v>
          </cell>
        </row>
        <row r="90">
          <cell r="D90">
            <v>105621</v>
          </cell>
          <cell r="J90">
            <v>106</v>
          </cell>
        </row>
        <row r="91">
          <cell r="D91">
            <v>6196</v>
          </cell>
          <cell r="J91">
            <v>6</v>
          </cell>
        </row>
        <row r="92">
          <cell r="D92">
            <v>6196</v>
          </cell>
          <cell r="J92">
            <v>6</v>
          </cell>
        </row>
        <row r="95">
          <cell r="D95">
            <v>323011</v>
          </cell>
          <cell r="J95">
            <v>323</v>
          </cell>
        </row>
        <row r="96">
          <cell r="D96">
            <v>323011</v>
          </cell>
          <cell r="J96">
            <v>323</v>
          </cell>
        </row>
        <row r="97">
          <cell r="D97">
            <v>7479</v>
          </cell>
          <cell r="J97">
            <v>7</v>
          </cell>
        </row>
        <row r="99">
          <cell r="D99">
            <v>7479</v>
          </cell>
          <cell r="J99">
            <v>7</v>
          </cell>
        </row>
        <row r="102">
          <cell r="D102">
            <v>20116746</v>
          </cell>
          <cell r="J102">
            <v>20117</v>
          </cell>
        </row>
        <row r="103">
          <cell r="D103">
            <v>11689943</v>
          </cell>
          <cell r="J103">
            <v>11690</v>
          </cell>
        </row>
        <row r="104">
          <cell r="D104">
            <v>8170572</v>
          </cell>
          <cell r="J104">
            <v>8171</v>
          </cell>
        </row>
        <row r="105">
          <cell r="D105">
            <v>256231</v>
          </cell>
          <cell r="J105">
            <v>256</v>
          </cell>
        </row>
        <row r="107">
          <cell r="D107">
            <v>19857594</v>
          </cell>
          <cell r="J107">
            <v>19858</v>
          </cell>
        </row>
        <row r="108">
          <cell r="D108">
            <v>19407828</v>
          </cell>
          <cell r="J108">
            <v>19408</v>
          </cell>
        </row>
        <row r="109">
          <cell r="D109">
            <v>0</v>
          </cell>
        </row>
        <row r="110">
          <cell r="D110">
            <v>449766</v>
          </cell>
          <cell r="J110">
            <v>450</v>
          </cell>
        </row>
        <row r="111">
          <cell r="D111">
            <v>259152</v>
          </cell>
          <cell r="J111">
            <v>259</v>
          </cell>
        </row>
        <row r="112">
          <cell r="D112">
            <v>327798</v>
          </cell>
          <cell r="J112">
            <v>328</v>
          </cell>
        </row>
        <row r="114">
          <cell r="D114">
            <v>76061142</v>
          </cell>
          <cell r="J114">
            <v>76061</v>
          </cell>
        </row>
        <row r="115">
          <cell r="D115">
            <v>74701738</v>
          </cell>
          <cell r="J115">
            <v>74702</v>
          </cell>
        </row>
        <row r="116">
          <cell r="D116">
            <v>943078</v>
          </cell>
          <cell r="J116">
            <v>943</v>
          </cell>
        </row>
        <row r="117">
          <cell r="D117">
            <v>416326</v>
          </cell>
          <cell r="J117">
            <v>416</v>
          </cell>
        </row>
        <row r="118">
          <cell r="D118">
            <v>84469158</v>
          </cell>
          <cell r="J118">
            <v>84469</v>
          </cell>
        </row>
        <row r="119">
          <cell r="D119">
            <v>84387393</v>
          </cell>
          <cell r="J119">
            <v>84387</v>
          </cell>
        </row>
        <row r="120">
          <cell r="D120">
            <v>0</v>
          </cell>
        </row>
        <row r="121">
          <cell r="D121">
            <v>81765</v>
          </cell>
          <cell r="J121">
            <v>82</v>
          </cell>
        </row>
        <row r="122">
          <cell r="D122">
            <v>-8408016</v>
          </cell>
          <cell r="J122">
            <v>-8408</v>
          </cell>
        </row>
        <row r="123">
          <cell r="D123">
            <v>11031962</v>
          </cell>
          <cell r="J123">
            <v>11032</v>
          </cell>
        </row>
        <row r="125">
          <cell r="D125">
            <v>61609881</v>
          </cell>
          <cell r="J125">
            <v>61610</v>
          </cell>
        </row>
        <row r="126">
          <cell r="D126">
            <v>57642799</v>
          </cell>
          <cell r="J126">
            <v>57643</v>
          </cell>
        </row>
        <row r="127">
          <cell r="D127">
            <v>44417</v>
          </cell>
          <cell r="J127">
            <v>44</v>
          </cell>
        </row>
        <row r="128">
          <cell r="D128">
            <v>3922665</v>
          </cell>
          <cell r="J128">
            <v>3923</v>
          </cell>
        </row>
        <row r="129">
          <cell r="D129">
            <v>70139817</v>
          </cell>
          <cell r="J129">
            <v>70140</v>
          </cell>
        </row>
        <row r="130">
          <cell r="D130">
            <v>70139817</v>
          </cell>
          <cell r="J130">
            <v>70140</v>
          </cell>
        </row>
        <row r="131">
          <cell r="D131">
            <v>-8529936</v>
          </cell>
          <cell r="J131">
            <v>-8530</v>
          </cell>
        </row>
        <row r="132">
          <cell r="D132">
            <v>8532448</v>
          </cell>
          <cell r="J132">
            <v>8532</v>
          </cell>
        </row>
        <row r="134">
          <cell r="D134">
            <v>6724058</v>
          </cell>
          <cell r="J134">
            <v>6724</v>
          </cell>
        </row>
        <row r="135">
          <cell r="D135">
            <v>4563490</v>
          </cell>
          <cell r="J135">
            <v>4564</v>
          </cell>
        </row>
        <row r="136">
          <cell r="D136">
            <v>53148</v>
          </cell>
          <cell r="J136">
            <v>53</v>
          </cell>
        </row>
        <row r="137">
          <cell r="D137">
            <v>2107420</v>
          </cell>
          <cell r="J137">
            <v>2107</v>
          </cell>
        </row>
        <row r="138">
          <cell r="D138">
            <v>4272436</v>
          </cell>
          <cell r="J138">
            <v>4272</v>
          </cell>
        </row>
        <row r="139">
          <cell r="D139">
            <v>4272436</v>
          </cell>
          <cell r="J139">
            <v>4272</v>
          </cell>
        </row>
        <row r="140">
          <cell r="D140">
            <v>2451622</v>
          </cell>
          <cell r="J140">
            <v>2452</v>
          </cell>
        </row>
        <row r="143">
          <cell r="D143">
            <v>196280</v>
          </cell>
          <cell r="J143">
            <v>196</v>
          </cell>
        </row>
        <row r="144">
          <cell r="D144">
            <v>194191</v>
          </cell>
          <cell r="J144">
            <v>194</v>
          </cell>
        </row>
        <row r="145">
          <cell r="D145">
            <v>2089</v>
          </cell>
          <cell r="J145">
            <v>2</v>
          </cell>
        </row>
        <row r="146">
          <cell r="D146">
            <v>140601</v>
          </cell>
          <cell r="J146">
            <v>141</v>
          </cell>
        </row>
        <row r="147">
          <cell r="D147">
            <v>140601</v>
          </cell>
          <cell r="J147">
            <v>141</v>
          </cell>
        </row>
        <row r="148">
          <cell r="D148">
            <v>55679</v>
          </cell>
          <cell r="J148">
            <v>55</v>
          </cell>
        </row>
        <row r="150">
          <cell r="D150">
            <v>12398383</v>
          </cell>
          <cell r="J150">
            <v>12398</v>
          </cell>
        </row>
        <row r="151">
          <cell r="D151">
            <v>12301258</v>
          </cell>
          <cell r="J151">
            <v>12301</v>
          </cell>
        </row>
        <row r="152">
          <cell r="D152">
            <v>97125</v>
          </cell>
          <cell r="J152">
            <v>97</v>
          </cell>
        </row>
        <row r="153">
          <cell r="D153">
            <v>14882486</v>
          </cell>
          <cell r="J153">
            <v>14882</v>
          </cell>
        </row>
        <row r="154">
          <cell r="D154">
            <v>14882486</v>
          </cell>
          <cell r="J154">
            <v>14882</v>
          </cell>
        </row>
        <row r="155">
          <cell r="D155">
            <v>-2484103</v>
          </cell>
          <cell r="J155">
            <v>-2484</v>
          </cell>
        </row>
        <row r="156">
          <cell r="D156">
            <v>2485190</v>
          </cell>
          <cell r="J156">
            <v>2485</v>
          </cell>
        </row>
        <row r="158">
          <cell r="D158">
            <v>1367222</v>
          </cell>
          <cell r="J158">
            <v>1367</v>
          </cell>
        </row>
        <row r="159">
          <cell r="D159">
            <v>329040</v>
          </cell>
          <cell r="J159">
            <v>329</v>
          </cell>
        </row>
        <row r="160">
          <cell r="D160">
            <v>1038182</v>
          </cell>
          <cell r="J160">
            <v>1038</v>
          </cell>
        </row>
        <row r="161">
          <cell r="D161">
            <v>1264625</v>
          </cell>
          <cell r="J161">
            <v>1265</v>
          </cell>
        </row>
        <row r="162">
          <cell r="D162">
            <v>1186736</v>
          </cell>
          <cell r="J162">
            <v>1187</v>
          </cell>
        </row>
        <row r="164">
          <cell r="D164">
            <v>77889</v>
          </cell>
          <cell r="J164">
            <v>78</v>
          </cell>
        </row>
        <row r="165">
          <cell r="D165">
            <v>102597</v>
          </cell>
          <cell r="J165">
            <v>102</v>
          </cell>
        </row>
        <row r="166">
          <cell r="J166">
            <v>0</v>
          </cell>
        </row>
        <row r="169">
          <cell r="D169">
            <v>1043662</v>
          </cell>
        </row>
        <row r="170">
          <cell r="D170">
            <v>958610</v>
          </cell>
          <cell r="J170">
            <v>959</v>
          </cell>
        </row>
        <row r="171">
          <cell r="D171">
            <v>74358</v>
          </cell>
          <cell r="J171">
            <v>74</v>
          </cell>
        </row>
        <row r="172">
          <cell r="D172">
            <v>10694</v>
          </cell>
          <cell r="J172">
            <v>11</v>
          </cell>
        </row>
        <row r="173">
          <cell r="D173">
            <v>380070</v>
          </cell>
          <cell r="J173">
            <v>380</v>
          </cell>
        </row>
        <row r="174">
          <cell r="D174">
            <v>366565</v>
          </cell>
          <cell r="J174">
            <v>366</v>
          </cell>
        </row>
        <row r="175">
          <cell r="D175">
            <v>13505</v>
          </cell>
        </row>
        <row r="178">
          <cell r="D178">
            <v>330874</v>
          </cell>
          <cell r="J178">
            <v>331</v>
          </cell>
        </row>
        <row r="179">
          <cell r="D179">
            <v>221759</v>
          </cell>
          <cell r="J179">
            <v>222</v>
          </cell>
        </row>
        <row r="180">
          <cell r="D180">
            <v>109115</v>
          </cell>
          <cell r="J180">
            <v>109</v>
          </cell>
        </row>
        <row r="181">
          <cell r="D181">
            <v>331915</v>
          </cell>
          <cell r="J181">
            <v>332</v>
          </cell>
        </row>
        <row r="182">
          <cell r="D182">
            <v>331915</v>
          </cell>
          <cell r="J182">
            <v>332</v>
          </cell>
        </row>
        <row r="184">
          <cell r="D184">
            <v>14368</v>
          </cell>
          <cell r="J184">
            <v>14</v>
          </cell>
        </row>
        <row r="185">
          <cell r="D185">
            <v>14368</v>
          </cell>
          <cell r="J185">
            <v>14</v>
          </cell>
        </row>
        <row r="186">
          <cell r="D186">
            <v>16346</v>
          </cell>
          <cell r="J186">
            <v>16</v>
          </cell>
        </row>
        <row r="187">
          <cell r="D187">
            <v>16346</v>
          </cell>
          <cell r="J187">
            <v>16</v>
          </cell>
        </row>
        <row r="188">
          <cell r="D188">
            <v>0</v>
          </cell>
        </row>
        <row r="190">
          <cell r="D190">
            <v>-1978</v>
          </cell>
          <cell r="J190">
            <v>-2</v>
          </cell>
        </row>
        <row r="191">
          <cell r="D191">
            <v>9459</v>
          </cell>
          <cell r="J191">
            <v>9</v>
          </cell>
        </row>
      </sheetData>
      <sheetData sheetId="2">
        <row r="17">
          <cell r="C17">
            <v>24474015</v>
          </cell>
        </row>
        <row r="20">
          <cell r="D20">
            <v>523431</v>
          </cell>
        </row>
        <row r="27">
          <cell r="D27">
            <v>712671</v>
          </cell>
        </row>
        <row r="39">
          <cell r="D39">
            <v>388027</v>
          </cell>
        </row>
        <row r="44">
          <cell r="D44">
            <v>49168</v>
          </cell>
        </row>
        <row r="50">
          <cell r="D50">
            <v>653500</v>
          </cell>
        </row>
        <row r="57">
          <cell r="D57">
            <v>304352</v>
          </cell>
        </row>
        <row r="69">
          <cell r="D69">
            <v>214530</v>
          </cell>
        </row>
        <row r="78">
          <cell r="D78">
            <v>2293151</v>
          </cell>
        </row>
        <row r="79">
          <cell r="D79">
            <v>9006605</v>
          </cell>
        </row>
        <row r="80">
          <cell r="D80">
            <v>6367</v>
          </cell>
        </row>
        <row r="81">
          <cell r="D81">
            <v>576290</v>
          </cell>
        </row>
        <row r="89">
          <cell r="D89">
            <v>154701</v>
          </cell>
        </row>
        <row r="95">
          <cell r="D95">
            <v>488411</v>
          </cell>
        </row>
        <row r="103">
          <cell r="D103">
            <v>18160770</v>
          </cell>
        </row>
        <row r="104">
          <cell r="D104">
            <v>12055364</v>
          </cell>
        </row>
        <row r="105">
          <cell r="D105">
            <v>397035</v>
          </cell>
        </row>
        <row r="114">
          <cell r="D114">
            <v>116087917</v>
          </cell>
        </row>
        <row r="170">
          <cell r="D170">
            <v>1477231</v>
          </cell>
        </row>
        <row r="171">
          <cell r="D171">
            <v>140038</v>
          </cell>
        </row>
        <row r="172">
          <cell r="D172">
            <v>26358</v>
          </cell>
        </row>
        <row r="178">
          <cell r="D178">
            <v>454993</v>
          </cell>
        </row>
        <row r="184">
          <cell r="D184">
            <v>15766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</sheetNames>
    <sheetDataSet>
      <sheetData sheetId="1">
        <row r="11">
          <cell r="D11">
            <v>107571487</v>
          </cell>
          <cell r="K11">
            <v>107572</v>
          </cell>
        </row>
        <row r="12">
          <cell r="K12">
            <v>0</v>
          </cell>
        </row>
        <row r="13">
          <cell r="D13">
            <v>282295</v>
          </cell>
          <cell r="K13">
            <v>282</v>
          </cell>
        </row>
        <row r="14">
          <cell r="D14">
            <v>519840</v>
          </cell>
          <cell r="K14">
            <v>520</v>
          </cell>
        </row>
        <row r="16">
          <cell r="K16">
            <v>113672</v>
          </cell>
        </row>
        <row r="17">
          <cell r="D17">
            <v>5105630</v>
          </cell>
          <cell r="K17">
            <v>5106</v>
          </cell>
        </row>
        <row r="18">
          <cell r="D18">
            <v>188662</v>
          </cell>
          <cell r="K18">
            <v>189</v>
          </cell>
        </row>
        <row r="19">
          <cell r="D19">
            <v>47245</v>
          </cell>
          <cell r="K19">
            <v>47</v>
          </cell>
        </row>
        <row r="20">
          <cell r="D20">
            <v>4160804</v>
          </cell>
          <cell r="K20">
            <v>4161</v>
          </cell>
        </row>
        <row r="21">
          <cell r="D21">
            <v>708919</v>
          </cell>
          <cell r="K21">
            <v>709</v>
          </cell>
        </row>
        <row r="22">
          <cell r="D22">
            <v>1481031</v>
          </cell>
          <cell r="K22">
            <v>1481</v>
          </cell>
        </row>
        <row r="23">
          <cell r="D23">
            <v>1180834</v>
          </cell>
        </row>
        <row r="24">
          <cell r="D24">
            <v>300197</v>
          </cell>
          <cell r="K24">
            <v>300</v>
          </cell>
        </row>
        <row r="25">
          <cell r="D25">
            <v>107085820</v>
          </cell>
          <cell r="K25">
            <v>107085</v>
          </cell>
        </row>
        <row r="26">
          <cell r="D26">
            <v>995943</v>
          </cell>
          <cell r="K26">
            <v>996</v>
          </cell>
        </row>
        <row r="27">
          <cell r="D27">
            <v>605139</v>
          </cell>
          <cell r="K27">
            <v>605</v>
          </cell>
        </row>
        <row r="28">
          <cell r="D28">
            <v>2951052</v>
          </cell>
          <cell r="K28">
            <v>2951</v>
          </cell>
        </row>
        <row r="29">
          <cell r="D29">
            <v>1960856</v>
          </cell>
          <cell r="K29">
            <v>1961</v>
          </cell>
        </row>
        <row r="30">
          <cell r="D30">
            <v>990196</v>
          </cell>
          <cell r="K30">
            <v>990</v>
          </cell>
        </row>
        <row r="31">
          <cell r="D31">
            <v>541404</v>
          </cell>
          <cell r="K31">
            <v>541</v>
          </cell>
        </row>
        <row r="32">
          <cell r="D32">
            <v>448792</v>
          </cell>
          <cell r="K32">
            <v>449</v>
          </cell>
        </row>
        <row r="33">
          <cell r="D33">
            <v>0</v>
          </cell>
          <cell r="K33">
            <v>0</v>
          </cell>
        </row>
        <row r="34">
          <cell r="D34">
            <v>21144148</v>
          </cell>
          <cell r="K34">
            <v>21144</v>
          </cell>
        </row>
        <row r="35">
          <cell r="D35">
            <v>81794477</v>
          </cell>
          <cell r="K35">
            <v>81794</v>
          </cell>
        </row>
        <row r="36">
          <cell r="D36">
            <v>75946615</v>
          </cell>
          <cell r="K36">
            <v>75947</v>
          </cell>
        </row>
        <row r="37">
          <cell r="D37">
            <v>5643473</v>
          </cell>
          <cell r="K37">
            <v>5643</v>
          </cell>
        </row>
        <row r="38">
          <cell r="D38">
            <v>137843</v>
          </cell>
          <cell r="K38">
            <v>138</v>
          </cell>
        </row>
        <row r="39">
          <cell r="D39">
            <v>66546</v>
          </cell>
          <cell r="K39">
            <v>66</v>
          </cell>
        </row>
        <row r="40">
          <cell r="D40">
            <v>0</v>
          </cell>
          <cell r="K40">
            <v>0</v>
          </cell>
        </row>
        <row r="41">
          <cell r="D41">
            <v>200200</v>
          </cell>
          <cell r="K41">
            <v>200</v>
          </cell>
        </row>
        <row r="42">
          <cell r="D42">
            <v>4156184</v>
          </cell>
          <cell r="K42">
            <v>4157</v>
          </cell>
        </row>
        <row r="43">
          <cell r="D43">
            <v>3534986</v>
          </cell>
          <cell r="K43">
            <v>3535</v>
          </cell>
        </row>
        <row r="44">
          <cell r="D44">
            <v>621198</v>
          </cell>
          <cell r="K44">
            <v>622</v>
          </cell>
        </row>
        <row r="45">
          <cell r="D45">
            <v>1124535</v>
          </cell>
          <cell r="K45">
            <v>1125</v>
          </cell>
        </row>
        <row r="46">
          <cell r="D46">
            <v>1138992</v>
          </cell>
          <cell r="K46">
            <v>1139</v>
          </cell>
        </row>
        <row r="47">
          <cell r="D47">
            <v>14457</v>
          </cell>
          <cell r="K47">
            <v>14</v>
          </cell>
        </row>
        <row r="49">
          <cell r="D49">
            <v>10579578</v>
          </cell>
        </row>
        <row r="50">
          <cell r="D50">
            <v>15305354</v>
          </cell>
          <cell r="K50">
            <v>15305</v>
          </cell>
        </row>
        <row r="51">
          <cell r="D51">
            <v>-4725776</v>
          </cell>
          <cell r="K51">
            <v>-4726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12">
          <cell r="D12">
            <v>282221</v>
          </cell>
        </row>
        <row r="13">
          <cell r="D13">
            <v>18719</v>
          </cell>
        </row>
        <row r="14">
          <cell r="D14">
            <v>2502</v>
          </cell>
        </row>
        <row r="15">
          <cell r="D15">
            <v>261000</v>
          </cell>
        </row>
        <row r="16">
          <cell r="D16">
            <v>284600</v>
          </cell>
        </row>
        <row r="17">
          <cell r="D17">
            <v>18719</v>
          </cell>
        </row>
        <row r="18">
          <cell r="D18">
            <v>2502</v>
          </cell>
        </row>
        <row r="19">
          <cell r="D19">
            <v>263379</v>
          </cell>
        </row>
        <row r="20">
          <cell r="D20">
            <v>-2379</v>
          </cell>
        </row>
        <row r="21">
          <cell r="D21">
            <v>-1767</v>
          </cell>
        </row>
        <row r="22">
          <cell r="D22">
            <v>4453</v>
          </cell>
        </row>
        <row r="23">
          <cell r="D23">
            <v>2692</v>
          </cell>
        </row>
        <row r="24">
          <cell r="D24">
            <v>1761</v>
          </cell>
        </row>
        <row r="25">
          <cell r="D25">
            <v>6058</v>
          </cell>
        </row>
        <row r="26">
          <cell r="D26">
            <v>2530</v>
          </cell>
        </row>
        <row r="27">
          <cell r="D27">
            <v>3528</v>
          </cell>
        </row>
        <row r="28">
          <cell r="D28">
            <v>-612</v>
          </cell>
        </row>
        <row r="29">
          <cell r="D29">
            <v>612</v>
          </cell>
        </row>
        <row r="30">
          <cell r="D30">
            <v>1767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162</v>
          </cell>
        </row>
        <row r="34">
          <cell r="D34">
            <v>-162</v>
          </cell>
        </row>
        <row r="36">
          <cell r="D36">
            <v>-25341</v>
          </cell>
        </row>
        <row r="37">
          <cell r="D37">
            <v>-29066</v>
          </cell>
        </row>
        <row r="38">
          <cell r="D38">
            <v>10823</v>
          </cell>
        </row>
        <row r="39">
          <cell r="D39">
            <v>711</v>
          </cell>
        </row>
        <row r="40">
          <cell r="D40">
            <v>-7809</v>
          </cell>
        </row>
        <row r="41">
          <cell r="D41">
            <v>12580</v>
          </cell>
        </row>
        <row r="42">
          <cell r="D42">
            <v>-14</v>
          </cell>
        </row>
        <row r="43">
          <cell r="D43">
            <v>-34497</v>
          </cell>
        </row>
        <row r="44">
          <cell r="D44">
            <v>-9871</v>
          </cell>
        </row>
        <row r="45">
          <cell r="D45">
            <v>-72</v>
          </cell>
        </row>
        <row r="46">
          <cell r="D46">
            <v>57034</v>
          </cell>
        </row>
        <row r="47">
          <cell r="D47">
            <v>14528</v>
          </cell>
        </row>
        <row r="48">
          <cell r="D48">
            <v>1759</v>
          </cell>
        </row>
        <row r="49">
          <cell r="D49">
            <v>704</v>
          </cell>
        </row>
        <row r="50">
          <cell r="D50">
            <v>12065</v>
          </cell>
        </row>
        <row r="51">
          <cell r="D51">
            <v>-1155</v>
          </cell>
        </row>
        <row r="52">
          <cell r="D52">
            <v>-1120</v>
          </cell>
        </row>
        <row r="53">
          <cell r="D53">
            <v>-35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10">
          <cell r="H10">
            <v>212422</v>
          </cell>
        </row>
        <row r="11">
          <cell r="H11">
            <v>114086</v>
          </cell>
        </row>
        <row r="12">
          <cell r="H12">
            <v>89908</v>
          </cell>
        </row>
        <row r="13">
          <cell r="H13">
            <v>13504</v>
          </cell>
        </row>
        <row r="14">
          <cell r="H14">
            <v>13504</v>
          </cell>
        </row>
        <row r="15">
          <cell r="H15">
            <v>72909</v>
          </cell>
        </row>
        <row r="16">
          <cell r="H16">
            <v>52068</v>
          </cell>
        </row>
        <row r="17">
          <cell r="H17">
            <v>18787</v>
          </cell>
        </row>
        <row r="18">
          <cell r="H18">
            <v>2054</v>
          </cell>
        </row>
        <row r="19">
          <cell r="H19">
            <v>3495</v>
          </cell>
        </row>
        <row r="20">
          <cell r="H20">
            <v>10859</v>
          </cell>
        </row>
        <row r="21">
          <cell r="H21">
            <v>10473</v>
          </cell>
        </row>
        <row r="22">
          <cell r="H22">
            <v>2846</v>
          </cell>
        </row>
        <row r="23">
          <cell r="H23">
            <v>200</v>
          </cell>
        </row>
        <row r="24">
          <cell r="H24">
            <v>113886</v>
          </cell>
        </row>
        <row r="25">
          <cell r="H25">
            <v>108374</v>
          </cell>
        </row>
        <row r="26">
          <cell r="H26">
            <v>108374</v>
          </cell>
        </row>
        <row r="27">
          <cell r="H27">
            <v>74702</v>
          </cell>
        </row>
        <row r="28">
          <cell r="H28">
            <v>6643</v>
          </cell>
        </row>
        <row r="29">
          <cell r="H29">
            <v>11690</v>
          </cell>
        </row>
        <row r="30">
          <cell r="H30">
            <v>520</v>
          </cell>
        </row>
        <row r="31">
          <cell r="H31">
            <v>14819</v>
          </cell>
        </row>
        <row r="32">
          <cell r="H32">
            <v>9838</v>
          </cell>
        </row>
        <row r="33">
          <cell r="H33">
            <v>98536</v>
          </cell>
        </row>
        <row r="34">
          <cell r="H34">
            <v>219818</v>
          </cell>
        </row>
        <row r="35">
          <cell r="H35">
            <v>210911</v>
          </cell>
        </row>
        <row r="36">
          <cell r="H36">
            <v>5277</v>
          </cell>
        </row>
        <row r="37">
          <cell r="H37">
            <v>3630</v>
          </cell>
        </row>
        <row r="38">
          <cell r="H38">
            <v>-7396</v>
          </cell>
        </row>
        <row r="39">
          <cell r="H39">
            <v>119</v>
          </cell>
        </row>
        <row r="40">
          <cell r="H40">
            <v>219937</v>
          </cell>
        </row>
        <row r="41">
          <cell r="H41">
            <v>-7515</v>
          </cell>
        </row>
        <row r="43">
          <cell r="H43">
            <v>0</v>
          </cell>
        </row>
        <row r="44">
          <cell r="H44">
            <v>260</v>
          </cell>
        </row>
        <row r="45">
          <cell r="H45">
            <v>48809</v>
          </cell>
        </row>
        <row r="46">
          <cell r="H46">
            <v>-41554</v>
          </cell>
        </row>
        <row r="47">
          <cell r="H47">
            <v>112027</v>
          </cell>
        </row>
        <row r="48">
          <cell r="H48">
            <v>9838</v>
          </cell>
        </row>
        <row r="49">
          <cell r="H49">
            <v>102189</v>
          </cell>
        </row>
        <row r="50">
          <cell r="H50">
            <v>107105</v>
          </cell>
        </row>
        <row r="51">
          <cell r="H51">
            <v>9666</v>
          </cell>
        </row>
        <row r="52">
          <cell r="H52">
            <v>97439</v>
          </cell>
        </row>
        <row r="53">
          <cell r="H53">
            <v>1742</v>
          </cell>
        </row>
        <row r="54">
          <cell r="H54">
            <v>1742</v>
          </cell>
        </row>
        <row r="55">
          <cell r="H55">
            <v>3180</v>
          </cell>
        </row>
        <row r="56">
          <cell r="H56">
            <v>172</v>
          </cell>
        </row>
        <row r="57">
          <cell r="H57">
            <v>3008</v>
          </cell>
        </row>
        <row r="58">
          <cell r="H58">
            <v>2059</v>
          </cell>
        </row>
        <row r="59">
          <cell r="H59">
            <v>-1006</v>
          </cell>
        </row>
        <row r="60">
          <cell r="H60">
            <v>13590</v>
          </cell>
        </row>
        <row r="61">
          <cell r="H61">
            <v>14596</v>
          </cell>
        </row>
        <row r="62">
          <cell r="H62">
            <v>-1006</v>
          </cell>
        </row>
        <row r="63">
          <cell r="H63">
            <v>-11531</v>
          </cell>
        </row>
        <row r="64">
          <cell r="H64">
            <v>117829</v>
          </cell>
        </row>
        <row r="65">
          <cell r="H65">
            <v>200</v>
          </cell>
        </row>
        <row r="66">
          <cell r="H66">
            <v>117629</v>
          </cell>
        </row>
        <row r="67">
          <cell r="H67">
            <v>113672</v>
          </cell>
        </row>
        <row r="68">
          <cell r="H68">
            <v>200</v>
          </cell>
        </row>
        <row r="69">
          <cell r="H69">
            <v>113472</v>
          </cell>
        </row>
        <row r="70">
          <cell r="H70">
            <v>3535</v>
          </cell>
        </row>
        <row r="71">
          <cell r="H71">
            <v>3535</v>
          </cell>
        </row>
        <row r="72">
          <cell r="H72">
            <v>622</v>
          </cell>
        </row>
        <row r="73">
          <cell r="H73">
            <v>622</v>
          </cell>
        </row>
        <row r="74">
          <cell r="H74">
            <v>-9455</v>
          </cell>
        </row>
        <row r="75">
          <cell r="H75">
            <v>1125</v>
          </cell>
        </row>
        <row r="76">
          <cell r="H76">
            <v>1125</v>
          </cell>
        </row>
        <row r="77">
          <cell r="H77">
            <v>1125</v>
          </cell>
        </row>
        <row r="78">
          <cell r="H78">
            <v>-10580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A4" sqref="A4"/>
    </sheetView>
  </sheetViews>
  <sheetFormatPr defaultColWidth="9.140625" defaultRowHeight="12.75"/>
  <cols>
    <col min="1" max="1" width="43.421875" style="4" customWidth="1"/>
    <col min="2" max="2" width="11.8515625" style="4" customWidth="1"/>
    <col min="3" max="3" width="13.421875" style="4" customWidth="1"/>
    <col min="4" max="4" width="12.57421875" style="4" customWidth="1"/>
    <col min="5" max="5" width="12.7109375" style="4" customWidth="1"/>
  </cols>
  <sheetData>
    <row r="1" ht="12.75">
      <c r="E1" s="10"/>
    </row>
    <row r="2" ht="12.75">
      <c r="E2" s="10"/>
    </row>
    <row r="3" spans="1:5" ht="12.75">
      <c r="A3" s="757" t="s">
        <v>114</v>
      </c>
      <c r="B3" s="757"/>
      <c r="C3" s="757"/>
      <c r="E3" s="10"/>
    </row>
    <row r="4" ht="12.75">
      <c r="E4" s="10"/>
    </row>
    <row r="5" spans="1:5" ht="11.25" customHeight="1">
      <c r="A5" s="265"/>
      <c r="B5" s="265"/>
      <c r="C5" s="265"/>
      <c r="D5" s="265"/>
      <c r="E5" s="265"/>
    </row>
    <row r="6" spans="1:5" s="8" customFormat="1" ht="15.75" customHeight="1">
      <c r="A6" s="758" t="s">
        <v>115</v>
      </c>
      <c r="B6" s="758"/>
      <c r="C6" s="758"/>
      <c r="D6" s="758"/>
      <c r="E6" s="758"/>
    </row>
    <row r="7" spans="1:5" s="8" customFormat="1" ht="14.25" hidden="1">
      <c r="A7" s="758"/>
      <c r="B7" s="758"/>
      <c r="C7" s="758"/>
      <c r="D7" s="758"/>
      <c r="E7" s="758"/>
    </row>
    <row r="8" spans="1:5" s="8" customFormat="1" ht="14.25">
      <c r="A8" s="759" t="s">
        <v>116</v>
      </c>
      <c r="B8" s="759"/>
      <c r="C8" s="759"/>
      <c r="D8" s="759"/>
      <c r="E8" s="759"/>
    </row>
    <row r="9" ht="10.5" customHeight="1"/>
    <row r="10" spans="1:5" ht="12.75">
      <c r="A10" s="266"/>
      <c r="E10" s="10" t="s">
        <v>117</v>
      </c>
    </row>
    <row r="11" spans="1:5" ht="31.5" customHeight="1">
      <c r="A11" s="267" t="s">
        <v>748</v>
      </c>
      <c r="B11" s="11" t="s">
        <v>118</v>
      </c>
      <c r="C11" s="11" t="s">
        <v>119</v>
      </c>
      <c r="D11" s="11" t="s">
        <v>120</v>
      </c>
      <c r="E11" s="11" t="s">
        <v>756</v>
      </c>
    </row>
    <row r="12" spans="1:5" ht="12.75">
      <c r="A12" s="268" t="s">
        <v>121</v>
      </c>
      <c r="B12" s="23">
        <v>318813</v>
      </c>
      <c r="C12" s="269">
        <v>108492</v>
      </c>
      <c r="D12" s="23">
        <f>B12+C12</f>
        <v>427305</v>
      </c>
      <c r="E12" s="23">
        <f>D12-'[8]Februaris'!D12</f>
        <v>145084</v>
      </c>
    </row>
    <row r="13" spans="1:5" ht="22.5">
      <c r="A13" s="270" t="s">
        <v>122</v>
      </c>
      <c r="B13" s="271" t="s">
        <v>848</v>
      </c>
      <c r="C13" s="271" t="s">
        <v>848</v>
      </c>
      <c r="D13" s="272">
        <f>25467+1957</f>
        <v>27424</v>
      </c>
      <c r="E13" s="272">
        <f>D13-'[8]Februaris'!D13</f>
        <v>8705</v>
      </c>
    </row>
    <row r="14" spans="1:5" ht="22.5">
      <c r="A14" s="270" t="s">
        <v>123</v>
      </c>
      <c r="B14" s="271" t="s">
        <v>848</v>
      </c>
      <c r="C14" s="271" t="s">
        <v>848</v>
      </c>
      <c r="D14" s="272">
        <v>3261</v>
      </c>
      <c r="E14" s="272">
        <f>D14-'[8]Februaris'!D14</f>
        <v>759</v>
      </c>
    </row>
    <row r="15" spans="1:5" ht="12.75">
      <c r="A15" s="273" t="s">
        <v>124</v>
      </c>
      <c r="B15" s="274" t="s">
        <v>848</v>
      </c>
      <c r="C15" s="274" t="s">
        <v>848</v>
      </c>
      <c r="D15" s="23">
        <f>D12-D13-D14</f>
        <v>396620</v>
      </c>
      <c r="E15" s="23">
        <f>D15-'[8]Februaris'!D15</f>
        <v>135620</v>
      </c>
    </row>
    <row r="16" spans="1:5" ht="12.75">
      <c r="A16" s="268" t="s">
        <v>125</v>
      </c>
      <c r="B16" s="23">
        <v>332696</v>
      </c>
      <c r="C16" s="269">
        <v>103975</v>
      </c>
      <c r="D16" s="23">
        <f>B16+C16</f>
        <v>436671</v>
      </c>
      <c r="E16" s="23">
        <f>D16-'[8]Februaris'!D16</f>
        <v>152071</v>
      </c>
    </row>
    <row r="17" spans="1:5" ht="22.5">
      <c r="A17" s="270" t="s">
        <v>126</v>
      </c>
      <c r="B17" s="271" t="s">
        <v>848</v>
      </c>
      <c r="C17" s="271" t="s">
        <v>848</v>
      </c>
      <c r="D17" s="272">
        <f>25467+1957</f>
        <v>27424</v>
      </c>
      <c r="E17" s="272">
        <f>D17-'[8]Februaris'!D17</f>
        <v>8705</v>
      </c>
    </row>
    <row r="18" spans="1:5" ht="22.5">
      <c r="A18" s="270" t="s">
        <v>127</v>
      </c>
      <c r="B18" s="271" t="s">
        <v>848</v>
      </c>
      <c r="C18" s="271" t="s">
        <v>848</v>
      </c>
      <c r="D18" s="272">
        <v>3261</v>
      </c>
      <c r="E18" s="272">
        <f>D18-'[8]Februaris'!D18</f>
        <v>759</v>
      </c>
    </row>
    <row r="19" spans="1:5" ht="12.75">
      <c r="A19" s="273" t="s">
        <v>128</v>
      </c>
      <c r="B19" s="274" t="s">
        <v>848</v>
      </c>
      <c r="C19" s="274" t="s">
        <v>848</v>
      </c>
      <c r="D19" s="23">
        <f>D16-D17-D18</f>
        <v>405986</v>
      </c>
      <c r="E19" s="23">
        <f>D19-'[8]Februaris'!D19</f>
        <v>142607</v>
      </c>
    </row>
    <row r="20" spans="1:5" ht="12.75">
      <c r="A20" s="273" t="s">
        <v>129</v>
      </c>
      <c r="B20" s="23">
        <f>B12-B16</f>
        <v>-13883</v>
      </c>
      <c r="C20" s="269">
        <f>C12-C16</f>
        <v>4517</v>
      </c>
      <c r="D20" s="23">
        <f>D15-D19</f>
        <v>-9366</v>
      </c>
      <c r="E20" s="23">
        <f>D20-'[8]Februaris'!D20</f>
        <v>-6987</v>
      </c>
    </row>
    <row r="21" spans="1:5" ht="12.75">
      <c r="A21" s="275" t="s">
        <v>130</v>
      </c>
      <c r="B21" s="269">
        <f>B22-B25</f>
        <v>753</v>
      </c>
      <c r="C21" s="269">
        <f>C22-C25</f>
        <v>-1736</v>
      </c>
      <c r="D21" s="269">
        <f>D24-D27</f>
        <v>-376</v>
      </c>
      <c r="E21" s="269">
        <f>D21-'[8]Februaris'!D21</f>
        <v>1391</v>
      </c>
    </row>
    <row r="22" spans="1:5" ht="12.75">
      <c r="A22" s="276" t="s">
        <v>131</v>
      </c>
      <c r="B22" s="277">
        <v>6830</v>
      </c>
      <c r="C22" s="278">
        <v>318</v>
      </c>
      <c r="D22" s="277">
        <f>B22+C22</f>
        <v>7148</v>
      </c>
      <c r="E22" s="277">
        <f>D22-'[8]Februaris'!D22</f>
        <v>2695</v>
      </c>
    </row>
    <row r="23" spans="1:5" ht="22.5">
      <c r="A23" s="270" t="s">
        <v>132</v>
      </c>
      <c r="B23" s="271" t="s">
        <v>848</v>
      </c>
      <c r="C23" s="271" t="s">
        <v>848</v>
      </c>
      <c r="D23" s="272">
        <v>3194</v>
      </c>
      <c r="E23" s="272">
        <f>D23-'[8]Februaris'!D23</f>
        <v>502</v>
      </c>
    </row>
    <row r="24" spans="1:5" ht="12.75">
      <c r="A24" s="275" t="s">
        <v>133</v>
      </c>
      <c r="B24" s="274" t="s">
        <v>848</v>
      </c>
      <c r="C24" s="274" t="s">
        <v>848</v>
      </c>
      <c r="D24" s="23">
        <f>D22-D23</f>
        <v>3954</v>
      </c>
      <c r="E24" s="23">
        <f>D24-'[8]Februaris'!D24</f>
        <v>2193</v>
      </c>
    </row>
    <row r="25" spans="1:5" ht="12.75">
      <c r="A25" s="276" t="s">
        <v>134</v>
      </c>
      <c r="B25" s="277">
        <v>6077</v>
      </c>
      <c r="C25" s="278">
        <v>2054</v>
      </c>
      <c r="D25" s="277">
        <f>B25+C25</f>
        <v>8131</v>
      </c>
      <c r="E25" s="277">
        <f>D25-'[8]Februaris'!D25</f>
        <v>2073</v>
      </c>
    </row>
    <row r="26" spans="1:5" ht="22.5">
      <c r="A26" s="270" t="s">
        <v>135</v>
      </c>
      <c r="B26" s="279" t="s">
        <v>848</v>
      </c>
      <c r="C26" s="279" t="s">
        <v>848</v>
      </c>
      <c r="D26" s="272">
        <v>3801</v>
      </c>
      <c r="E26" s="272">
        <f>D26-'[8]Februaris'!D26</f>
        <v>1271</v>
      </c>
    </row>
    <row r="27" spans="1:5" ht="12.75">
      <c r="A27" s="275" t="s">
        <v>136</v>
      </c>
      <c r="B27" s="274" t="s">
        <v>848</v>
      </c>
      <c r="C27" s="274" t="s">
        <v>848</v>
      </c>
      <c r="D27" s="23">
        <f>D25-D26</f>
        <v>4330</v>
      </c>
      <c r="E27" s="23">
        <f>D27-'[8]Februaris'!D27</f>
        <v>802</v>
      </c>
    </row>
    <row r="28" spans="1:5" ht="12.75">
      <c r="A28" s="273" t="s">
        <v>137</v>
      </c>
      <c r="B28" s="269">
        <f>B20-B21</f>
        <v>-14636</v>
      </c>
      <c r="C28" s="269">
        <f>C20-C21</f>
        <v>6253</v>
      </c>
      <c r="D28" s="23">
        <f>D20-D21</f>
        <v>-8990</v>
      </c>
      <c r="E28" s="23">
        <f>D28-'[8]Februaris'!D28</f>
        <v>-8378</v>
      </c>
    </row>
    <row r="29" spans="1:5" ht="12.75">
      <c r="A29" s="268" t="s">
        <v>138</v>
      </c>
      <c r="B29" s="23">
        <f>B30+B51</f>
        <v>14636</v>
      </c>
      <c r="C29" s="269">
        <f>C30+C51</f>
        <v>-6253</v>
      </c>
      <c r="D29" s="23">
        <f>D30+D51</f>
        <v>8990</v>
      </c>
      <c r="E29" s="23">
        <f>D29-'[8]Februaris'!D29</f>
        <v>8378</v>
      </c>
    </row>
    <row r="30" spans="1:5" ht="12.75">
      <c r="A30" s="268" t="s">
        <v>139</v>
      </c>
      <c r="B30" s="23">
        <f>B31+B36+B41+B47</f>
        <v>18005</v>
      </c>
      <c r="C30" s="269">
        <f>C31+C36+C41+C47</f>
        <v>-6253</v>
      </c>
      <c r="D30" s="269">
        <f>D31+D36+D41+D47</f>
        <v>12359</v>
      </c>
      <c r="E30" s="269">
        <f>D30-'[8]Februaris'!D30</f>
        <v>10592</v>
      </c>
    </row>
    <row r="31" spans="1:5" ht="12.75">
      <c r="A31" s="280" t="s">
        <v>140</v>
      </c>
      <c r="B31" s="281">
        <f>B32+B33</f>
        <v>0</v>
      </c>
      <c r="C31" s="281">
        <f>C32+C33</f>
        <v>-607</v>
      </c>
      <c r="D31" s="281">
        <f>D32+D35</f>
        <v>0</v>
      </c>
      <c r="E31" s="281">
        <f>D31-'[8]Februaris'!D31</f>
        <v>0</v>
      </c>
    </row>
    <row r="32" spans="1:5" ht="12.75">
      <c r="A32" s="270" t="s">
        <v>141</v>
      </c>
      <c r="B32" s="272"/>
      <c r="C32" s="282"/>
      <c r="D32" s="272">
        <f>B32+C32</f>
        <v>0</v>
      </c>
      <c r="E32" s="272">
        <f>D32-'[8]Februaris'!D32</f>
        <v>0</v>
      </c>
    </row>
    <row r="33" spans="1:5" ht="12.75">
      <c r="A33" s="270" t="s">
        <v>142</v>
      </c>
      <c r="B33" s="272"/>
      <c r="C33" s="282">
        <v>-607</v>
      </c>
      <c r="D33" s="272">
        <f>B33+C33</f>
        <v>-607</v>
      </c>
      <c r="E33" s="272">
        <f>D33-'[8]Februaris'!D33</f>
        <v>-769</v>
      </c>
    </row>
    <row r="34" spans="1:5" ht="12.75">
      <c r="A34" s="283" t="s">
        <v>143</v>
      </c>
      <c r="B34" s="279" t="s">
        <v>848</v>
      </c>
      <c r="C34" s="279" t="s">
        <v>848</v>
      </c>
      <c r="D34" s="284">
        <v>607</v>
      </c>
      <c r="E34" s="284">
        <f>D34-'[8]Februaris'!D34</f>
        <v>769</v>
      </c>
    </row>
    <row r="35" spans="1:5" ht="12.75">
      <c r="A35" s="270" t="s">
        <v>144</v>
      </c>
      <c r="B35" s="279" t="s">
        <v>848</v>
      </c>
      <c r="C35" s="279" t="s">
        <v>848</v>
      </c>
      <c r="D35" s="284"/>
      <c r="E35" s="284">
        <f>D35-'[8]Februaris'!D35</f>
        <v>0</v>
      </c>
    </row>
    <row r="36" spans="1:5" ht="12.75">
      <c r="A36" s="285" t="s">
        <v>145</v>
      </c>
      <c r="B36" s="284">
        <f>SUM(B37:B40)</f>
        <v>-18320</v>
      </c>
      <c r="C36" s="281">
        <f>SUM(C37:C40)</f>
        <v>0</v>
      </c>
      <c r="D36" s="284">
        <f aca="true" t="shared" si="0" ref="D36:D50">B36+C36</f>
        <v>-18320</v>
      </c>
      <c r="E36" s="284">
        <f>D36-'[8]Februaris'!D36</f>
        <v>7021</v>
      </c>
    </row>
    <row r="37" spans="1:5" ht="12.75">
      <c r="A37" s="286" t="s">
        <v>146</v>
      </c>
      <c r="B37" s="272">
        <v>-12417</v>
      </c>
      <c r="C37" s="282"/>
      <c r="D37" s="272">
        <f t="shared" si="0"/>
        <v>-12417</v>
      </c>
      <c r="E37" s="272">
        <f>D37-'[8]Februaris'!D37</f>
        <v>16649</v>
      </c>
    </row>
    <row r="38" spans="1:5" ht="12.75">
      <c r="A38" s="286" t="s">
        <v>147</v>
      </c>
      <c r="B38" s="272">
        <v>633</v>
      </c>
      <c r="C38" s="282"/>
      <c r="D38" s="272">
        <f t="shared" si="0"/>
        <v>633</v>
      </c>
      <c r="E38" s="272">
        <f>D38-'[8]Februaris'!D38</f>
        <v>-10190</v>
      </c>
    </row>
    <row r="39" spans="1:5" ht="22.5">
      <c r="A39" s="286" t="s">
        <v>148</v>
      </c>
      <c r="B39" s="272">
        <v>1275</v>
      </c>
      <c r="C39" s="282"/>
      <c r="D39" s="272">
        <f t="shared" si="0"/>
        <v>1275</v>
      </c>
      <c r="E39" s="272">
        <f>D39-'[8]Februaris'!D39</f>
        <v>564</v>
      </c>
    </row>
    <row r="40" spans="1:5" ht="12.75">
      <c r="A40" s="286" t="s">
        <v>149</v>
      </c>
      <c r="B40" s="272">
        <v>-7811</v>
      </c>
      <c r="C40" s="282"/>
      <c r="D40" s="272">
        <f t="shared" si="0"/>
        <v>-7811</v>
      </c>
      <c r="E40" s="272">
        <f>D40-'[8]Februaris'!D40</f>
        <v>-2</v>
      </c>
    </row>
    <row r="41" spans="1:5" ht="12.75">
      <c r="A41" s="287" t="s">
        <v>150</v>
      </c>
      <c r="B41" s="284">
        <f>SUM(B42:B46)</f>
        <v>-3504</v>
      </c>
      <c r="C41" s="282">
        <f>SUM(C42:C46)</f>
        <v>-9090</v>
      </c>
      <c r="D41" s="284">
        <f t="shared" si="0"/>
        <v>-12594</v>
      </c>
      <c r="E41" s="284">
        <f>D41-'[8]Februaris'!D41</f>
        <v>-25174</v>
      </c>
    </row>
    <row r="42" spans="1:5" ht="12.75">
      <c r="A42" s="288" t="s">
        <v>151</v>
      </c>
      <c r="B42" s="272"/>
      <c r="C42" s="282">
        <v>-39</v>
      </c>
      <c r="D42" s="272">
        <f t="shared" si="0"/>
        <v>-39</v>
      </c>
      <c r="E42" s="272">
        <f>D42-'[8]Februaris'!D42</f>
        <v>-25</v>
      </c>
    </row>
    <row r="43" spans="1:5" ht="12.75">
      <c r="A43" s="286" t="s">
        <v>146</v>
      </c>
      <c r="B43" s="272">
        <v>-31991</v>
      </c>
      <c r="C43" s="282"/>
      <c r="D43" s="272">
        <f t="shared" si="0"/>
        <v>-31991</v>
      </c>
      <c r="E43" s="272">
        <f>D43-'[8]Februaris'!D43</f>
        <v>2506</v>
      </c>
    </row>
    <row r="44" spans="1:5" ht="12.75">
      <c r="A44" s="286" t="s">
        <v>147</v>
      </c>
      <c r="B44" s="272">
        <v>-560</v>
      </c>
      <c r="C44" s="282">
        <v>-9051</v>
      </c>
      <c r="D44" s="272">
        <f t="shared" si="0"/>
        <v>-9611</v>
      </c>
      <c r="E44" s="272">
        <f>D44-'[8]Februaris'!D44</f>
        <v>260</v>
      </c>
    </row>
    <row r="45" spans="1:5" ht="22.5">
      <c r="A45" s="286" t="s">
        <v>148</v>
      </c>
      <c r="B45" s="272">
        <v>-200</v>
      </c>
      <c r="C45" s="282"/>
      <c r="D45" s="272">
        <f t="shared" si="0"/>
        <v>-200</v>
      </c>
      <c r="E45" s="272">
        <f>D45-'[8]Februaris'!D45</f>
        <v>-128</v>
      </c>
    </row>
    <row r="46" spans="1:5" ht="12.75">
      <c r="A46" s="286" t="s">
        <v>149</v>
      </c>
      <c r="B46" s="272">
        <v>29247</v>
      </c>
      <c r="C46" s="282"/>
      <c r="D46" s="272">
        <f t="shared" si="0"/>
        <v>29247</v>
      </c>
      <c r="E46" s="272">
        <f>D46-'[8]Februaris'!D46</f>
        <v>-27787</v>
      </c>
    </row>
    <row r="47" spans="1:5" ht="12.75">
      <c r="A47" s="287" t="s">
        <v>152</v>
      </c>
      <c r="B47" s="284">
        <f>SUM(B48:B50)</f>
        <v>39829</v>
      </c>
      <c r="C47" s="284">
        <f>SUM(C48:C50)</f>
        <v>3444</v>
      </c>
      <c r="D47" s="272">
        <f t="shared" si="0"/>
        <v>43273</v>
      </c>
      <c r="E47" s="272">
        <f>D47-'[8]Februaris'!D47</f>
        <v>28745</v>
      </c>
    </row>
    <row r="48" spans="1:5" ht="22.5">
      <c r="A48" s="286" t="s">
        <v>153</v>
      </c>
      <c r="B48" s="284">
        <v>3563</v>
      </c>
      <c r="C48" s="281">
        <v>2695</v>
      </c>
      <c r="D48" s="272">
        <f t="shared" si="0"/>
        <v>6258</v>
      </c>
      <c r="E48" s="272">
        <f>D48-'[8]Februaris'!D48</f>
        <v>4499</v>
      </c>
    </row>
    <row r="49" spans="1:5" ht="22.5" customHeight="1">
      <c r="A49" s="286" t="s">
        <v>154</v>
      </c>
      <c r="B49" s="284">
        <v>26430</v>
      </c>
      <c r="C49" s="281"/>
      <c r="D49" s="272">
        <f t="shared" si="0"/>
        <v>26430</v>
      </c>
      <c r="E49" s="272">
        <f>D49-'[8]Februaris'!D49</f>
        <v>25726</v>
      </c>
    </row>
    <row r="50" spans="1:5" ht="12.75">
      <c r="A50" s="286" t="s">
        <v>155</v>
      </c>
      <c r="B50" s="284">
        <v>9836</v>
      </c>
      <c r="C50" s="281">
        <v>749</v>
      </c>
      <c r="D50" s="272">
        <f t="shared" si="0"/>
        <v>10585</v>
      </c>
      <c r="E50" s="272">
        <f>D50-'[8]Februaris'!D50</f>
        <v>-1480</v>
      </c>
    </row>
    <row r="51" spans="1:5" ht="12.75">
      <c r="A51" s="118" t="s">
        <v>156</v>
      </c>
      <c r="B51" s="23">
        <f>SUM(B52:B53)</f>
        <v>-3369</v>
      </c>
      <c r="C51" s="269"/>
      <c r="D51" s="23">
        <f>B51+C51</f>
        <v>-3369</v>
      </c>
      <c r="E51" s="23">
        <f>D51-'[8]Februaris'!D51</f>
        <v>-2214</v>
      </c>
    </row>
    <row r="52" spans="1:5" ht="12.75">
      <c r="A52" s="287" t="s">
        <v>157</v>
      </c>
      <c r="B52" s="272">
        <v>-2076</v>
      </c>
      <c r="C52" s="282"/>
      <c r="D52" s="284">
        <f>B52+C52</f>
        <v>-2076</v>
      </c>
      <c r="E52" s="284">
        <f>D52-'[8]Februaris'!D52</f>
        <v>-956</v>
      </c>
    </row>
    <row r="53" spans="1:5" ht="12.75">
      <c r="A53" s="287" t="s">
        <v>158</v>
      </c>
      <c r="B53" s="272">
        <v>-1293</v>
      </c>
      <c r="C53" s="282"/>
      <c r="D53" s="284">
        <f>B53+C53</f>
        <v>-1293</v>
      </c>
      <c r="E53" s="284">
        <f>D53-'[8]Februaris'!D53</f>
        <v>-1258</v>
      </c>
    </row>
    <row r="54" spans="1:5" s="3" customFormat="1" ht="11.25">
      <c r="A54" s="289"/>
      <c r="B54" s="290"/>
      <c r="C54" s="291"/>
      <c r="D54" s="292"/>
      <c r="E54" s="293"/>
    </row>
    <row r="55" spans="1:5" ht="12.75">
      <c r="A55" s="760"/>
      <c r="B55" s="760"/>
      <c r="C55" s="760"/>
      <c r="D55" s="760"/>
      <c r="E55" s="294"/>
    </row>
    <row r="57" spans="1:5" ht="12.75">
      <c r="A57" s="80" t="s">
        <v>159</v>
      </c>
      <c r="B57" s="9"/>
      <c r="C57" s="9"/>
      <c r="D57" s="9"/>
      <c r="E57" s="82"/>
    </row>
    <row r="58" spans="1:5" ht="12.75">
      <c r="A58" s="3"/>
      <c r="B58" s="3"/>
      <c r="C58" s="291"/>
      <c r="D58" s="295"/>
      <c r="E58" s="296"/>
    </row>
    <row r="59" spans="2:5" ht="12.75">
      <c r="B59" s="297"/>
      <c r="C59" s="298"/>
      <c r="D59" s="213"/>
      <c r="E59" s="294"/>
    </row>
    <row r="60" spans="1:5" ht="12.75">
      <c r="A60" s="3" t="s">
        <v>831</v>
      </c>
      <c r="B60" s="297"/>
      <c r="C60" s="298"/>
      <c r="D60" s="213"/>
      <c r="E60" s="294"/>
    </row>
    <row r="61" ht="12.75">
      <c r="A61" s="3" t="s">
        <v>832</v>
      </c>
    </row>
  </sheetData>
  <mergeCells count="4">
    <mergeCell ref="A3:C3"/>
    <mergeCell ref="A6:E7"/>
    <mergeCell ref="A8:E8"/>
    <mergeCell ref="A55:D55"/>
  </mergeCells>
  <printOptions/>
  <pageMargins left="0.75" right="0.19" top="0.36" bottom="0.32" header="0.17" footer="0.5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">
      <selection activeCell="F13" sqref="F13"/>
    </sheetView>
  </sheetViews>
  <sheetFormatPr defaultColWidth="9.140625" defaultRowHeight="12.75"/>
  <cols>
    <col min="1" max="1" width="29.57421875" style="0" customWidth="1"/>
    <col min="2" max="2" width="12.7109375" style="0" customWidth="1"/>
  </cols>
  <sheetData>
    <row r="1" spans="1:5" ht="12.75">
      <c r="A1" s="5"/>
      <c r="B1" s="1"/>
      <c r="C1" s="1"/>
      <c r="D1" s="1"/>
      <c r="E1" s="10" t="s">
        <v>870</v>
      </c>
    </row>
    <row r="2" spans="1:5" ht="12.75">
      <c r="A2" s="760" t="s">
        <v>740</v>
      </c>
      <c r="B2" s="760"/>
      <c r="C2" s="760"/>
      <c r="D2" s="760"/>
      <c r="E2" s="760"/>
    </row>
    <row r="3" spans="1:5" ht="12.75">
      <c r="A3" s="9"/>
      <c r="B3" s="9"/>
      <c r="C3" s="9"/>
      <c r="D3" s="9"/>
      <c r="E3" s="9"/>
    </row>
    <row r="4" spans="1:5" ht="15.75">
      <c r="A4" s="756" t="s">
        <v>871</v>
      </c>
      <c r="B4" s="756"/>
      <c r="C4" s="756"/>
      <c r="D4" s="756"/>
      <c r="E4" s="756"/>
    </row>
    <row r="5" spans="1:5" ht="12.75">
      <c r="A5" s="738" t="s">
        <v>872</v>
      </c>
      <c r="B5" s="738"/>
      <c r="C5" s="738"/>
      <c r="D5" s="738"/>
      <c r="E5" s="738"/>
    </row>
    <row r="6" spans="1:5" ht="12.75">
      <c r="A6" s="49"/>
      <c r="B6" s="49"/>
      <c r="C6" s="49"/>
      <c r="D6" s="49"/>
      <c r="E6" s="10" t="s">
        <v>837</v>
      </c>
    </row>
    <row r="7" spans="1:5" ht="60">
      <c r="A7" s="91" t="s">
        <v>748</v>
      </c>
      <c r="B7" s="128" t="s">
        <v>750</v>
      </c>
      <c r="C7" s="128" t="s">
        <v>751</v>
      </c>
      <c r="D7" s="128" t="s">
        <v>873</v>
      </c>
      <c r="E7" s="129" t="s">
        <v>797</v>
      </c>
    </row>
    <row r="8" spans="1:5" ht="12.75">
      <c r="A8" s="91">
        <v>1</v>
      </c>
      <c r="B8" s="130">
        <v>2</v>
      </c>
      <c r="C8" s="130">
        <v>3</v>
      </c>
      <c r="D8" s="130">
        <v>4</v>
      </c>
      <c r="E8" s="131">
        <v>5</v>
      </c>
    </row>
    <row r="9" spans="1:5" ht="15">
      <c r="A9" s="132" t="s">
        <v>874</v>
      </c>
      <c r="B9" s="133">
        <v>2068</v>
      </c>
      <c r="C9" s="133">
        <v>1017</v>
      </c>
      <c r="D9" s="134">
        <v>49.177949709864606</v>
      </c>
      <c r="E9" s="133">
        <v>423</v>
      </c>
    </row>
    <row r="10" spans="1:5" ht="15">
      <c r="A10" s="135" t="s">
        <v>875</v>
      </c>
      <c r="B10" s="136">
        <v>2353</v>
      </c>
      <c r="C10" s="136">
        <v>964</v>
      </c>
      <c r="D10" s="134">
        <v>40.96897577560561</v>
      </c>
      <c r="E10" s="136">
        <v>374.5</v>
      </c>
    </row>
    <row r="11" spans="1:5" ht="14.25">
      <c r="A11" s="137" t="s">
        <v>876</v>
      </c>
      <c r="B11" s="111">
        <v>2070</v>
      </c>
      <c r="C11" s="111">
        <v>870</v>
      </c>
      <c r="D11" s="138">
        <v>42.028985507246375</v>
      </c>
      <c r="E11" s="136">
        <v>333.5</v>
      </c>
    </row>
    <row r="12" spans="1:5" ht="14.25">
      <c r="A12" s="137" t="s">
        <v>877</v>
      </c>
      <c r="B12" s="111">
        <v>283</v>
      </c>
      <c r="C12" s="111">
        <v>94</v>
      </c>
      <c r="D12" s="138">
        <v>33.215547703180206</v>
      </c>
      <c r="E12" s="136">
        <v>41</v>
      </c>
    </row>
    <row r="13" spans="1:5" ht="12.75">
      <c r="A13" s="96" t="s">
        <v>878</v>
      </c>
      <c r="B13" s="25"/>
      <c r="C13" s="25"/>
      <c r="D13" s="138"/>
      <c r="E13" s="25"/>
    </row>
    <row r="14" spans="1:5" ht="12.75">
      <c r="A14" s="139" t="s">
        <v>879</v>
      </c>
      <c r="B14" s="25">
        <v>0</v>
      </c>
      <c r="C14" s="25">
        <v>0</v>
      </c>
      <c r="D14" s="138"/>
      <c r="E14" s="25">
        <v>0</v>
      </c>
    </row>
    <row r="15" spans="1:5" ht="12.75">
      <c r="A15" s="107" t="s">
        <v>799</v>
      </c>
      <c r="B15" s="25">
        <v>0</v>
      </c>
      <c r="C15" s="25">
        <v>0</v>
      </c>
      <c r="D15" s="138"/>
      <c r="E15" s="140">
        <v>0</v>
      </c>
    </row>
    <row r="16" spans="1:5" ht="12.75">
      <c r="A16" s="141" t="s">
        <v>876</v>
      </c>
      <c r="B16" s="140">
        <v>0</v>
      </c>
      <c r="C16" s="140">
        <v>0</v>
      </c>
      <c r="D16" s="138"/>
      <c r="E16" s="140">
        <v>0</v>
      </c>
    </row>
    <row r="17" spans="1:5" ht="12.75">
      <c r="A17" s="141" t="s">
        <v>877</v>
      </c>
      <c r="B17" s="140">
        <v>0</v>
      </c>
      <c r="C17" s="140">
        <v>0</v>
      </c>
      <c r="D17" s="138"/>
      <c r="E17" s="140">
        <v>0</v>
      </c>
    </row>
    <row r="18" spans="1:5" ht="12.75">
      <c r="A18" s="142" t="s">
        <v>762</v>
      </c>
      <c r="B18" s="25"/>
      <c r="C18" s="25"/>
      <c r="D18" s="138"/>
      <c r="E18" s="25"/>
    </row>
    <row r="19" spans="1:5" ht="12.75">
      <c r="A19" s="139" t="s">
        <v>879</v>
      </c>
      <c r="B19" s="25">
        <v>14</v>
      </c>
      <c r="C19" s="25">
        <v>0</v>
      </c>
      <c r="D19" s="143">
        <v>0</v>
      </c>
      <c r="E19" s="140">
        <v>0</v>
      </c>
    </row>
    <row r="20" spans="1:5" ht="12.75">
      <c r="A20" s="107" t="s">
        <v>875</v>
      </c>
      <c r="B20" s="25">
        <v>14</v>
      </c>
      <c r="C20" s="25">
        <v>5</v>
      </c>
      <c r="D20" s="143">
        <v>35.714285714285715</v>
      </c>
      <c r="E20" s="140">
        <v>2</v>
      </c>
    </row>
    <row r="21" spans="1:5" ht="12.75">
      <c r="A21" s="141" t="s">
        <v>876</v>
      </c>
      <c r="B21" s="140">
        <v>14</v>
      </c>
      <c r="C21" s="140">
        <v>5</v>
      </c>
      <c r="D21" s="144">
        <v>35.714285714285715</v>
      </c>
      <c r="E21" s="140">
        <v>2</v>
      </c>
    </row>
    <row r="22" spans="1:5" ht="12.75">
      <c r="A22" s="141" t="s">
        <v>877</v>
      </c>
      <c r="B22" s="140">
        <v>0</v>
      </c>
      <c r="C22" s="140">
        <v>0</v>
      </c>
      <c r="D22" s="144">
        <v>0</v>
      </c>
      <c r="E22" s="140">
        <v>0</v>
      </c>
    </row>
    <row r="23" spans="1:5" ht="12.75">
      <c r="A23" s="142" t="s">
        <v>764</v>
      </c>
      <c r="B23" s="25"/>
      <c r="C23" s="25"/>
      <c r="D23" s="138"/>
      <c r="E23" s="140"/>
    </row>
    <row r="24" spans="1:5" ht="12.75">
      <c r="A24" s="139" t="s">
        <v>879</v>
      </c>
      <c r="B24" s="25">
        <v>2</v>
      </c>
      <c r="C24" s="25">
        <v>0</v>
      </c>
      <c r="D24" s="143">
        <v>0</v>
      </c>
      <c r="E24" s="140">
        <v>0</v>
      </c>
    </row>
    <row r="25" spans="1:5" ht="12.75">
      <c r="A25" s="107" t="s">
        <v>875</v>
      </c>
      <c r="B25" s="25">
        <v>18</v>
      </c>
      <c r="C25" s="25">
        <v>7</v>
      </c>
      <c r="D25" s="143">
        <v>38.88888888888889</v>
      </c>
      <c r="E25" s="140">
        <v>0</v>
      </c>
    </row>
    <row r="26" spans="1:5" ht="12.75">
      <c r="A26" s="141" t="s">
        <v>876</v>
      </c>
      <c r="B26" s="140">
        <v>18</v>
      </c>
      <c r="C26" s="140">
        <v>7</v>
      </c>
      <c r="D26" s="144">
        <v>38.88888888888889</v>
      </c>
      <c r="E26" s="140">
        <v>0</v>
      </c>
    </row>
    <row r="27" spans="1:5" ht="12.75">
      <c r="A27" s="141" t="s">
        <v>877</v>
      </c>
      <c r="B27" s="140">
        <v>0</v>
      </c>
      <c r="C27" s="140">
        <v>0</v>
      </c>
      <c r="D27" s="144">
        <v>0</v>
      </c>
      <c r="E27" s="140">
        <v>0</v>
      </c>
    </row>
    <row r="28" spans="1:5" ht="12.75">
      <c r="A28" s="142" t="s">
        <v>880</v>
      </c>
      <c r="B28" s="25"/>
      <c r="C28" s="25"/>
      <c r="D28" s="138"/>
      <c r="E28" s="140"/>
    </row>
    <row r="29" spans="1:5" ht="12.75">
      <c r="A29" s="139" t="s">
        <v>879</v>
      </c>
      <c r="B29" s="25">
        <v>17</v>
      </c>
      <c r="C29" s="25">
        <v>8</v>
      </c>
      <c r="D29" s="143">
        <v>47.05882352941176</v>
      </c>
      <c r="E29" s="140">
        <v>0</v>
      </c>
    </row>
    <row r="30" spans="1:5" ht="12.75">
      <c r="A30" s="107" t="s">
        <v>875</v>
      </c>
      <c r="B30" s="25">
        <v>17</v>
      </c>
      <c r="C30" s="25">
        <v>6</v>
      </c>
      <c r="D30" s="143">
        <v>35.294117647058826</v>
      </c>
      <c r="E30" s="140">
        <v>4</v>
      </c>
    </row>
    <row r="31" spans="1:5" ht="12.75">
      <c r="A31" s="141" t="s">
        <v>876</v>
      </c>
      <c r="B31" s="140">
        <v>4</v>
      </c>
      <c r="C31" s="140">
        <v>1</v>
      </c>
      <c r="D31" s="144">
        <v>25</v>
      </c>
      <c r="E31" s="140">
        <v>0</v>
      </c>
    </row>
    <row r="32" spans="1:5" ht="12.75">
      <c r="A32" s="141" t="s">
        <v>877</v>
      </c>
      <c r="B32" s="140">
        <v>13</v>
      </c>
      <c r="C32" s="140">
        <v>5</v>
      </c>
      <c r="D32" s="144">
        <v>38.46153846153847</v>
      </c>
      <c r="E32" s="140">
        <v>4</v>
      </c>
    </row>
    <row r="33" spans="1:5" ht="12.75">
      <c r="A33" s="142" t="s">
        <v>766</v>
      </c>
      <c r="B33" s="25"/>
      <c r="C33" s="25"/>
      <c r="D33" s="144"/>
      <c r="E33" s="140"/>
    </row>
    <row r="34" spans="1:5" ht="12.75">
      <c r="A34" s="139" t="s">
        <v>879</v>
      </c>
      <c r="B34" s="25">
        <v>6</v>
      </c>
      <c r="C34" s="25">
        <v>3</v>
      </c>
      <c r="D34" s="143">
        <v>50</v>
      </c>
      <c r="E34" s="140">
        <v>3</v>
      </c>
    </row>
    <row r="35" spans="1:5" ht="12.75">
      <c r="A35" s="107" t="s">
        <v>875</v>
      </c>
      <c r="B35" s="25">
        <v>6</v>
      </c>
      <c r="C35" s="25">
        <v>3</v>
      </c>
      <c r="D35" s="143">
        <v>50</v>
      </c>
      <c r="E35" s="140">
        <v>3</v>
      </c>
    </row>
    <row r="36" spans="1:5" ht="12.75">
      <c r="A36" s="141" t="s">
        <v>876</v>
      </c>
      <c r="B36" s="140">
        <v>6</v>
      </c>
      <c r="C36" s="140">
        <v>3</v>
      </c>
      <c r="D36" s="144">
        <v>50</v>
      </c>
      <c r="E36" s="140">
        <v>3</v>
      </c>
    </row>
    <row r="37" spans="1:5" ht="12.75">
      <c r="A37" s="141" t="s">
        <v>877</v>
      </c>
      <c r="B37" s="140">
        <v>0</v>
      </c>
      <c r="C37" s="140">
        <v>0</v>
      </c>
      <c r="D37" s="144">
        <v>0</v>
      </c>
      <c r="E37" s="140">
        <v>0</v>
      </c>
    </row>
    <row r="38" spans="1:5" ht="12.75">
      <c r="A38" s="142" t="s">
        <v>767</v>
      </c>
      <c r="B38" s="25"/>
      <c r="C38" s="25"/>
      <c r="D38" s="138"/>
      <c r="E38" s="140"/>
    </row>
    <row r="39" spans="1:5" ht="12.75">
      <c r="A39" s="139" t="s">
        <v>879</v>
      </c>
      <c r="B39" s="25">
        <v>37</v>
      </c>
      <c r="C39" s="25">
        <v>35</v>
      </c>
      <c r="D39" s="143">
        <v>94.5945945945946</v>
      </c>
      <c r="E39" s="140">
        <v>4</v>
      </c>
    </row>
    <row r="40" spans="1:5" ht="12.75">
      <c r="A40" s="107" t="s">
        <v>881</v>
      </c>
      <c r="B40" s="25">
        <v>39</v>
      </c>
      <c r="C40" s="25">
        <v>35</v>
      </c>
      <c r="D40" s="143">
        <v>89.74358974358975</v>
      </c>
      <c r="E40" s="140">
        <v>11</v>
      </c>
    </row>
    <row r="41" spans="1:5" ht="12.75">
      <c r="A41" s="141" t="s">
        <v>876</v>
      </c>
      <c r="B41" s="140">
        <v>39</v>
      </c>
      <c r="C41" s="140">
        <v>35</v>
      </c>
      <c r="D41" s="144">
        <v>89.74358974358975</v>
      </c>
      <c r="E41" s="140">
        <v>11</v>
      </c>
    </row>
    <row r="42" spans="1:5" ht="12.75">
      <c r="A42" s="141" t="s">
        <v>877</v>
      </c>
      <c r="B42" s="140">
        <v>0</v>
      </c>
      <c r="C42" s="140">
        <v>0</v>
      </c>
      <c r="D42" s="144">
        <v>0</v>
      </c>
      <c r="E42" s="140">
        <v>0</v>
      </c>
    </row>
    <row r="43" spans="1:5" ht="12.75">
      <c r="A43" s="142" t="s">
        <v>768</v>
      </c>
      <c r="B43" s="25"/>
      <c r="C43" s="25"/>
      <c r="D43" s="144"/>
      <c r="E43" s="140"/>
    </row>
    <row r="44" spans="1:5" ht="12.75">
      <c r="A44" s="139" t="s">
        <v>879</v>
      </c>
      <c r="B44" s="25">
        <v>38</v>
      </c>
      <c r="C44" s="25">
        <v>34</v>
      </c>
      <c r="D44" s="143">
        <v>89.47368421052632</v>
      </c>
      <c r="E44" s="140">
        <v>0</v>
      </c>
    </row>
    <row r="45" spans="1:5" ht="12.75">
      <c r="A45" s="107" t="s">
        <v>875</v>
      </c>
      <c r="B45" s="25">
        <v>38</v>
      </c>
      <c r="C45" s="25">
        <v>36</v>
      </c>
      <c r="D45" s="143">
        <v>94.73684210526315</v>
      </c>
      <c r="E45" s="140">
        <v>1</v>
      </c>
    </row>
    <row r="46" spans="1:5" ht="12.75">
      <c r="A46" s="141" t="s">
        <v>876</v>
      </c>
      <c r="B46" s="140">
        <v>38</v>
      </c>
      <c r="C46" s="140">
        <v>36</v>
      </c>
      <c r="D46" s="144">
        <v>94.73684210526315</v>
      </c>
      <c r="E46" s="140">
        <v>1</v>
      </c>
    </row>
    <row r="47" spans="1:5" ht="12.75">
      <c r="A47" s="141" t="s">
        <v>877</v>
      </c>
      <c r="B47" s="140">
        <v>0</v>
      </c>
      <c r="C47" s="140">
        <v>0</v>
      </c>
      <c r="D47" s="144">
        <v>0</v>
      </c>
      <c r="E47" s="140">
        <v>0</v>
      </c>
    </row>
    <row r="48" spans="1:5" ht="12.75">
      <c r="A48" s="142" t="s">
        <v>769</v>
      </c>
      <c r="B48" s="25"/>
      <c r="C48" s="25"/>
      <c r="D48" s="138"/>
      <c r="E48" s="140"/>
    </row>
    <row r="49" spans="1:5" ht="12.75">
      <c r="A49" s="139" t="s">
        <v>879</v>
      </c>
      <c r="B49" s="25">
        <v>188</v>
      </c>
      <c r="C49" s="25">
        <v>57</v>
      </c>
      <c r="D49" s="143">
        <v>30.319148936170215</v>
      </c>
      <c r="E49" s="140">
        <v>36</v>
      </c>
    </row>
    <row r="50" spans="1:5" ht="12.75">
      <c r="A50" s="107" t="s">
        <v>875</v>
      </c>
      <c r="B50" s="25">
        <v>194</v>
      </c>
      <c r="C50" s="25">
        <v>43</v>
      </c>
      <c r="D50" s="143">
        <v>22.164948453608247</v>
      </c>
      <c r="E50" s="140">
        <v>23</v>
      </c>
    </row>
    <row r="51" spans="1:5" ht="12.75">
      <c r="A51" s="141" t="s">
        <v>876</v>
      </c>
      <c r="B51" s="140">
        <v>115</v>
      </c>
      <c r="C51" s="140">
        <v>30</v>
      </c>
      <c r="D51" s="144">
        <v>26.08695652173913</v>
      </c>
      <c r="E51" s="140">
        <v>16</v>
      </c>
    </row>
    <row r="52" spans="1:5" ht="12.75">
      <c r="A52" s="141" t="s">
        <v>877</v>
      </c>
      <c r="B52" s="140">
        <v>79</v>
      </c>
      <c r="C52" s="140">
        <v>13</v>
      </c>
      <c r="D52" s="144">
        <v>16.455696202531644</v>
      </c>
      <c r="E52" s="140">
        <v>7</v>
      </c>
    </row>
    <row r="53" spans="1:5" ht="12.75">
      <c r="A53" s="142" t="s">
        <v>770</v>
      </c>
      <c r="B53" s="25"/>
      <c r="C53" s="25"/>
      <c r="D53" s="138"/>
      <c r="E53" s="140"/>
    </row>
    <row r="54" spans="1:5" ht="12.75">
      <c r="A54" s="139" t="s">
        <v>879</v>
      </c>
      <c r="B54" s="25">
        <v>796</v>
      </c>
      <c r="C54" s="25">
        <v>381</v>
      </c>
      <c r="D54" s="143">
        <v>47.8643216080402</v>
      </c>
      <c r="E54" s="140">
        <v>152</v>
      </c>
    </row>
    <row r="55" spans="1:5" ht="12.75">
      <c r="A55" s="107" t="s">
        <v>875</v>
      </c>
      <c r="B55" s="25">
        <v>825</v>
      </c>
      <c r="C55" s="25">
        <v>333</v>
      </c>
      <c r="D55" s="143">
        <v>40.36363636363636</v>
      </c>
      <c r="E55" s="140">
        <v>118</v>
      </c>
    </row>
    <row r="56" spans="1:5" ht="12.75">
      <c r="A56" s="141" t="s">
        <v>876</v>
      </c>
      <c r="B56" s="140">
        <v>753</v>
      </c>
      <c r="C56" s="140">
        <v>317</v>
      </c>
      <c r="D56" s="144">
        <v>42.09827357237716</v>
      </c>
      <c r="E56" s="140">
        <v>114</v>
      </c>
    </row>
    <row r="57" spans="1:5" ht="12.75">
      <c r="A57" s="141" t="s">
        <v>877</v>
      </c>
      <c r="B57" s="140">
        <v>72</v>
      </c>
      <c r="C57" s="140">
        <v>16</v>
      </c>
      <c r="D57" s="144">
        <v>22.22222222222222</v>
      </c>
      <c r="E57" s="140">
        <v>4</v>
      </c>
    </row>
    <row r="58" spans="1:5" ht="12.75">
      <c r="A58" s="142" t="s">
        <v>771</v>
      </c>
      <c r="B58" s="25"/>
      <c r="C58" s="25"/>
      <c r="D58" s="138"/>
      <c r="E58" s="140"/>
    </row>
    <row r="59" spans="1:5" ht="12.75">
      <c r="A59" s="139" t="s">
        <v>879</v>
      </c>
      <c r="B59" s="25">
        <v>207</v>
      </c>
      <c r="C59" s="25">
        <v>97</v>
      </c>
      <c r="D59" s="143">
        <v>46.85990338164252</v>
      </c>
      <c r="E59" s="140">
        <v>48</v>
      </c>
    </row>
    <row r="60" spans="1:5" ht="12.75">
      <c r="A60" s="107" t="s">
        <v>875</v>
      </c>
      <c r="B60" s="25">
        <v>210</v>
      </c>
      <c r="C60" s="25">
        <v>86</v>
      </c>
      <c r="D60" s="143">
        <v>40.95238095238095</v>
      </c>
      <c r="E60" s="140">
        <v>33</v>
      </c>
    </row>
    <row r="61" spans="1:5" ht="12.75">
      <c r="A61" s="141" t="s">
        <v>876</v>
      </c>
      <c r="B61" s="140">
        <v>176</v>
      </c>
      <c r="C61" s="140">
        <v>71</v>
      </c>
      <c r="D61" s="144">
        <v>40.340909090909086</v>
      </c>
      <c r="E61" s="140">
        <v>32</v>
      </c>
    </row>
    <row r="62" spans="1:5" ht="12.75">
      <c r="A62" s="141" t="s">
        <v>877</v>
      </c>
      <c r="B62" s="140">
        <v>34</v>
      </c>
      <c r="C62" s="140">
        <v>15</v>
      </c>
      <c r="D62" s="144">
        <v>44.11764705882353</v>
      </c>
      <c r="E62" s="140">
        <v>1</v>
      </c>
    </row>
    <row r="63" spans="1:5" ht="12.75">
      <c r="A63" s="142" t="s">
        <v>772</v>
      </c>
      <c r="B63" s="25"/>
      <c r="C63" s="25"/>
      <c r="D63" s="138"/>
      <c r="E63" s="140"/>
    </row>
    <row r="64" spans="1:5" ht="12.75">
      <c r="A64" s="139" t="s">
        <v>879</v>
      </c>
      <c r="B64" s="25">
        <v>0</v>
      </c>
      <c r="C64" s="25">
        <v>0</v>
      </c>
      <c r="D64" s="25">
        <v>0</v>
      </c>
      <c r="E64" s="140">
        <v>0</v>
      </c>
    </row>
    <row r="65" spans="1:5" ht="12.75">
      <c r="A65" s="107" t="s">
        <v>875</v>
      </c>
      <c r="B65" s="25">
        <v>0</v>
      </c>
      <c r="C65" s="25">
        <v>0</v>
      </c>
      <c r="D65" s="25">
        <v>0</v>
      </c>
      <c r="E65" s="140">
        <v>0</v>
      </c>
    </row>
    <row r="66" spans="1:5" ht="12.75">
      <c r="A66" s="141" t="s">
        <v>876</v>
      </c>
      <c r="B66" s="140">
        <v>0</v>
      </c>
      <c r="C66" s="140">
        <v>0</v>
      </c>
      <c r="D66" s="144"/>
      <c r="E66" s="140">
        <v>0</v>
      </c>
    </row>
    <row r="67" spans="1:5" ht="12.75">
      <c r="A67" s="141" t="s">
        <v>877</v>
      </c>
      <c r="B67" s="140">
        <v>0</v>
      </c>
      <c r="C67" s="140">
        <v>0</v>
      </c>
      <c r="D67" s="144"/>
      <c r="E67" s="140">
        <v>0</v>
      </c>
    </row>
    <row r="68" spans="1:5" ht="12.75">
      <c r="A68" s="142" t="s">
        <v>773</v>
      </c>
      <c r="B68" s="25"/>
      <c r="C68" s="25"/>
      <c r="D68" s="138"/>
      <c r="E68" s="140"/>
    </row>
    <row r="69" spans="1:5" ht="12.75">
      <c r="A69" s="139" t="s">
        <v>879</v>
      </c>
      <c r="B69" s="25">
        <v>241</v>
      </c>
      <c r="C69" s="25">
        <v>138</v>
      </c>
      <c r="D69" s="143">
        <v>57.26141078838174</v>
      </c>
      <c r="E69" s="140">
        <v>77</v>
      </c>
    </row>
    <row r="70" spans="1:5" ht="12.75">
      <c r="A70" s="107" t="s">
        <v>875</v>
      </c>
      <c r="B70" s="25">
        <v>303</v>
      </c>
      <c r="C70" s="25">
        <v>182</v>
      </c>
      <c r="D70" s="143">
        <v>60.066006600660074</v>
      </c>
      <c r="E70" s="140">
        <v>64</v>
      </c>
    </row>
    <row r="71" spans="1:5" ht="12.75">
      <c r="A71" s="141" t="s">
        <v>876</v>
      </c>
      <c r="B71" s="140">
        <v>284</v>
      </c>
      <c r="C71" s="140">
        <v>173</v>
      </c>
      <c r="D71" s="144">
        <v>60.91549295774647</v>
      </c>
      <c r="E71" s="140">
        <v>62</v>
      </c>
    </row>
    <row r="72" spans="1:5" ht="12.75">
      <c r="A72" s="141" t="s">
        <v>877</v>
      </c>
      <c r="B72" s="140">
        <v>19</v>
      </c>
      <c r="C72" s="140">
        <v>9</v>
      </c>
      <c r="D72" s="144">
        <v>47.368421052631575</v>
      </c>
      <c r="E72" s="140">
        <v>2</v>
      </c>
    </row>
    <row r="73" spans="1:5" ht="12.75">
      <c r="A73" s="142" t="s">
        <v>882</v>
      </c>
      <c r="B73" s="25"/>
      <c r="C73" s="25"/>
      <c r="D73" s="138"/>
      <c r="E73" s="140"/>
    </row>
    <row r="74" spans="1:5" ht="12.75">
      <c r="A74" s="139" t="s">
        <v>879</v>
      </c>
      <c r="B74" s="25">
        <v>80</v>
      </c>
      <c r="C74" s="25">
        <v>14</v>
      </c>
      <c r="D74" s="143">
        <v>17.5</v>
      </c>
      <c r="E74" s="140">
        <v>1</v>
      </c>
    </row>
    <row r="75" spans="1:5" ht="12.75">
      <c r="A75" s="107" t="s">
        <v>875</v>
      </c>
      <c r="B75" s="25">
        <v>87</v>
      </c>
      <c r="C75" s="25">
        <v>10</v>
      </c>
      <c r="D75" s="143">
        <v>11.494252873563218</v>
      </c>
      <c r="E75" s="140">
        <v>5</v>
      </c>
    </row>
    <row r="76" spans="1:5" ht="12.75">
      <c r="A76" s="141" t="s">
        <v>876</v>
      </c>
      <c r="B76" s="140">
        <v>86</v>
      </c>
      <c r="C76" s="140">
        <v>9</v>
      </c>
      <c r="D76" s="144">
        <v>10.465116279069768</v>
      </c>
      <c r="E76" s="140">
        <v>4</v>
      </c>
    </row>
    <row r="77" spans="1:5" ht="12.75">
      <c r="A77" s="141" t="s">
        <v>877</v>
      </c>
      <c r="B77" s="140">
        <v>1</v>
      </c>
      <c r="C77" s="140">
        <v>1</v>
      </c>
      <c r="D77" s="144">
        <v>100</v>
      </c>
      <c r="E77" s="140">
        <v>1</v>
      </c>
    </row>
    <row r="78" spans="1:5" ht="25.5">
      <c r="A78" s="96" t="s">
        <v>883</v>
      </c>
      <c r="B78" s="25"/>
      <c r="C78" s="25"/>
      <c r="D78" s="138"/>
      <c r="E78" s="140"/>
    </row>
    <row r="79" spans="1:5" ht="12.75">
      <c r="A79" s="139" t="s">
        <v>879</v>
      </c>
      <c r="B79" s="25">
        <v>20</v>
      </c>
      <c r="C79" s="25">
        <v>6</v>
      </c>
      <c r="D79" s="143">
        <v>30</v>
      </c>
      <c r="E79" s="140">
        <v>0</v>
      </c>
    </row>
    <row r="80" spans="1:5" ht="12.75">
      <c r="A80" s="107" t="s">
        <v>875</v>
      </c>
      <c r="B80" s="25">
        <v>82</v>
      </c>
      <c r="C80" s="25">
        <v>12</v>
      </c>
      <c r="D80" s="143">
        <v>14.634146341463413</v>
      </c>
      <c r="E80" s="140">
        <v>9</v>
      </c>
    </row>
    <row r="81" spans="1:5" ht="12.75">
      <c r="A81" s="141" t="s">
        <v>876</v>
      </c>
      <c r="B81" s="140">
        <v>75</v>
      </c>
      <c r="C81" s="140">
        <v>5</v>
      </c>
      <c r="D81" s="144">
        <v>6.666666666666667</v>
      </c>
      <c r="E81" s="140">
        <v>2</v>
      </c>
    </row>
    <row r="82" spans="1:5" ht="12.75">
      <c r="A82" s="141" t="s">
        <v>877</v>
      </c>
      <c r="B82" s="140">
        <v>7</v>
      </c>
      <c r="C82" s="140">
        <v>7</v>
      </c>
      <c r="D82" s="144">
        <v>100</v>
      </c>
      <c r="E82" s="140">
        <v>7</v>
      </c>
    </row>
    <row r="83" spans="1:5" ht="12.75">
      <c r="A83" s="142" t="s">
        <v>777</v>
      </c>
      <c r="B83" s="25"/>
      <c r="C83" s="25"/>
      <c r="D83" s="138"/>
      <c r="E83" s="140"/>
    </row>
    <row r="84" spans="1:5" ht="12.75">
      <c r="A84" s="139" t="s">
        <v>879</v>
      </c>
      <c r="B84" s="25">
        <v>419</v>
      </c>
      <c r="C84" s="25">
        <v>240</v>
      </c>
      <c r="D84" s="143">
        <v>57.279236276849645</v>
      </c>
      <c r="E84" s="140">
        <v>104</v>
      </c>
    </row>
    <row r="85" spans="1:5" ht="12.75">
      <c r="A85" s="107" t="s">
        <v>875</v>
      </c>
      <c r="B85" s="25">
        <v>517</v>
      </c>
      <c r="C85" s="25">
        <v>207</v>
      </c>
      <c r="D85" s="143">
        <v>40.03868471953578</v>
      </c>
      <c r="E85" s="140">
        <v>100.5</v>
      </c>
    </row>
    <row r="86" spans="1:5" ht="12.75">
      <c r="A86" s="141" t="s">
        <v>876</v>
      </c>
      <c r="B86" s="140">
        <v>459</v>
      </c>
      <c r="C86" s="140">
        <v>179</v>
      </c>
      <c r="D86" s="144">
        <v>38.99782135076253</v>
      </c>
      <c r="E86" s="140">
        <v>86.5</v>
      </c>
    </row>
    <row r="87" spans="1:5" ht="12.75">
      <c r="A87" s="141" t="s">
        <v>877</v>
      </c>
      <c r="B87" s="140">
        <v>58</v>
      </c>
      <c r="C87" s="140">
        <v>28</v>
      </c>
      <c r="D87" s="144">
        <v>48.275862068965516</v>
      </c>
      <c r="E87" s="140">
        <v>14</v>
      </c>
    </row>
    <row r="88" spans="1:5" ht="12.75">
      <c r="A88" s="142" t="s">
        <v>884</v>
      </c>
      <c r="B88" s="25"/>
      <c r="C88" s="25"/>
      <c r="D88" s="138"/>
      <c r="E88" s="140"/>
    </row>
    <row r="89" spans="1:5" ht="12.75">
      <c r="A89" s="139" t="s">
        <v>879</v>
      </c>
      <c r="B89" s="25">
        <v>0</v>
      </c>
      <c r="C89" s="25">
        <v>0</v>
      </c>
      <c r="D89" s="143"/>
      <c r="E89" s="140">
        <v>0</v>
      </c>
    </row>
    <row r="90" spans="1:5" ht="12.75">
      <c r="A90" s="107" t="s">
        <v>875</v>
      </c>
      <c r="B90" s="25">
        <v>0</v>
      </c>
      <c r="C90" s="25">
        <v>0</v>
      </c>
      <c r="D90" s="143"/>
      <c r="E90" s="140">
        <v>0</v>
      </c>
    </row>
    <row r="91" spans="1:5" ht="12.75">
      <c r="A91" s="141" t="s">
        <v>876</v>
      </c>
      <c r="B91" s="140">
        <v>0</v>
      </c>
      <c r="C91" s="140">
        <v>0</v>
      </c>
      <c r="D91" s="144"/>
      <c r="E91" s="140">
        <v>0</v>
      </c>
    </row>
    <row r="92" spans="1:5" ht="12.75">
      <c r="A92" s="141" t="s">
        <v>877</v>
      </c>
      <c r="B92" s="140">
        <v>0</v>
      </c>
      <c r="C92" s="140">
        <v>0</v>
      </c>
      <c r="D92" s="144"/>
      <c r="E92" s="140">
        <v>0</v>
      </c>
    </row>
    <row r="93" spans="1:5" ht="12.75">
      <c r="A93" s="142" t="s">
        <v>778</v>
      </c>
      <c r="B93" s="25"/>
      <c r="C93" s="25"/>
      <c r="D93" s="138"/>
      <c r="E93" s="140"/>
    </row>
    <row r="94" spans="1:5" ht="12.75">
      <c r="A94" s="139" t="s">
        <v>879</v>
      </c>
      <c r="B94" s="25">
        <v>0</v>
      </c>
      <c r="C94" s="25">
        <v>0</v>
      </c>
      <c r="D94" s="143"/>
      <c r="E94" s="140">
        <v>0</v>
      </c>
    </row>
    <row r="95" spans="1:5" ht="12.75">
      <c r="A95" s="107" t="s">
        <v>875</v>
      </c>
      <c r="B95" s="25">
        <v>0</v>
      </c>
      <c r="C95" s="25">
        <v>0</v>
      </c>
      <c r="D95" s="143"/>
      <c r="E95" s="140">
        <v>0</v>
      </c>
    </row>
    <row r="96" spans="1:5" ht="12.75">
      <c r="A96" s="141" t="s">
        <v>876</v>
      </c>
      <c r="B96" s="140">
        <v>0</v>
      </c>
      <c r="C96" s="140">
        <v>0</v>
      </c>
      <c r="D96" s="144"/>
      <c r="E96" s="140">
        <v>0</v>
      </c>
    </row>
    <row r="97" spans="1:5" ht="12.75">
      <c r="A97" s="141" t="s">
        <v>877</v>
      </c>
      <c r="B97" s="140">
        <v>0</v>
      </c>
      <c r="C97" s="140">
        <v>0</v>
      </c>
      <c r="D97" s="144"/>
      <c r="E97" s="140">
        <v>0</v>
      </c>
    </row>
    <row r="98" spans="1:5" ht="12.75">
      <c r="A98" s="142" t="s">
        <v>885</v>
      </c>
      <c r="B98" s="25"/>
      <c r="C98" s="25"/>
      <c r="D98" s="138"/>
      <c r="E98" s="140"/>
    </row>
    <row r="99" spans="1:5" ht="12.75">
      <c r="A99" s="139" t="s">
        <v>879</v>
      </c>
      <c r="B99" s="25">
        <v>0</v>
      </c>
      <c r="C99" s="25">
        <v>0</v>
      </c>
      <c r="D99" s="143"/>
      <c r="E99" s="140">
        <v>0</v>
      </c>
    </row>
    <row r="100" spans="1:5" ht="12.75">
      <c r="A100" s="107" t="s">
        <v>875</v>
      </c>
      <c r="B100" s="25">
        <v>0</v>
      </c>
      <c r="C100" s="25">
        <v>0</v>
      </c>
      <c r="D100" s="143"/>
      <c r="E100" s="140">
        <v>0</v>
      </c>
    </row>
    <row r="101" spans="1:5" ht="12.75">
      <c r="A101" s="141" t="s">
        <v>876</v>
      </c>
      <c r="B101" s="140">
        <v>0</v>
      </c>
      <c r="C101" s="140">
        <v>0</v>
      </c>
      <c r="D101" s="144"/>
      <c r="E101" s="140">
        <v>0</v>
      </c>
    </row>
    <row r="102" spans="1:5" ht="12.75">
      <c r="A102" s="141" t="s">
        <v>877</v>
      </c>
      <c r="B102" s="140">
        <v>0</v>
      </c>
      <c r="C102" s="140">
        <v>0</v>
      </c>
      <c r="D102" s="144"/>
      <c r="E102" s="140">
        <v>0</v>
      </c>
    </row>
    <row r="103" spans="1:5" ht="12.75">
      <c r="A103" s="142" t="s">
        <v>886</v>
      </c>
      <c r="B103" s="25"/>
      <c r="C103" s="25"/>
      <c r="D103" s="138"/>
      <c r="E103" s="140"/>
    </row>
    <row r="104" spans="1:5" ht="12.75">
      <c r="A104" s="139" t="s">
        <v>879</v>
      </c>
      <c r="B104" s="25">
        <v>0</v>
      </c>
      <c r="C104" s="25">
        <v>0</v>
      </c>
      <c r="D104" s="143"/>
      <c r="E104" s="140">
        <v>0</v>
      </c>
    </row>
    <row r="105" spans="1:5" ht="12.75">
      <c r="A105" s="107" t="s">
        <v>875</v>
      </c>
      <c r="B105" s="25">
        <v>0</v>
      </c>
      <c r="C105" s="25">
        <v>0</v>
      </c>
      <c r="D105" s="143"/>
      <c r="E105" s="140">
        <v>0</v>
      </c>
    </row>
    <row r="106" spans="1:5" ht="12.75">
      <c r="A106" s="141" t="s">
        <v>876</v>
      </c>
      <c r="B106" s="140">
        <v>0</v>
      </c>
      <c r="C106" s="140">
        <v>0</v>
      </c>
      <c r="D106" s="144"/>
      <c r="E106" s="140">
        <v>0</v>
      </c>
    </row>
    <row r="107" spans="1:5" ht="12.75">
      <c r="A107" s="141" t="s">
        <v>877</v>
      </c>
      <c r="B107" s="140">
        <v>0</v>
      </c>
      <c r="C107" s="140">
        <v>0</v>
      </c>
      <c r="D107" s="144"/>
      <c r="E107" s="140">
        <v>0</v>
      </c>
    </row>
    <row r="108" spans="1:5" ht="12.75">
      <c r="A108" s="142" t="s">
        <v>887</v>
      </c>
      <c r="B108" s="25"/>
      <c r="C108" s="25"/>
      <c r="D108" s="138"/>
      <c r="E108" s="140"/>
    </row>
    <row r="109" spans="1:5" ht="12.75">
      <c r="A109" s="139" t="s">
        <v>879</v>
      </c>
      <c r="B109" s="25">
        <v>0</v>
      </c>
      <c r="C109" s="25">
        <v>0</v>
      </c>
      <c r="D109" s="143"/>
      <c r="E109" s="140">
        <v>0</v>
      </c>
    </row>
    <row r="110" spans="1:5" ht="12.75">
      <c r="A110" s="107" t="s">
        <v>875</v>
      </c>
      <c r="B110" s="25">
        <v>0</v>
      </c>
      <c r="C110" s="25">
        <v>0</v>
      </c>
      <c r="D110" s="143"/>
      <c r="E110" s="140">
        <v>0</v>
      </c>
    </row>
    <row r="111" spans="1:5" ht="12.75">
      <c r="A111" s="141" t="s">
        <v>876</v>
      </c>
      <c r="B111" s="140">
        <v>0</v>
      </c>
      <c r="C111" s="140">
        <v>0</v>
      </c>
      <c r="D111" s="144"/>
      <c r="E111" s="140">
        <v>0</v>
      </c>
    </row>
    <row r="112" spans="1:5" ht="12.75">
      <c r="A112" s="141" t="s">
        <v>877</v>
      </c>
      <c r="B112" s="140">
        <v>0</v>
      </c>
      <c r="C112" s="140">
        <v>0</v>
      </c>
      <c r="D112" s="144"/>
      <c r="E112" s="140">
        <v>0</v>
      </c>
    </row>
    <row r="113" spans="1:5" ht="12.75">
      <c r="A113" s="142" t="s">
        <v>888</v>
      </c>
      <c r="B113" s="25"/>
      <c r="C113" s="25"/>
      <c r="D113" s="138"/>
      <c r="E113" s="140"/>
    </row>
    <row r="114" spans="1:5" ht="12.75">
      <c r="A114" s="139" t="s">
        <v>879</v>
      </c>
      <c r="B114" s="25">
        <v>0</v>
      </c>
      <c r="C114" s="25">
        <v>0</v>
      </c>
      <c r="D114" s="143"/>
      <c r="E114" s="140">
        <v>0</v>
      </c>
    </row>
    <row r="115" spans="1:5" ht="12.75">
      <c r="A115" s="107" t="s">
        <v>875</v>
      </c>
      <c r="B115" s="25">
        <v>0</v>
      </c>
      <c r="C115" s="25">
        <v>0</v>
      </c>
      <c r="D115" s="143"/>
      <c r="E115" s="140">
        <v>0</v>
      </c>
    </row>
    <row r="116" spans="1:5" ht="12.75">
      <c r="A116" s="141" t="s">
        <v>876</v>
      </c>
      <c r="B116" s="140">
        <v>0</v>
      </c>
      <c r="C116" s="140">
        <v>0</v>
      </c>
      <c r="D116" s="144"/>
      <c r="E116" s="140">
        <v>0</v>
      </c>
    </row>
    <row r="117" spans="1:5" ht="12.75">
      <c r="A117" s="141" t="s">
        <v>877</v>
      </c>
      <c r="B117" s="140">
        <v>0</v>
      </c>
      <c r="C117" s="140">
        <v>0</v>
      </c>
      <c r="D117" s="144"/>
      <c r="E117" s="140">
        <v>0</v>
      </c>
    </row>
    <row r="118" spans="1:5" ht="12.75">
      <c r="A118" s="142" t="s">
        <v>889</v>
      </c>
      <c r="B118" s="25"/>
      <c r="C118" s="25"/>
      <c r="D118" s="138"/>
      <c r="E118" s="140"/>
    </row>
    <row r="119" spans="1:5" ht="12.75">
      <c r="A119" s="139" t="s">
        <v>879</v>
      </c>
      <c r="B119" s="25">
        <v>0</v>
      </c>
      <c r="C119" s="25">
        <v>0</v>
      </c>
      <c r="D119" s="143"/>
      <c r="E119" s="140">
        <v>0</v>
      </c>
    </row>
    <row r="120" spans="1:5" ht="12.75">
      <c r="A120" s="107" t="s">
        <v>875</v>
      </c>
      <c r="B120" s="25">
        <v>0</v>
      </c>
      <c r="C120" s="25">
        <v>0</v>
      </c>
      <c r="D120" s="143"/>
      <c r="E120" s="140">
        <v>0</v>
      </c>
    </row>
    <row r="121" spans="1:5" ht="12.75">
      <c r="A121" s="141" t="s">
        <v>876</v>
      </c>
      <c r="B121" s="140">
        <v>0</v>
      </c>
      <c r="C121" s="140">
        <v>0</v>
      </c>
      <c r="D121" s="144"/>
      <c r="E121" s="140">
        <v>0</v>
      </c>
    </row>
    <row r="122" spans="1:5" ht="12.75">
      <c r="A122" s="141" t="s">
        <v>877</v>
      </c>
      <c r="B122" s="140">
        <v>0</v>
      </c>
      <c r="C122" s="140">
        <v>0</v>
      </c>
      <c r="D122" s="144"/>
      <c r="E122" s="140">
        <v>0</v>
      </c>
    </row>
    <row r="123" spans="1:5" ht="12.75">
      <c r="A123" s="142" t="s">
        <v>890</v>
      </c>
      <c r="B123" s="25"/>
      <c r="C123" s="25"/>
      <c r="D123" s="138"/>
      <c r="E123" s="140"/>
    </row>
    <row r="124" spans="1:5" ht="12.75">
      <c r="A124" s="139" t="s">
        <v>879</v>
      </c>
      <c r="B124" s="25">
        <v>0</v>
      </c>
      <c r="C124" s="25">
        <v>0</v>
      </c>
      <c r="D124" s="143"/>
      <c r="E124" s="140">
        <v>0</v>
      </c>
    </row>
    <row r="125" spans="1:5" ht="12.75">
      <c r="A125" s="107" t="s">
        <v>875</v>
      </c>
      <c r="B125" s="25">
        <v>0</v>
      </c>
      <c r="C125" s="25">
        <v>0</v>
      </c>
      <c r="D125" s="143"/>
      <c r="E125" s="140">
        <v>0</v>
      </c>
    </row>
    <row r="126" spans="1:5" ht="12.75">
      <c r="A126" s="141" t="s">
        <v>876</v>
      </c>
      <c r="B126" s="140">
        <v>0</v>
      </c>
      <c r="C126" s="140">
        <v>0</v>
      </c>
      <c r="D126" s="144"/>
      <c r="E126" s="140">
        <v>0</v>
      </c>
    </row>
    <row r="127" spans="1:5" ht="12.75">
      <c r="A127" s="141" t="s">
        <v>877</v>
      </c>
      <c r="B127" s="140">
        <v>0</v>
      </c>
      <c r="C127" s="140">
        <v>0</v>
      </c>
      <c r="D127" s="144"/>
      <c r="E127" s="140">
        <v>0</v>
      </c>
    </row>
    <row r="128" spans="1:5" ht="12.75">
      <c r="A128" s="142" t="s">
        <v>891</v>
      </c>
      <c r="B128" s="25"/>
      <c r="C128" s="25"/>
      <c r="D128" s="138"/>
      <c r="E128" s="140"/>
    </row>
    <row r="129" spans="1:5" ht="12.75">
      <c r="A129" s="139" t="s">
        <v>879</v>
      </c>
      <c r="B129" s="25">
        <v>0</v>
      </c>
      <c r="C129" s="25">
        <v>0</v>
      </c>
      <c r="D129" s="143"/>
      <c r="E129" s="140">
        <v>0</v>
      </c>
    </row>
    <row r="130" spans="1:5" ht="12.75">
      <c r="A130" s="107" t="s">
        <v>875</v>
      </c>
      <c r="B130" s="25">
        <v>0</v>
      </c>
      <c r="C130" s="25">
        <v>0</v>
      </c>
      <c r="D130" s="143"/>
      <c r="E130" s="140">
        <v>0</v>
      </c>
    </row>
    <row r="131" spans="1:5" ht="12.75">
      <c r="A131" s="141" t="s">
        <v>876</v>
      </c>
      <c r="B131" s="140">
        <v>0</v>
      </c>
      <c r="C131" s="140">
        <v>0</v>
      </c>
      <c r="D131" s="144"/>
      <c r="E131" s="140">
        <v>0</v>
      </c>
    </row>
    <row r="132" spans="1:5" ht="12.75">
      <c r="A132" s="141" t="s">
        <v>877</v>
      </c>
      <c r="B132" s="140">
        <v>0</v>
      </c>
      <c r="C132" s="140">
        <v>0</v>
      </c>
      <c r="D132" s="144"/>
      <c r="E132" s="140">
        <v>0</v>
      </c>
    </row>
    <row r="133" spans="1:5" ht="12.75">
      <c r="A133" s="142" t="s">
        <v>892</v>
      </c>
      <c r="B133" s="25"/>
      <c r="C133" s="25"/>
      <c r="D133" s="138"/>
      <c r="E133" s="140"/>
    </row>
    <row r="134" spans="1:5" ht="12.75">
      <c r="A134" s="139" t="s">
        <v>879</v>
      </c>
      <c r="B134" s="25">
        <v>0</v>
      </c>
      <c r="C134" s="25">
        <v>0</v>
      </c>
      <c r="D134" s="143"/>
      <c r="E134" s="140">
        <v>0</v>
      </c>
    </row>
    <row r="135" spans="1:5" ht="12.75">
      <c r="A135" s="107" t="s">
        <v>875</v>
      </c>
      <c r="B135" s="25">
        <v>0</v>
      </c>
      <c r="C135" s="25">
        <v>0</v>
      </c>
      <c r="D135" s="143"/>
      <c r="E135" s="140">
        <v>0</v>
      </c>
    </row>
    <row r="136" spans="1:5" ht="12.75">
      <c r="A136" s="141" t="s">
        <v>876</v>
      </c>
      <c r="B136" s="140">
        <v>0</v>
      </c>
      <c r="C136" s="140">
        <v>0</v>
      </c>
      <c r="D136" s="144"/>
      <c r="E136" s="140">
        <v>0</v>
      </c>
    </row>
    <row r="137" spans="1:5" ht="12.75">
      <c r="A137" s="141" t="s">
        <v>877</v>
      </c>
      <c r="B137" s="140">
        <v>0</v>
      </c>
      <c r="C137" s="140">
        <v>0</v>
      </c>
      <c r="D137" s="144"/>
      <c r="E137" s="140">
        <v>0</v>
      </c>
    </row>
    <row r="138" spans="1:5" ht="51">
      <c r="A138" s="96" t="s">
        <v>779</v>
      </c>
      <c r="B138" s="25"/>
      <c r="C138" s="25"/>
      <c r="D138" s="138"/>
      <c r="E138" s="140"/>
    </row>
    <row r="139" spans="1:5" ht="12.75">
      <c r="A139" s="139" t="s">
        <v>879</v>
      </c>
      <c r="B139" s="25">
        <v>0</v>
      </c>
      <c r="C139" s="25">
        <v>0</v>
      </c>
      <c r="D139" s="143"/>
      <c r="E139" s="140">
        <v>0</v>
      </c>
    </row>
    <row r="140" spans="1:5" ht="12.75">
      <c r="A140" s="107" t="s">
        <v>875</v>
      </c>
      <c r="B140" s="25">
        <v>0</v>
      </c>
      <c r="C140" s="25">
        <v>0</v>
      </c>
      <c r="D140" s="143"/>
      <c r="E140" s="140">
        <v>0</v>
      </c>
    </row>
    <row r="141" spans="1:5" ht="12.75">
      <c r="A141" s="141" t="s">
        <v>876</v>
      </c>
      <c r="B141" s="140">
        <v>0</v>
      </c>
      <c r="C141" s="140">
        <v>0</v>
      </c>
      <c r="D141" s="144"/>
      <c r="E141" s="140">
        <v>0</v>
      </c>
    </row>
    <row r="142" spans="1:5" ht="12.75">
      <c r="A142" s="141" t="s">
        <v>877</v>
      </c>
      <c r="B142" s="140">
        <v>0</v>
      </c>
      <c r="C142" s="140">
        <v>0</v>
      </c>
      <c r="D142" s="144"/>
      <c r="E142" s="140">
        <v>0</v>
      </c>
    </row>
    <row r="143" spans="1:5" ht="38.25">
      <c r="A143" s="96" t="s">
        <v>893</v>
      </c>
      <c r="B143" s="25"/>
      <c r="C143" s="25"/>
      <c r="D143" s="138"/>
      <c r="E143" s="140"/>
    </row>
    <row r="144" spans="1:5" ht="12.75">
      <c r="A144" s="139" t="s">
        <v>879</v>
      </c>
      <c r="B144" s="25">
        <v>4</v>
      </c>
      <c r="C144" s="25">
        <v>5</v>
      </c>
      <c r="D144" s="138">
        <v>125</v>
      </c>
      <c r="E144" s="140">
        <v>0</v>
      </c>
    </row>
    <row r="145" spans="1:5" ht="12.75">
      <c r="A145" s="107" t="s">
        <v>875</v>
      </c>
      <c r="B145" s="25">
        <v>4</v>
      </c>
      <c r="C145" s="25">
        <v>1</v>
      </c>
      <c r="D145" s="138">
        <v>25</v>
      </c>
      <c r="E145" s="140">
        <v>1</v>
      </c>
    </row>
    <row r="146" spans="1:5" ht="12.75">
      <c r="A146" s="141" t="s">
        <v>876</v>
      </c>
      <c r="B146" s="140">
        <v>4</v>
      </c>
      <c r="C146" s="140">
        <v>0</v>
      </c>
      <c r="D146" s="138">
        <v>0</v>
      </c>
      <c r="E146" s="140">
        <v>0</v>
      </c>
    </row>
    <row r="147" spans="1:5" ht="12.75">
      <c r="A147" s="141" t="s">
        <v>877</v>
      </c>
      <c r="B147" s="140">
        <v>0</v>
      </c>
      <c r="C147" s="140">
        <v>1</v>
      </c>
      <c r="D147" s="138"/>
      <c r="E147" s="140">
        <v>1</v>
      </c>
    </row>
    <row r="148" spans="1:5" ht="25.5">
      <c r="A148" s="96" t="s">
        <v>894</v>
      </c>
      <c r="B148" s="25"/>
      <c r="C148" s="25"/>
      <c r="D148" s="138"/>
      <c r="E148" s="140"/>
    </row>
    <row r="149" spans="1:5" ht="12.75">
      <c r="A149" s="139" t="s">
        <v>879</v>
      </c>
      <c r="B149" s="25">
        <v>0</v>
      </c>
      <c r="C149" s="25">
        <v>0</v>
      </c>
      <c r="D149" s="143"/>
      <c r="E149" s="140">
        <v>0</v>
      </c>
    </row>
    <row r="150" spans="1:5" ht="12.75">
      <c r="A150" s="107" t="s">
        <v>875</v>
      </c>
      <c r="B150" s="25">
        <v>0</v>
      </c>
      <c r="C150" s="25">
        <v>0</v>
      </c>
      <c r="D150" s="143"/>
      <c r="E150" s="140">
        <v>0</v>
      </c>
    </row>
    <row r="151" spans="1:5" ht="12.75">
      <c r="A151" s="141" t="s">
        <v>876</v>
      </c>
      <c r="B151" s="140">
        <v>0</v>
      </c>
      <c r="C151" s="140">
        <v>0</v>
      </c>
      <c r="D151" s="144"/>
      <c r="E151" s="140">
        <v>0</v>
      </c>
    </row>
    <row r="152" spans="1:5" ht="12.75">
      <c r="A152" s="141" t="s">
        <v>877</v>
      </c>
      <c r="B152" s="140">
        <v>0</v>
      </c>
      <c r="C152" s="140">
        <v>0</v>
      </c>
      <c r="D152" s="144"/>
      <c r="E152" s="140">
        <v>0</v>
      </c>
    </row>
    <row r="153" spans="1:5" ht="12.75">
      <c r="A153" s="739"/>
      <c r="B153" s="739"/>
      <c r="C153" s="4"/>
      <c r="D153" s="4"/>
      <c r="E153" s="4"/>
    </row>
    <row r="154" spans="1:5" ht="12.75">
      <c r="A154" s="5"/>
      <c r="B154" s="4"/>
      <c r="C154" s="4"/>
      <c r="D154" s="4"/>
      <c r="E154" s="4"/>
    </row>
    <row r="155" spans="1:5" ht="12.75">
      <c r="A155" s="80"/>
      <c r="B155" s="4"/>
      <c r="C155" s="4"/>
      <c r="D155" s="4"/>
      <c r="E155" s="4"/>
    </row>
    <row r="156" spans="1:5" ht="12.75">
      <c r="A156" s="80" t="s">
        <v>895</v>
      </c>
      <c r="B156" s="9"/>
      <c r="C156" s="9"/>
      <c r="D156" s="9"/>
      <c r="E156" s="9" t="s">
        <v>896</v>
      </c>
    </row>
    <row r="157" spans="1:5" ht="12.75">
      <c r="A157" s="5"/>
      <c r="B157" s="4"/>
      <c r="C157" s="4"/>
      <c r="D157" s="4"/>
      <c r="E157" s="4"/>
    </row>
    <row r="158" spans="1:5" ht="12.75">
      <c r="A158" s="3" t="s">
        <v>788</v>
      </c>
      <c r="B158" s="4"/>
      <c r="C158" s="4"/>
      <c r="D158" s="4"/>
      <c r="E158" s="4"/>
    </row>
    <row r="159" spans="1:5" ht="12.75">
      <c r="A159" s="3" t="s">
        <v>897</v>
      </c>
      <c r="B159" s="4"/>
      <c r="C159" s="4"/>
      <c r="D159" s="4"/>
      <c r="E159" s="4"/>
    </row>
  </sheetData>
  <mergeCells count="4">
    <mergeCell ref="A2:E2"/>
    <mergeCell ref="A4:E4"/>
    <mergeCell ref="A5:E5"/>
    <mergeCell ref="A153:B153"/>
  </mergeCells>
  <printOptions/>
  <pageMargins left="0.75" right="0.75" top="0.64" bottom="0.6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L1">
      <selection activeCell="A7" sqref="A7"/>
    </sheetView>
  </sheetViews>
  <sheetFormatPr defaultColWidth="9.140625" defaultRowHeight="17.25" customHeight="1"/>
  <cols>
    <col min="1" max="1" width="37.421875" style="81" hidden="1" customWidth="1"/>
    <col min="2" max="2" width="13.140625" style="81" hidden="1" customWidth="1"/>
    <col min="3" max="3" width="11.7109375" style="87" hidden="1" customWidth="1"/>
    <col min="4" max="4" width="12.421875" style="9" hidden="1" customWidth="1"/>
    <col min="5" max="5" width="11.00390625" style="82" hidden="1" customWidth="1"/>
    <col min="6" max="6" width="37.421875" style="81" hidden="1" customWidth="1"/>
    <col min="7" max="7" width="13.140625" style="81" hidden="1" customWidth="1"/>
    <col min="8" max="8" width="8.8515625" style="82" hidden="1" customWidth="1"/>
    <col min="9" max="9" width="12.421875" style="9" hidden="1" customWidth="1"/>
    <col min="10" max="10" width="9.8515625" style="82" hidden="1" customWidth="1"/>
    <col min="11" max="11" width="9.140625" style="0" hidden="1" customWidth="1"/>
    <col min="12" max="12" width="37.421875" style="81" customWidth="1"/>
    <col min="13" max="13" width="13.140625" style="81" customWidth="1"/>
    <col min="14" max="14" width="8.8515625" style="82" customWidth="1"/>
    <col min="15" max="15" width="12.421875" style="9" customWidth="1"/>
    <col min="16" max="16" width="9.8515625" style="82" customWidth="1"/>
  </cols>
  <sheetData>
    <row r="1" spans="2:16" ht="17.25" customHeight="1">
      <c r="B1" s="1"/>
      <c r="E1" s="87" t="s">
        <v>833</v>
      </c>
      <c r="G1" s="1"/>
      <c r="H1" s="84"/>
      <c r="J1" s="87" t="s">
        <v>833</v>
      </c>
      <c r="M1" s="1"/>
      <c r="N1" s="84"/>
      <c r="P1" s="88" t="s">
        <v>833</v>
      </c>
    </row>
    <row r="2" spans="1:12" ht="17.25" customHeight="1">
      <c r="A2" s="81" t="s">
        <v>834</v>
      </c>
      <c r="F2" s="81" t="s">
        <v>834</v>
      </c>
      <c r="L2" s="81" t="s">
        <v>834</v>
      </c>
    </row>
    <row r="4" spans="1:16" ht="32.25" customHeight="1">
      <c r="A4" s="742" t="s">
        <v>835</v>
      </c>
      <c r="B4" s="742"/>
      <c r="C4" s="742"/>
      <c r="D4" s="742"/>
      <c r="E4" s="742"/>
      <c r="F4" s="743" t="s">
        <v>835</v>
      </c>
      <c r="G4" s="743"/>
      <c r="H4" s="743"/>
      <c r="I4" s="743"/>
      <c r="J4" s="743"/>
      <c r="L4" s="743" t="s">
        <v>835</v>
      </c>
      <c r="M4" s="743"/>
      <c r="N4" s="743"/>
      <c r="O4" s="743"/>
      <c r="P4" s="743"/>
    </row>
    <row r="5" spans="1:16" ht="13.5" customHeight="1">
      <c r="A5" s="760" t="s">
        <v>836</v>
      </c>
      <c r="B5" s="760"/>
      <c r="C5" s="760"/>
      <c r="D5" s="760"/>
      <c r="E5" s="760"/>
      <c r="F5" s="760" t="s">
        <v>793</v>
      </c>
      <c r="G5" s="760"/>
      <c r="H5" s="760"/>
      <c r="I5" s="760"/>
      <c r="J5" s="760"/>
      <c r="L5" s="760" t="s">
        <v>793</v>
      </c>
      <c r="M5" s="760"/>
      <c r="N5" s="760"/>
      <c r="O5" s="760"/>
      <c r="P5" s="760"/>
    </row>
    <row r="6" spans="1:16" s="3" customFormat="1" ht="13.5" customHeight="1">
      <c r="A6" s="89"/>
      <c r="B6" s="89"/>
      <c r="C6" s="88"/>
      <c r="D6" s="12"/>
      <c r="E6" s="88" t="s">
        <v>837</v>
      </c>
      <c r="F6" s="89"/>
      <c r="G6" s="89"/>
      <c r="H6" s="90"/>
      <c r="I6" s="12"/>
      <c r="J6" s="88" t="s">
        <v>837</v>
      </c>
      <c r="L6" s="89"/>
      <c r="M6" s="89"/>
      <c r="N6" s="90"/>
      <c r="O6" s="12"/>
      <c r="P6" s="88" t="s">
        <v>837</v>
      </c>
    </row>
    <row r="7" spans="1:16" ht="51">
      <c r="A7" s="91" t="s">
        <v>748</v>
      </c>
      <c r="B7" s="91" t="s">
        <v>750</v>
      </c>
      <c r="C7" s="92" t="s">
        <v>795</v>
      </c>
      <c r="D7" s="91" t="s">
        <v>796</v>
      </c>
      <c r="E7" s="11" t="s">
        <v>838</v>
      </c>
      <c r="F7" s="91" t="s">
        <v>748</v>
      </c>
      <c r="G7" s="91" t="s">
        <v>750</v>
      </c>
      <c r="H7" s="92" t="s">
        <v>795</v>
      </c>
      <c r="I7" s="91" t="s">
        <v>796</v>
      </c>
      <c r="J7" s="11" t="s">
        <v>838</v>
      </c>
      <c r="L7" s="91" t="s">
        <v>748</v>
      </c>
      <c r="M7" s="91" t="s">
        <v>750</v>
      </c>
      <c r="N7" s="92" t="s">
        <v>795</v>
      </c>
      <c r="O7" s="91" t="s">
        <v>796</v>
      </c>
      <c r="P7" s="11" t="s">
        <v>838</v>
      </c>
    </row>
    <row r="8" spans="1:16" ht="12.75">
      <c r="A8" s="93">
        <v>1</v>
      </c>
      <c r="B8" s="93">
        <v>2</v>
      </c>
      <c r="C8" s="94">
        <v>3</v>
      </c>
      <c r="D8" s="93">
        <v>4</v>
      </c>
      <c r="E8" s="95">
        <v>5</v>
      </c>
      <c r="F8" s="93">
        <v>1</v>
      </c>
      <c r="G8" s="93">
        <v>2</v>
      </c>
      <c r="H8" s="95">
        <v>3</v>
      </c>
      <c r="I8" s="93">
        <v>4</v>
      </c>
      <c r="J8" s="95">
        <v>5</v>
      </c>
      <c r="L8" s="93">
        <v>1</v>
      </c>
      <c r="M8" s="93">
        <v>2</v>
      </c>
      <c r="N8" s="95">
        <v>3</v>
      </c>
      <c r="O8" s="93">
        <v>4</v>
      </c>
      <c r="P8" s="95">
        <v>5</v>
      </c>
    </row>
    <row r="9" spans="1:16" ht="25.5">
      <c r="A9" s="96" t="s">
        <v>839</v>
      </c>
      <c r="B9" s="96">
        <f>SUM(B10:B12)</f>
        <v>1993137</v>
      </c>
      <c r="C9" s="97">
        <f>SUM(C10:C12)</f>
        <v>943538</v>
      </c>
      <c r="D9" s="98">
        <f>C9/B9*100</f>
        <v>47.33934496223792</v>
      </c>
      <c r="E9" s="99">
        <f>E10+E11+E12</f>
        <v>350252.66</v>
      </c>
      <c r="F9" s="96" t="s">
        <v>839</v>
      </c>
      <c r="G9" s="97">
        <f>G10+G11</f>
        <v>1439</v>
      </c>
      <c r="H9" s="97">
        <f>SUM(H10:H12)</f>
        <v>594</v>
      </c>
      <c r="I9" s="100">
        <f>H9/G9*100</f>
        <v>41.278665740097296</v>
      </c>
      <c r="J9" s="97">
        <f>SUM(J10:J12)</f>
        <v>173</v>
      </c>
      <c r="L9" s="96" t="s">
        <v>839</v>
      </c>
      <c r="M9" s="97">
        <f>M10+M11</f>
        <v>2068</v>
      </c>
      <c r="N9" s="97">
        <f>N10+N11</f>
        <v>1017</v>
      </c>
      <c r="O9" s="100">
        <f>N9/M9*100</f>
        <v>49.177949709864606</v>
      </c>
      <c r="P9" s="97">
        <f>P10+P11+P12</f>
        <v>423</v>
      </c>
    </row>
    <row r="10" spans="1:16" ht="25.5">
      <c r="A10" s="101" t="s">
        <v>840</v>
      </c>
      <c r="B10" s="94">
        <v>1993057</v>
      </c>
      <c r="C10" s="94">
        <v>943458</v>
      </c>
      <c r="D10" s="102">
        <f aca="true" t="shared" si="0" ref="D10:D34">C10/B10*100</f>
        <v>47.33723119810422</v>
      </c>
      <c r="E10" s="94">
        <f>C10-'[3]februāris'!C10</f>
        <v>422391.66</v>
      </c>
      <c r="F10" s="101" t="s">
        <v>840</v>
      </c>
      <c r="G10" s="103">
        <v>1367</v>
      </c>
      <c r="H10" s="103">
        <v>522</v>
      </c>
      <c r="I10" s="104">
        <f aca="true" t="shared" si="1" ref="I10:I16">H10/G10*100</f>
        <v>38.18580833942941</v>
      </c>
      <c r="J10" s="103">
        <v>137</v>
      </c>
      <c r="L10" s="101" t="s">
        <v>840</v>
      </c>
      <c r="M10" s="103">
        <v>1994</v>
      </c>
      <c r="N10" s="103">
        <v>943</v>
      </c>
      <c r="O10" s="104">
        <f>N10/M10*100</f>
        <v>47.29187562688064</v>
      </c>
      <c r="P10" s="103">
        <f>N10-H10</f>
        <v>421</v>
      </c>
    </row>
    <row r="11" spans="1:16" ht="25.5">
      <c r="A11" s="101" t="s">
        <v>841</v>
      </c>
      <c r="B11" s="94">
        <v>80</v>
      </c>
      <c r="C11" s="94">
        <v>80</v>
      </c>
      <c r="D11" s="102">
        <f t="shared" si="0"/>
        <v>100</v>
      </c>
      <c r="E11" s="94">
        <f>C11-'[3]februāris'!C11</f>
        <v>-72139</v>
      </c>
      <c r="F11" s="101" t="s">
        <v>841</v>
      </c>
      <c r="G11" s="103">
        <v>72</v>
      </c>
      <c r="H11" s="103">
        <v>72</v>
      </c>
      <c r="I11" s="104">
        <f t="shared" si="1"/>
        <v>100</v>
      </c>
      <c r="J11" s="103">
        <v>36</v>
      </c>
      <c r="L11" s="101" t="s">
        <v>841</v>
      </c>
      <c r="M11" s="103">
        <f>152-78</f>
        <v>74</v>
      </c>
      <c r="N11" s="103">
        <f>152-78</f>
        <v>74</v>
      </c>
      <c r="O11" s="104">
        <f>N11/M11*100</f>
        <v>100</v>
      </c>
      <c r="P11" s="103">
        <f>N11-H11</f>
        <v>2</v>
      </c>
    </row>
    <row r="12" spans="1:16" ht="25.5">
      <c r="A12" s="101" t="s">
        <v>842</v>
      </c>
      <c r="B12" s="103"/>
      <c r="C12" s="94"/>
      <c r="D12" s="102"/>
      <c r="E12" s="94">
        <f>C12-'[3]februāris'!C12</f>
        <v>0</v>
      </c>
      <c r="F12" s="101" t="s">
        <v>842</v>
      </c>
      <c r="G12" s="103"/>
      <c r="H12" s="103"/>
      <c r="I12" s="104"/>
      <c r="J12" s="103"/>
      <c r="L12" s="101" t="s">
        <v>842</v>
      </c>
      <c r="M12" s="103"/>
      <c r="N12" s="103"/>
      <c r="O12" s="104"/>
      <c r="P12" s="103"/>
    </row>
    <row r="13" spans="1:16" ht="17.25" customHeight="1">
      <c r="A13" s="96" t="s">
        <v>843</v>
      </c>
      <c r="B13" s="105">
        <f>SUM(B14,B31)</f>
        <v>2278357</v>
      </c>
      <c r="C13" s="106">
        <f>SUM(C14,C31)</f>
        <v>1042347</v>
      </c>
      <c r="D13" s="98">
        <f t="shared" si="0"/>
        <v>45.74994173432873</v>
      </c>
      <c r="E13" s="94">
        <f>C13-'[3]februāris'!C13</f>
        <v>-72219</v>
      </c>
      <c r="F13" s="96" t="s">
        <v>843</v>
      </c>
      <c r="G13" s="106">
        <v>1691</v>
      </c>
      <c r="H13" s="106">
        <v>589</v>
      </c>
      <c r="I13" s="100">
        <f t="shared" si="1"/>
        <v>34.831460674157306</v>
      </c>
      <c r="J13" s="106">
        <f>J14+J31</f>
        <v>336</v>
      </c>
      <c r="L13" s="96" t="s">
        <v>843</v>
      </c>
      <c r="M13" s="106">
        <f>M14+M31</f>
        <v>2353</v>
      </c>
      <c r="N13" s="106">
        <f>N14+N31</f>
        <v>964</v>
      </c>
      <c r="O13" s="100">
        <f>N13/M13*100</f>
        <v>40.96897577560561</v>
      </c>
      <c r="P13" s="106">
        <f>P14+P31</f>
        <v>375</v>
      </c>
    </row>
    <row r="14" spans="1:16" ht="17.25" customHeight="1">
      <c r="A14" s="107" t="s">
        <v>844</v>
      </c>
      <c r="B14" s="105">
        <f>SUM(B15,B22,B25)</f>
        <v>1995573</v>
      </c>
      <c r="C14" s="108">
        <f>SUM(C15,C22,C25)</f>
        <v>948386</v>
      </c>
      <c r="D14" s="98">
        <f t="shared" si="0"/>
        <v>47.524495470724446</v>
      </c>
      <c r="E14" s="94">
        <f>C14-'[3]februāris'!C14</f>
        <v>-72219</v>
      </c>
      <c r="F14" s="107" t="s">
        <v>844</v>
      </c>
      <c r="G14" s="106">
        <v>1480</v>
      </c>
      <c r="H14" s="106">
        <v>536</v>
      </c>
      <c r="I14" s="100">
        <f t="shared" si="1"/>
        <v>36.21621621621622</v>
      </c>
      <c r="J14" s="106">
        <f>J15+J22+J25</f>
        <v>310</v>
      </c>
      <c r="L14" s="107" t="s">
        <v>844</v>
      </c>
      <c r="M14" s="106">
        <f>M15+M22+M25</f>
        <v>2070</v>
      </c>
      <c r="N14" s="106">
        <f>N15+N22+N25</f>
        <v>870</v>
      </c>
      <c r="O14" s="100">
        <f>N14/M14*100</f>
        <v>42.028985507246375</v>
      </c>
      <c r="P14" s="106">
        <f>P15+P22+P25</f>
        <v>334</v>
      </c>
    </row>
    <row r="15" spans="1:16" ht="17.25" customHeight="1">
      <c r="A15" s="107" t="s">
        <v>845</v>
      </c>
      <c r="B15" s="106">
        <f>SUM(B16,B17,B18,B21)</f>
        <v>1753953</v>
      </c>
      <c r="C15" s="108">
        <f>SUM(C16,C17,C18,C21)</f>
        <v>824718</v>
      </c>
      <c r="D15" s="98">
        <f t="shared" si="0"/>
        <v>47.02053019664723</v>
      </c>
      <c r="E15" s="94">
        <f>C15-'[3]februāris'!C15</f>
        <v>-72219</v>
      </c>
      <c r="F15" s="107" t="s">
        <v>845</v>
      </c>
      <c r="G15" s="106">
        <v>1279</v>
      </c>
      <c r="H15" s="106">
        <v>461</v>
      </c>
      <c r="I15" s="100">
        <f t="shared" si="1"/>
        <v>36.04378420641126</v>
      </c>
      <c r="J15" s="106">
        <f>SUM(J16:J18)</f>
        <v>287</v>
      </c>
      <c r="L15" s="107" t="s">
        <v>845</v>
      </c>
      <c r="M15" s="106">
        <f>M16+M18</f>
        <v>1828</v>
      </c>
      <c r="N15" s="106">
        <f>N16+N17+N18</f>
        <v>747</v>
      </c>
      <c r="O15" s="100">
        <f>N15/M15*100</f>
        <v>40.86433260393873</v>
      </c>
      <c r="P15" s="106">
        <f>P16+P17+P18</f>
        <v>287</v>
      </c>
    </row>
    <row r="16" spans="1:16" ht="17.25" customHeight="1">
      <c r="A16" s="109" t="s">
        <v>846</v>
      </c>
      <c r="B16" s="94">
        <v>260367</v>
      </c>
      <c r="C16" s="94">
        <f>'[3]darbam'!B17</f>
        <v>128488</v>
      </c>
      <c r="D16" s="102">
        <f t="shared" si="0"/>
        <v>49.34880380386147</v>
      </c>
      <c r="E16" s="94">
        <f>C16-'[3]februāris'!C16</f>
        <v>0</v>
      </c>
      <c r="F16" s="109" t="s">
        <v>846</v>
      </c>
      <c r="G16" s="103">
        <v>158</v>
      </c>
      <c r="H16" s="103">
        <v>67</v>
      </c>
      <c r="I16" s="104">
        <f t="shared" si="1"/>
        <v>42.405063291139236</v>
      </c>
      <c r="J16" s="103">
        <v>44</v>
      </c>
      <c r="L16" s="109" t="s">
        <v>846</v>
      </c>
      <c r="M16" s="103">
        <v>260</v>
      </c>
      <c r="N16" s="103">
        <v>128</v>
      </c>
      <c r="O16" s="104">
        <f>N16/M16*100</f>
        <v>49.23076923076923</v>
      </c>
      <c r="P16" s="103">
        <f>N16-H16</f>
        <v>61</v>
      </c>
    </row>
    <row r="17" spans="1:16" ht="25.5">
      <c r="A17" s="101" t="s">
        <v>847</v>
      </c>
      <c r="B17" s="110" t="s">
        <v>848</v>
      </c>
      <c r="C17" s="94">
        <f>'[3]darbam'!B18</f>
        <v>18016</v>
      </c>
      <c r="D17" s="102" t="s">
        <v>849</v>
      </c>
      <c r="E17" s="94">
        <f>C17-'[3]februāris'!C17</f>
        <v>0</v>
      </c>
      <c r="F17" s="101" t="s">
        <v>847</v>
      </c>
      <c r="G17" s="111" t="s">
        <v>848</v>
      </c>
      <c r="H17" s="103">
        <v>9</v>
      </c>
      <c r="I17" s="104"/>
      <c r="J17" s="103">
        <f>ROUND(E17/1000,)</f>
        <v>0</v>
      </c>
      <c r="L17" s="101" t="s">
        <v>847</v>
      </c>
      <c r="M17" s="111" t="s">
        <v>848</v>
      </c>
      <c r="N17" s="103">
        <v>18</v>
      </c>
      <c r="O17" s="100"/>
      <c r="P17" s="103">
        <f>N17-H17</f>
        <v>9</v>
      </c>
    </row>
    <row r="18" spans="1:16" ht="17.25" customHeight="1">
      <c r="A18" s="101" t="s">
        <v>850</v>
      </c>
      <c r="B18" s="111">
        <v>1493586</v>
      </c>
      <c r="C18" s="112">
        <f>C19+C20</f>
        <v>678214</v>
      </c>
      <c r="D18" s="102">
        <f t="shared" si="0"/>
        <v>45.40843312671651</v>
      </c>
      <c r="E18" s="94">
        <f>C18-'[3]februāris'!C18</f>
        <v>-72219</v>
      </c>
      <c r="F18" s="101" t="s">
        <v>850</v>
      </c>
      <c r="G18" s="103">
        <v>1121</v>
      </c>
      <c r="H18" s="103">
        <v>385</v>
      </c>
      <c r="I18" s="104">
        <f>H18/G18*100</f>
        <v>34.34433541480821</v>
      </c>
      <c r="J18" s="103">
        <v>243</v>
      </c>
      <c r="L18" s="101" t="s">
        <v>850</v>
      </c>
      <c r="M18" s="103">
        <f>1494+152-78</f>
        <v>1568</v>
      </c>
      <c r="N18" s="103">
        <f>N19+N20</f>
        <v>601</v>
      </c>
      <c r="O18" s="104">
        <f>N18/M18*100</f>
        <v>38.329081632653065</v>
      </c>
      <c r="P18" s="103">
        <f>N18-H18+1</f>
        <v>217</v>
      </c>
    </row>
    <row r="19" spans="1:16" ht="17.25" customHeight="1">
      <c r="A19" s="113" t="s">
        <v>851</v>
      </c>
      <c r="B19" s="114" t="s">
        <v>848</v>
      </c>
      <c r="C19" s="115">
        <f>'[3]darbam'!B20</f>
        <v>583163</v>
      </c>
      <c r="D19" s="102"/>
      <c r="E19" s="94">
        <f>C19-'[3]februāris'!C19</f>
        <v>-72219</v>
      </c>
      <c r="F19" s="113" t="s">
        <v>851</v>
      </c>
      <c r="G19" s="116" t="s">
        <v>848</v>
      </c>
      <c r="H19" s="103">
        <v>347</v>
      </c>
      <c r="I19" s="104"/>
      <c r="J19" s="103">
        <v>220</v>
      </c>
      <c r="L19" s="113" t="s">
        <v>851</v>
      </c>
      <c r="M19" s="116" t="s">
        <v>848</v>
      </c>
      <c r="N19" s="103">
        <f>583+1-78</f>
        <v>506</v>
      </c>
      <c r="O19" s="100"/>
      <c r="P19" s="103">
        <f>N19-H19+1</f>
        <v>160</v>
      </c>
    </row>
    <row r="20" spans="1:16" ht="12.75">
      <c r="A20" s="113" t="s">
        <v>852</v>
      </c>
      <c r="B20" s="114" t="s">
        <v>848</v>
      </c>
      <c r="C20" s="115">
        <f>'[3]darbam'!B21</f>
        <v>95051</v>
      </c>
      <c r="D20" s="102"/>
      <c r="E20" s="94">
        <f>C20-'[3]februāris'!C20</f>
        <v>0</v>
      </c>
      <c r="F20" s="113" t="s">
        <v>852</v>
      </c>
      <c r="G20" s="116" t="s">
        <v>848</v>
      </c>
      <c r="H20" s="103">
        <v>38</v>
      </c>
      <c r="I20" s="104"/>
      <c r="J20" s="103">
        <v>23</v>
      </c>
      <c r="L20" s="113" t="s">
        <v>852</v>
      </c>
      <c r="M20" s="116" t="s">
        <v>848</v>
      </c>
      <c r="N20" s="103">
        <v>95</v>
      </c>
      <c r="O20" s="100"/>
      <c r="P20" s="103">
        <f>N20-H20</f>
        <v>57</v>
      </c>
    </row>
    <row r="21" spans="1:16" ht="12.75">
      <c r="A21" s="101" t="s">
        <v>853</v>
      </c>
      <c r="B21" s="110"/>
      <c r="C21" s="94"/>
      <c r="D21" s="102"/>
      <c r="E21" s="94">
        <f>C21-'[3]februāris'!C21</f>
        <v>0</v>
      </c>
      <c r="F21" s="101" t="s">
        <v>853</v>
      </c>
      <c r="G21" s="111"/>
      <c r="H21" s="94"/>
      <c r="I21" s="104"/>
      <c r="J21" s="94"/>
      <c r="L21" s="101" t="s">
        <v>853</v>
      </c>
      <c r="M21" s="111"/>
      <c r="N21" s="94"/>
      <c r="O21" s="100"/>
      <c r="P21" s="103"/>
    </row>
    <row r="22" spans="1:16" ht="25.5">
      <c r="A22" s="117" t="s">
        <v>854</v>
      </c>
      <c r="B22" s="110"/>
      <c r="C22" s="106"/>
      <c r="D22" s="102"/>
      <c r="E22" s="94">
        <f>C22-'[3]februāris'!C22</f>
        <v>0</v>
      </c>
      <c r="F22" s="117" t="s">
        <v>854</v>
      </c>
      <c r="G22" s="111"/>
      <c r="H22" s="106"/>
      <c r="I22" s="104"/>
      <c r="J22" s="106"/>
      <c r="L22" s="117" t="s">
        <v>854</v>
      </c>
      <c r="M22" s="111"/>
      <c r="N22" s="106"/>
      <c r="O22" s="100"/>
      <c r="P22" s="103"/>
    </row>
    <row r="23" spans="1:16" ht="25.5">
      <c r="A23" s="101" t="s">
        <v>855</v>
      </c>
      <c r="B23" s="110"/>
      <c r="C23" s="94"/>
      <c r="D23" s="102"/>
      <c r="E23" s="94">
        <f>C23-'[3]februāris'!C23</f>
        <v>0</v>
      </c>
      <c r="F23" s="101" t="s">
        <v>855</v>
      </c>
      <c r="G23" s="111"/>
      <c r="H23" s="94"/>
      <c r="I23" s="104"/>
      <c r="J23" s="94"/>
      <c r="L23" s="101" t="s">
        <v>855</v>
      </c>
      <c r="M23" s="111"/>
      <c r="N23" s="94"/>
      <c r="O23" s="100"/>
      <c r="P23" s="103"/>
    </row>
    <row r="24" spans="1:16" ht="25.5">
      <c r="A24" s="101" t="s">
        <v>856</v>
      </c>
      <c r="B24" s="110"/>
      <c r="C24" s="94"/>
      <c r="D24" s="102"/>
      <c r="E24" s="94">
        <f>C24-'[3]februāris'!C24</f>
        <v>0</v>
      </c>
      <c r="F24" s="101" t="s">
        <v>856</v>
      </c>
      <c r="G24" s="111"/>
      <c r="H24" s="94"/>
      <c r="I24" s="104"/>
      <c r="J24" s="94"/>
      <c r="L24" s="101" t="s">
        <v>856</v>
      </c>
      <c r="M24" s="111"/>
      <c r="N24" s="94"/>
      <c r="O24" s="100"/>
      <c r="P24" s="103"/>
    </row>
    <row r="25" spans="1:16" ht="12.75">
      <c r="A25" s="118" t="s">
        <v>857</v>
      </c>
      <c r="B25" s="106">
        <f>SUM(B26:B30)</f>
        <v>241620</v>
      </c>
      <c r="C25" s="106">
        <f>SUM(C26:C30)</f>
        <v>123668</v>
      </c>
      <c r="D25" s="98">
        <f t="shared" si="0"/>
        <v>51.182849101895535</v>
      </c>
      <c r="E25" s="94">
        <f>C25-'[3]februāris'!C25</f>
        <v>0</v>
      </c>
      <c r="F25" s="118" t="s">
        <v>857</v>
      </c>
      <c r="G25" s="106">
        <f>SUM(G26:G30)</f>
        <v>201</v>
      </c>
      <c r="H25" s="106">
        <f>SUM(H26:H30)</f>
        <v>76</v>
      </c>
      <c r="I25" s="100">
        <f aca="true" t="shared" si="2" ref="I25:I34">H25/G25*100</f>
        <v>37.81094527363184</v>
      </c>
      <c r="J25" s="106">
        <f>SUM(J26:J30)</f>
        <v>23</v>
      </c>
      <c r="L25" s="118" t="s">
        <v>857</v>
      </c>
      <c r="M25" s="106">
        <v>242</v>
      </c>
      <c r="N25" s="106">
        <v>123</v>
      </c>
      <c r="O25" s="100">
        <f>N25/M25*100</f>
        <v>50.82644628099173</v>
      </c>
      <c r="P25" s="97">
        <f>N25-H25</f>
        <v>47</v>
      </c>
    </row>
    <row r="26" spans="1:16" ht="12.75">
      <c r="A26" s="109" t="s">
        <v>858</v>
      </c>
      <c r="B26" s="111">
        <v>10100</v>
      </c>
      <c r="C26" s="94">
        <f>'[3]darbam'!B28</f>
        <v>4100</v>
      </c>
      <c r="D26" s="98">
        <f t="shared" si="0"/>
        <v>40.5940594059406</v>
      </c>
      <c r="E26" s="94">
        <f>C26-'[3]februāris'!C26</f>
        <v>0</v>
      </c>
      <c r="F26" s="109" t="s">
        <v>858</v>
      </c>
      <c r="G26" s="103">
        <v>8</v>
      </c>
      <c r="H26" s="103">
        <f>ROUND(C26/1000,)</f>
        <v>4</v>
      </c>
      <c r="I26" s="104">
        <f t="shared" si="2"/>
        <v>50</v>
      </c>
      <c r="J26" s="103">
        <v>4</v>
      </c>
      <c r="L26" s="109" t="s">
        <v>858</v>
      </c>
      <c r="M26" s="103">
        <v>10</v>
      </c>
      <c r="N26" s="103">
        <v>4</v>
      </c>
      <c r="O26" s="100">
        <f>N26/M26*100</f>
        <v>40</v>
      </c>
      <c r="P26" s="103">
        <f>N26-H26</f>
        <v>0</v>
      </c>
    </row>
    <row r="27" spans="1:16" ht="12.75">
      <c r="A27" s="109" t="s">
        <v>859</v>
      </c>
      <c r="B27" s="111"/>
      <c r="C27" s="94">
        <f>'[3]darbam'!B29</f>
        <v>300</v>
      </c>
      <c r="D27" s="98"/>
      <c r="E27" s="94">
        <f>C27-'[3]februāris'!C27</f>
        <v>0</v>
      </c>
      <c r="F27" s="109" t="s">
        <v>859</v>
      </c>
      <c r="G27" s="111"/>
      <c r="H27" s="103"/>
      <c r="I27" s="104"/>
      <c r="J27" s="103">
        <f>ROUND(E27/1000,)</f>
        <v>0</v>
      </c>
      <c r="L27" s="109" t="s">
        <v>859</v>
      </c>
      <c r="M27" s="111"/>
      <c r="N27" s="103"/>
      <c r="O27" s="100"/>
      <c r="P27" s="103"/>
    </row>
    <row r="28" spans="1:16" ht="12.75">
      <c r="A28" s="101" t="s">
        <v>860</v>
      </c>
      <c r="B28" s="111"/>
      <c r="C28" s="94"/>
      <c r="D28" s="102"/>
      <c r="E28" s="94">
        <f>C28-'[3]februāris'!C28</f>
        <v>0</v>
      </c>
      <c r="F28" s="101" t="s">
        <v>860</v>
      </c>
      <c r="G28" s="111"/>
      <c r="H28" s="103"/>
      <c r="I28" s="104"/>
      <c r="J28" s="103">
        <f>ROUND(E28/1000,)</f>
        <v>0</v>
      </c>
      <c r="L28" s="101" t="s">
        <v>860</v>
      </c>
      <c r="M28" s="111"/>
      <c r="N28" s="103"/>
      <c r="O28" s="100"/>
      <c r="P28" s="103"/>
    </row>
    <row r="29" spans="1:16" ht="12.75">
      <c r="A29" s="101" t="s">
        <v>861</v>
      </c>
      <c r="B29" s="94">
        <v>57779</v>
      </c>
      <c r="C29" s="94">
        <f>'[3]darbam'!B31</f>
        <v>41002</v>
      </c>
      <c r="D29" s="102">
        <f t="shared" si="0"/>
        <v>70.96349884906282</v>
      </c>
      <c r="E29" s="94">
        <f>C29-'[3]februāris'!C29</f>
        <v>0</v>
      </c>
      <c r="F29" s="101" t="s">
        <v>861</v>
      </c>
      <c r="G29" s="103">
        <f>ROUND(B29/1000,)</f>
        <v>58</v>
      </c>
      <c r="H29" s="103">
        <v>13</v>
      </c>
      <c r="I29" s="104">
        <f t="shared" si="2"/>
        <v>22.413793103448278</v>
      </c>
      <c r="J29" s="103">
        <v>6</v>
      </c>
      <c r="L29" s="101" t="s">
        <v>861</v>
      </c>
      <c r="M29" s="103">
        <v>58</v>
      </c>
      <c r="N29" s="103">
        <v>41</v>
      </c>
      <c r="O29" s="100">
        <f>N29/M29*100</f>
        <v>70.6896551724138</v>
      </c>
      <c r="P29" s="103">
        <f>N29-H29</f>
        <v>28</v>
      </c>
    </row>
    <row r="30" spans="1:16" ht="12.75">
      <c r="A30" s="101" t="s">
        <v>862</v>
      </c>
      <c r="B30" s="94">
        <v>173741</v>
      </c>
      <c r="C30" s="94">
        <f>'[3]darbam'!B32</f>
        <v>78266</v>
      </c>
      <c r="D30" s="102">
        <f t="shared" si="0"/>
        <v>45.047513252485025</v>
      </c>
      <c r="E30" s="94">
        <f>C30-'[3]februāris'!C30</f>
        <v>0</v>
      </c>
      <c r="F30" s="101" t="s">
        <v>862</v>
      </c>
      <c r="G30" s="103">
        <v>135</v>
      </c>
      <c r="H30" s="103">
        <v>59</v>
      </c>
      <c r="I30" s="104">
        <f t="shared" si="2"/>
        <v>43.7037037037037</v>
      </c>
      <c r="J30" s="103">
        <v>13</v>
      </c>
      <c r="L30" s="101" t="s">
        <v>862</v>
      </c>
      <c r="M30" s="103">
        <v>174</v>
      </c>
      <c r="N30" s="103">
        <v>78</v>
      </c>
      <c r="O30" s="100">
        <f>N30/M30*100</f>
        <v>44.827586206896555</v>
      </c>
      <c r="P30" s="103">
        <f>N30-H30</f>
        <v>19</v>
      </c>
    </row>
    <row r="31" spans="1:16" ht="12.75">
      <c r="A31" s="119" t="s">
        <v>863</v>
      </c>
      <c r="B31" s="106">
        <f>SUM(B32:B33)</f>
        <v>282784</v>
      </c>
      <c r="C31" s="106">
        <f>SUM(C32:C33)</f>
        <v>93961</v>
      </c>
      <c r="D31" s="98">
        <f t="shared" si="0"/>
        <v>33.22712741880729</v>
      </c>
      <c r="E31" s="94">
        <f>C31-'[3]februāris'!C31</f>
        <v>0</v>
      </c>
      <c r="F31" s="119" t="s">
        <v>863</v>
      </c>
      <c r="G31" s="106">
        <f>SUM(G32:G33)</f>
        <v>213</v>
      </c>
      <c r="H31" s="120">
        <f>SUM(H32:H33)</f>
        <v>53</v>
      </c>
      <c r="I31" s="100">
        <f>H31/G31*100</f>
        <v>24.88262910798122</v>
      </c>
      <c r="J31" s="120">
        <f>SUM(J32:J33)</f>
        <v>26</v>
      </c>
      <c r="L31" s="119" t="s">
        <v>863</v>
      </c>
      <c r="M31" s="106">
        <v>283</v>
      </c>
      <c r="N31" s="120">
        <v>94</v>
      </c>
      <c r="O31" s="100">
        <f>N31/M31*100</f>
        <v>33.215547703180206</v>
      </c>
      <c r="P31" s="97">
        <f>N31-H31</f>
        <v>41</v>
      </c>
    </row>
    <row r="32" spans="1:16" ht="17.25" customHeight="1">
      <c r="A32" s="101" t="s">
        <v>864</v>
      </c>
      <c r="B32" s="94">
        <v>281174</v>
      </c>
      <c r="C32" s="94">
        <f>'[3]darbam'!B35</f>
        <v>93961</v>
      </c>
      <c r="D32" s="102">
        <f t="shared" si="0"/>
        <v>33.41738567577372</v>
      </c>
      <c r="E32" s="94">
        <f>C32-'[3]februāris'!C32</f>
        <v>0</v>
      </c>
      <c r="F32" s="101" t="s">
        <v>864</v>
      </c>
      <c r="G32" s="103">
        <v>211</v>
      </c>
      <c r="H32" s="103">
        <v>53</v>
      </c>
      <c r="I32" s="104">
        <f t="shared" si="2"/>
        <v>25.118483412322274</v>
      </c>
      <c r="J32" s="103">
        <v>26</v>
      </c>
      <c r="L32" s="101" t="s">
        <v>864</v>
      </c>
      <c r="M32" s="103">
        <v>281</v>
      </c>
      <c r="N32" s="103">
        <v>94</v>
      </c>
      <c r="O32" s="104">
        <f>N32/M32*100</f>
        <v>33.45195729537366</v>
      </c>
      <c r="P32" s="103">
        <f>N32-H32</f>
        <v>41</v>
      </c>
    </row>
    <row r="33" spans="1:16" ht="17.25" customHeight="1">
      <c r="A33" s="101" t="s">
        <v>865</v>
      </c>
      <c r="B33" s="103">
        <v>1610</v>
      </c>
      <c r="C33" s="94"/>
      <c r="D33" s="102"/>
      <c r="E33" s="94">
        <f>C33-'[3]februāris'!C33</f>
        <v>0</v>
      </c>
      <c r="F33" s="101" t="s">
        <v>865</v>
      </c>
      <c r="G33" s="103">
        <f>ROUND(B33/1000,)</f>
        <v>2</v>
      </c>
      <c r="H33" s="103">
        <f>ROUND(C33/1000,)</f>
        <v>0</v>
      </c>
      <c r="I33" s="104"/>
      <c r="J33" s="103"/>
      <c r="L33" s="101" t="s">
        <v>865</v>
      </c>
      <c r="M33" s="103">
        <v>2</v>
      </c>
      <c r="N33" s="103"/>
      <c r="O33" s="104"/>
      <c r="P33" s="103"/>
    </row>
    <row r="34" spans="1:16" ht="12.75">
      <c r="A34" s="119" t="s">
        <v>866</v>
      </c>
      <c r="B34" s="111">
        <f>B9-B13</f>
        <v>-285220</v>
      </c>
      <c r="C34" s="111">
        <f>C9-C13</f>
        <v>-98809</v>
      </c>
      <c r="D34" s="102">
        <f t="shared" si="0"/>
        <v>34.64308253278171</v>
      </c>
      <c r="E34" s="94">
        <f>C34-'[3]februāris'!C34</f>
        <v>422471.6599999999</v>
      </c>
      <c r="F34" s="119" t="s">
        <v>866</v>
      </c>
      <c r="G34" s="111">
        <f>G9-G13</f>
        <v>-252</v>
      </c>
      <c r="H34" s="103">
        <f>H9-H13</f>
        <v>5</v>
      </c>
      <c r="I34" s="104">
        <f t="shared" si="2"/>
        <v>-1.984126984126984</v>
      </c>
      <c r="J34" s="103">
        <v>-179</v>
      </c>
      <c r="L34" s="119" t="s">
        <v>866</v>
      </c>
      <c r="M34" s="111">
        <v>-285</v>
      </c>
      <c r="N34" s="94">
        <f>N9-N13</f>
        <v>53</v>
      </c>
      <c r="O34" s="104">
        <f>N34/M34*100</f>
        <v>-18.596491228070175</v>
      </c>
      <c r="P34" s="94">
        <f>P9-P13</f>
        <v>48</v>
      </c>
    </row>
    <row r="35" spans="1:16" ht="12.75">
      <c r="A35" s="119" t="s">
        <v>867</v>
      </c>
      <c r="B35" s="121">
        <f>-B34</f>
        <v>285220</v>
      </c>
      <c r="C35" s="121">
        <f>-C34</f>
        <v>98809</v>
      </c>
      <c r="D35" s="122"/>
      <c r="E35" s="94">
        <f>C35-'[3]februāris'!C35</f>
        <v>-422471.6599999999</v>
      </c>
      <c r="F35" s="119" t="s">
        <v>867</v>
      </c>
      <c r="G35" s="111">
        <v>252</v>
      </c>
      <c r="H35" s="94">
        <f>-H34</f>
        <v>-5</v>
      </c>
      <c r="I35" s="104">
        <f>-H35/G35*100</f>
        <v>1.984126984126984</v>
      </c>
      <c r="J35" s="94">
        <v>179</v>
      </c>
      <c r="L35" s="119" t="s">
        <v>867</v>
      </c>
      <c r="M35" s="111">
        <v>285</v>
      </c>
      <c r="N35" s="94">
        <f>-N34</f>
        <v>-53</v>
      </c>
      <c r="O35" s="104">
        <f>N35/M35*100</f>
        <v>-18.596491228070175</v>
      </c>
      <c r="P35" s="94">
        <f>-P34</f>
        <v>-48</v>
      </c>
    </row>
    <row r="36" spans="1:16" ht="25.5">
      <c r="A36" s="123" t="s">
        <v>868</v>
      </c>
      <c r="B36" s="121">
        <v>285300</v>
      </c>
      <c r="C36" s="94"/>
      <c r="D36" s="122"/>
      <c r="E36" s="94">
        <f>C36-'[3]februāris'!C36</f>
        <v>0</v>
      </c>
      <c r="F36" s="123" t="s">
        <v>868</v>
      </c>
      <c r="G36" s="111">
        <f>ROUND(B36/1000,)</f>
        <v>285</v>
      </c>
      <c r="H36" s="94">
        <f>H35</f>
        <v>-5</v>
      </c>
      <c r="I36" s="124"/>
      <c r="J36" s="94">
        <f>ROUND(E36/1000,)</f>
        <v>0</v>
      </c>
      <c r="L36" s="123" t="s">
        <v>868</v>
      </c>
      <c r="M36" s="111">
        <v>285</v>
      </c>
      <c r="N36" s="94">
        <f>N35</f>
        <v>-53</v>
      </c>
      <c r="O36" s="104">
        <f>N36/M36*100</f>
        <v>-18.596491228070175</v>
      </c>
      <c r="P36" s="94">
        <f>P35</f>
        <v>-48</v>
      </c>
    </row>
    <row r="37" spans="1:16" ht="17.25" customHeight="1">
      <c r="A37" s="740"/>
      <c r="B37" s="740"/>
      <c r="C37" s="740"/>
      <c r="D37" s="740"/>
      <c r="E37" s="740"/>
      <c r="F37" s="741"/>
      <c r="G37" s="741"/>
      <c r="H37" s="741"/>
      <c r="I37" s="741"/>
      <c r="J37" s="741"/>
      <c r="L37" s="741"/>
      <c r="M37" s="741"/>
      <c r="N37" s="741"/>
      <c r="O37" s="741"/>
      <c r="P37" s="741"/>
    </row>
    <row r="38" spans="1:16" ht="17.25" customHeight="1">
      <c r="A38" s="80" t="s">
        <v>829</v>
      </c>
      <c r="B38" s="9"/>
      <c r="C38" s="125"/>
      <c r="D38" s="9" t="s">
        <v>830</v>
      </c>
      <c r="E38" s="4"/>
      <c r="F38" s="80" t="s">
        <v>829</v>
      </c>
      <c r="G38" s="9"/>
      <c r="H38" s="9"/>
      <c r="I38" s="9" t="s">
        <v>830</v>
      </c>
      <c r="J38" s="4"/>
      <c r="L38" s="80" t="s">
        <v>829</v>
      </c>
      <c r="M38" s="9"/>
      <c r="N38" s="9"/>
      <c r="O38" s="9" t="s">
        <v>830</v>
      </c>
      <c r="P38" s="4"/>
    </row>
    <row r="39" spans="1:16" ht="17.25" customHeight="1">
      <c r="A39" s="76"/>
      <c r="B39" s="77"/>
      <c r="C39" s="126"/>
      <c r="D39" s="79"/>
      <c r="E39" s="78"/>
      <c r="F39" s="76"/>
      <c r="G39" s="77"/>
      <c r="H39" s="78"/>
      <c r="I39" s="79"/>
      <c r="J39" s="78"/>
      <c r="L39" s="76"/>
      <c r="M39" s="77"/>
      <c r="N39" s="78"/>
      <c r="O39" s="79"/>
      <c r="P39" s="78"/>
    </row>
    <row r="40" spans="1:16" ht="17.25" customHeight="1">
      <c r="A40" s="76"/>
      <c r="B40" s="76"/>
      <c r="C40" s="126"/>
      <c r="D40" s="49"/>
      <c r="E40" s="78"/>
      <c r="G40" s="76"/>
      <c r="H40" s="127"/>
      <c r="I40" s="49"/>
      <c r="J40" s="78"/>
      <c r="M40" s="76"/>
      <c r="N40" s="127"/>
      <c r="O40" s="49"/>
      <c r="P40" s="78"/>
    </row>
    <row r="42" spans="1:15" ht="17.25" customHeight="1">
      <c r="A42" s="76"/>
      <c r="B42" s="77"/>
      <c r="C42" s="126"/>
      <c r="D42" s="79"/>
      <c r="F42" s="81" t="s">
        <v>831</v>
      </c>
      <c r="G42" s="77"/>
      <c r="H42" s="78"/>
      <c r="I42" s="79"/>
      <c r="L42" s="81" t="s">
        <v>831</v>
      </c>
      <c r="M42" s="77"/>
      <c r="N42" s="78"/>
      <c r="O42" s="79"/>
    </row>
    <row r="43" spans="2:16" ht="17.25" customHeight="1">
      <c r="B43" s="83"/>
      <c r="D43" s="85"/>
      <c r="E43" s="84"/>
      <c r="F43" s="81" t="s">
        <v>869</v>
      </c>
      <c r="G43" s="83"/>
      <c r="H43" s="84"/>
      <c r="I43" s="85"/>
      <c r="J43" s="84"/>
      <c r="L43" s="81" t="s">
        <v>832</v>
      </c>
      <c r="M43" s="83"/>
      <c r="N43" s="84"/>
      <c r="O43" s="85"/>
      <c r="P43" s="84"/>
    </row>
    <row r="44" spans="2:15" ht="17.25" customHeight="1">
      <c r="B44" s="82"/>
      <c r="D44" s="85"/>
      <c r="G44" s="82"/>
      <c r="I44" s="85"/>
      <c r="M44" s="82"/>
      <c r="O44" s="85"/>
    </row>
    <row r="45" spans="2:15" ht="17.25" customHeight="1">
      <c r="B45" s="82"/>
      <c r="D45" s="85"/>
      <c r="G45" s="82"/>
      <c r="I45" s="85"/>
      <c r="M45" s="82"/>
      <c r="O45" s="85"/>
    </row>
    <row r="46" spans="2:15" ht="17.25" customHeight="1">
      <c r="B46" s="82"/>
      <c r="D46" s="85"/>
      <c r="G46" s="82"/>
      <c r="I46" s="85"/>
      <c r="M46" s="82"/>
      <c r="O46" s="85"/>
    </row>
    <row r="47" spans="1:15" ht="17.25" customHeight="1">
      <c r="A47" s="4"/>
      <c r="B47" s="82"/>
      <c r="D47" s="85"/>
      <c r="F47" s="4"/>
      <c r="G47" s="82"/>
      <c r="I47" s="85"/>
      <c r="L47" s="4"/>
      <c r="M47" s="82"/>
      <c r="O47" s="85"/>
    </row>
    <row r="48" spans="1:12" ht="17.25" customHeight="1">
      <c r="A48" s="4"/>
      <c r="F48" s="4"/>
      <c r="L48" s="4"/>
    </row>
    <row r="49" spans="1:12" ht="17.25" customHeight="1">
      <c r="A49" s="86"/>
      <c r="F49" s="86"/>
      <c r="L49" s="86"/>
    </row>
    <row r="50" spans="2:15" ht="17.25" customHeight="1">
      <c r="B50" s="82"/>
      <c r="D50" s="85"/>
      <c r="G50" s="82"/>
      <c r="I50" s="85"/>
      <c r="M50" s="82"/>
      <c r="O50" s="85"/>
    </row>
  </sheetData>
  <mergeCells count="9">
    <mergeCell ref="A37:E37"/>
    <mergeCell ref="F37:J37"/>
    <mergeCell ref="L37:P37"/>
    <mergeCell ref="A4:E4"/>
    <mergeCell ref="F4:J4"/>
    <mergeCell ref="L4:P4"/>
    <mergeCell ref="A5:E5"/>
    <mergeCell ref="F5:J5"/>
    <mergeCell ref="L5:P5"/>
  </mergeCells>
  <printOptions/>
  <pageMargins left="0.75" right="0.75" top="1" bottom="0.37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H1">
      <selection activeCell="B7" sqref="B7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6" width="9.140625" style="0" hidden="1" customWidth="1"/>
    <col min="7" max="7" width="9.140625" style="53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</cols>
  <sheetData>
    <row r="1" ht="12.75">
      <c r="M1" s="3" t="s">
        <v>790</v>
      </c>
    </row>
    <row r="2" spans="2:13" ht="12.75">
      <c r="B2" t="s">
        <v>791</v>
      </c>
      <c r="H2" s="744" t="s">
        <v>791</v>
      </c>
      <c r="I2" s="744"/>
      <c r="J2" s="744"/>
      <c r="K2" s="744"/>
      <c r="L2" s="744"/>
      <c r="M2" s="744"/>
    </row>
    <row r="4" spans="1:13" ht="12.75">
      <c r="A4" s="744" t="s">
        <v>792</v>
      </c>
      <c r="B4" s="744"/>
      <c r="C4" s="744"/>
      <c r="D4" s="744"/>
      <c r="E4" s="744"/>
      <c r="H4" s="745" t="s">
        <v>792</v>
      </c>
      <c r="I4" s="745"/>
      <c r="J4" s="745"/>
      <c r="K4" s="745"/>
      <c r="L4" s="745"/>
      <c r="M4" s="745"/>
    </row>
    <row r="5" spans="2:13" ht="12.75">
      <c r="B5" s="55" t="s">
        <v>793</v>
      </c>
      <c r="H5" s="760" t="s">
        <v>793</v>
      </c>
      <c r="I5" s="760"/>
      <c r="J5" s="760"/>
      <c r="K5" s="760"/>
      <c r="L5" s="760"/>
      <c r="M5" s="760"/>
    </row>
    <row r="7" spans="1:13" ht="56.25">
      <c r="A7" s="56" t="s">
        <v>748</v>
      </c>
      <c r="B7" s="57" t="s">
        <v>794</v>
      </c>
      <c r="C7" s="58" t="s">
        <v>750</v>
      </c>
      <c r="D7" s="59" t="s">
        <v>795</v>
      </c>
      <c r="E7" s="58" t="s">
        <v>796</v>
      </c>
      <c r="F7" s="58" t="s">
        <v>797</v>
      </c>
      <c r="H7" s="60" t="s">
        <v>748</v>
      </c>
      <c r="I7" s="61" t="s">
        <v>794</v>
      </c>
      <c r="J7" s="58" t="s">
        <v>750</v>
      </c>
      <c r="K7" s="59" t="s">
        <v>795</v>
      </c>
      <c r="L7" s="58" t="s">
        <v>798</v>
      </c>
      <c r="M7" s="58" t="s">
        <v>797</v>
      </c>
    </row>
    <row r="8" spans="1:13" ht="12.75">
      <c r="A8" s="56">
        <v>1</v>
      </c>
      <c r="B8" s="56">
        <v>2</v>
      </c>
      <c r="D8" s="56">
        <v>3</v>
      </c>
      <c r="E8" s="56">
        <v>4</v>
      </c>
      <c r="F8" s="56">
        <v>5</v>
      </c>
      <c r="H8" s="62">
        <v>1</v>
      </c>
      <c r="I8" s="62">
        <v>2</v>
      </c>
      <c r="J8" s="62">
        <v>3</v>
      </c>
      <c r="K8" s="62">
        <v>4</v>
      </c>
      <c r="L8" s="62">
        <v>5</v>
      </c>
      <c r="M8" s="13">
        <v>6</v>
      </c>
    </row>
    <row r="9" spans="1:13" ht="19.5" customHeight="1">
      <c r="A9" s="63" t="s">
        <v>799</v>
      </c>
      <c r="B9" s="55"/>
      <c r="C9" s="53">
        <f>SUM(C10:C23)</f>
        <v>2352936</v>
      </c>
      <c r="D9" s="53">
        <f>SUM(D10:D23)</f>
        <v>964367</v>
      </c>
      <c r="E9" s="64">
        <f>D9/C9*100</f>
        <v>40.985687668512874</v>
      </c>
      <c r="F9" s="53">
        <f>SUM(F10:F23)</f>
        <v>373264.69999999995</v>
      </c>
      <c r="G9" s="53">
        <f>SUM(G10:G23)</f>
        <v>373264.69999999995</v>
      </c>
      <c r="H9" s="65" t="s">
        <v>799</v>
      </c>
      <c r="I9" s="66"/>
      <c r="J9" s="67">
        <f>SUM(J10:J23)</f>
        <v>2353</v>
      </c>
      <c r="K9" s="67">
        <f>SUM(K10:K23)</f>
        <v>964</v>
      </c>
      <c r="L9" s="68">
        <f>K9/J9*100</f>
        <v>40.96897577560561</v>
      </c>
      <c r="M9" s="69">
        <f>SUM(M10:M23)</f>
        <v>375</v>
      </c>
    </row>
    <row r="10" spans="1:13" ht="19.5" customHeight="1">
      <c r="A10" s="55" t="s">
        <v>800</v>
      </c>
      <c r="B10" s="70" t="s">
        <v>801</v>
      </c>
      <c r="C10" s="53">
        <v>172696</v>
      </c>
      <c r="D10" s="53">
        <v>59259</v>
      </c>
      <c r="E10" s="64">
        <f aca="true" t="shared" si="0" ref="E10:E22">D10/C10*100</f>
        <v>34.31405475517673</v>
      </c>
      <c r="F10" s="53">
        <f>D10-'[2]februāris'!D10</f>
        <v>17818.6</v>
      </c>
      <c r="G10" s="53">
        <f>D10-'[2]februāris'!D10</f>
        <v>17818.6</v>
      </c>
      <c r="H10" s="66" t="s">
        <v>800</v>
      </c>
      <c r="I10" s="71" t="s">
        <v>801</v>
      </c>
      <c r="J10" s="72">
        <f>ROUND(C10/1000,)</f>
        <v>173</v>
      </c>
      <c r="K10" s="72">
        <f>ROUND(D10/1000,)</f>
        <v>59</v>
      </c>
      <c r="L10" s="73">
        <f>K10/J10*100</f>
        <v>34.104046242774565</v>
      </c>
      <c r="M10" s="66">
        <f>ROUND(F10/1000,)</f>
        <v>18</v>
      </c>
    </row>
    <row r="11" spans="1:13" ht="19.5" customHeight="1">
      <c r="A11" s="55" t="s">
        <v>802</v>
      </c>
      <c r="B11" s="70" t="s">
        <v>803</v>
      </c>
      <c r="C11" s="53">
        <v>20871</v>
      </c>
      <c r="D11" s="53">
        <v>5870</v>
      </c>
      <c r="E11" s="64">
        <f t="shared" si="0"/>
        <v>28.125149729289443</v>
      </c>
      <c r="F11" s="53">
        <f>D11-'[2]februāris'!D11</f>
        <v>4254.9</v>
      </c>
      <c r="G11" s="53">
        <f>D11-'[2]februāris'!D11</f>
        <v>4254.9</v>
      </c>
      <c r="H11" s="66" t="s">
        <v>802</v>
      </c>
      <c r="I11" s="71" t="s">
        <v>803</v>
      </c>
      <c r="J11" s="72">
        <f aca="true" t="shared" si="1" ref="J11:K23">ROUND(C11/1000,)</f>
        <v>21</v>
      </c>
      <c r="K11" s="72">
        <f t="shared" si="1"/>
        <v>6</v>
      </c>
      <c r="L11" s="73">
        <f aca="true" t="shared" si="2" ref="L11:L22">K11/J11*100</f>
        <v>28.57142857142857</v>
      </c>
      <c r="M11" s="66">
        <f>ROUND(F11/1000,)</f>
        <v>4</v>
      </c>
    </row>
    <row r="12" spans="1:13" ht="26.25" customHeight="1">
      <c r="A12" s="74" t="s">
        <v>804</v>
      </c>
      <c r="B12" s="56" t="s">
        <v>805</v>
      </c>
      <c r="C12" s="53">
        <v>195029</v>
      </c>
      <c r="D12" s="53">
        <v>47480</v>
      </c>
      <c r="E12" s="64">
        <f t="shared" si="0"/>
        <v>24.345097395771912</v>
      </c>
      <c r="F12" s="53">
        <f>D12-'[2]februāris'!D12</f>
        <v>26012</v>
      </c>
      <c r="G12" s="53">
        <f>D12-'[2]februāris'!D12</f>
        <v>26012</v>
      </c>
      <c r="H12" s="75" t="s">
        <v>804</v>
      </c>
      <c r="I12" s="62" t="s">
        <v>805</v>
      </c>
      <c r="J12" s="72">
        <f t="shared" si="1"/>
        <v>195</v>
      </c>
      <c r="K12" s="72">
        <f t="shared" si="1"/>
        <v>47</v>
      </c>
      <c r="L12" s="73">
        <f t="shared" si="2"/>
        <v>24.102564102564102</v>
      </c>
      <c r="M12" s="66">
        <f>ROUND(F12/1000,)</f>
        <v>26</v>
      </c>
    </row>
    <row r="13" spans="1:13" ht="19.5" customHeight="1">
      <c r="A13" s="55" t="s">
        <v>806</v>
      </c>
      <c r="B13" s="56" t="s">
        <v>807</v>
      </c>
      <c r="C13" s="53">
        <v>1095132</v>
      </c>
      <c r="D13" s="53">
        <v>446626</v>
      </c>
      <c r="E13" s="64">
        <f t="shared" si="0"/>
        <v>40.782846268760295</v>
      </c>
      <c r="F13" s="53">
        <f>D13-'[2]februāris'!D13</f>
        <v>163618.3</v>
      </c>
      <c r="G13" s="53">
        <f>D13-'[2]februāris'!D13</f>
        <v>163618.3</v>
      </c>
      <c r="H13" s="66" t="s">
        <v>806</v>
      </c>
      <c r="I13" s="62" t="s">
        <v>807</v>
      </c>
      <c r="J13" s="72">
        <f t="shared" si="1"/>
        <v>1095</v>
      </c>
      <c r="K13" s="72">
        <f t="shared" si="1"/>
        <v>447</v>
      </c>
      <c r="L13" s="73">
        <f t="shared" si="2"/>
        <v>40.821917808219176</v>
      </c>
      <c r="M13" s="66">
        <f aca="true" t="shared" si="3" ref="M13:M23">ROUND(F13/1000,)</f>
        <v>164</v>
      </c>
    </row>
    <row r="14" spans="1:13" ht="19.5" customHeight="1">
      <c r="A14" s="55" t="s">
        <v>808</v>
      </c>
      <c r="B14" s="56" t="s">
        <v>809</v>
      </c>
      <c r="C14" s="53">
        <v>182440</v>
      </c>
      <c r="D14" s="53">
        <v>106781</v>
      </c>
      <c r="E14" s="64">
        <f t="shared" si="0"/>
        <v>58.52937952203464</v>
      </c>
      <c r="F14" s="53">
        <f>D14-'[2]februāris'!D14</f>
        <v>48290</v>
      </c>
      <c r="G14" s="53">
        <f>D14-'[2]februāris'!D14</f>
        <v>48290</v>
      </c>
      <c r="H14" s="66" t="s">
        <v>808</v>
      </c>
      <c r="I14" s="62" t="s">
        <v>809</v>
      </c>
      <c r="J14" s="72">
        <f t="shared" si="1"/>
        <v>182</v>
      </c>
      <c r="K14" s="72">
        <f t="shared" si="1"/>
        <v>107</v>
      </c>
      <c r="L14" s="73">
        <f t="shared" si="2"/>
        <v>58.791208791208796</v>
      </c>
      <c r="M14" s="66">
        <f>ROUND(F14/1000,)+1</f>
        <v>49</v>
      </c>
    </row>
    <row r="15" spans="1:13" ht="19.5" customHeight="1">
      <c r="A15" s="74" t="s">
        <v>810</v>
      </c>
      <c r="B15" s="56" t="s">
        <v>811</v>
      </c>
      <c r="C15" s="53">
        <v>17915</v>
      </c>
      <c r="D15" s="53">
        <v>7278</v>
      </c>
      <c r="E15" s="64">
        <f t="shared" si="0"/>
        <v>40.625174434831145</v>
      </c>
      <c r="F15" s="53">
        <f>D15-'[2]februāris'!D15</f>
        <v>603.3000000000002</v>
      </c>
      <c r="G15" s="53">
        <f>D15-'[2]februāris'!D15</f>
        <v>603.3000000000002</v>
      </c>
      <c r="H15" s="75" t="s">
        <v>810</v>
      </c>
      <c r="I15" s="62" t="s">
        <v>811</v>
      </c>
      <c r="J15" s="72">
        <f t="shared" si="1"/>
        <v>18</v>
      </c>
      <c r="K15" s="72">
        <f t="shared" si="1"/>
        <v>7</v>
      </c>
      <c r="L15" s="73">
        <f t="shared" si="2"/>
        <v>38.88888888888889</v>
      </c>
      <c r="M15" s="66">
        <f>ROUND(F15/1000,)-1</f>
        <v>0</v>
      </c>
    </row>
    <row r="16" spans="1:13" ht="19.5" customHeight="1">
      <c r="A16" s="74" t="s">
        <v>812</v>
      </c>
      <c r="B16" s="56" t="s">
        <v>813</v>
      </c>
      <c r="C16" s="53">
        <v>70725</v>
      </c>
      <c r="D16" s="53">
        <v>9113</v>
      </c>
      <c r="E16" s="64">
        <f t="shared" si="0"/>
        <v>12.885118416401555</v>
      </c>
      <c r="F16" s="53">
        <f>D16-'[2]februāris'!D16</f>
        <v>8060.1</v>
      </c>
      <c r="G16" s="53">
        <f>D16-'[2]februāris'!D16</f>
        <v>8060.1</v>
      </c>
      <c r="H16" s="75" t="s">
        <v>812</v>
      </c>
      <c r="I16" s="62" t="s">
        <v>813</v>
      </c>
      <c r="J16" s="72">
        <f t="shared" si="1"/>
        <v>71</v>
      </c>
      <c r="K16" s="72">
        <f t="shared" si="1"/>
        <v>9</v>
      </c>
      <c r="L16" s="73">
        <f t="shared" si="2"/>
        <v>12.676056338028168</v>
      </c>
      <c r="M16" s="66">
        <f t="shared" si="3"/>
        <v>8</v>
      </c>
    </row>
    <row r="17" spans="1:13" ht="19.5" customHeight="1">
      <c r="A17" s="55" t="s">
        <v>814</v>
      </c>
      <c r="B17" s="56" t="s">
        <v>815</v>
      </c>
      <c r="C17" s="53">
        <v>462619</v>
      </c>
      <c r="D17" s="53">
        <v>179083</v>
      </c>
      <c r="E17" s="64">
        <f t="shared" si="0"/>
        <v>38.71068849312285</v>
      </c>
      <c r="F17" s="53">
        <f>D17-'[2]februāris'!D17</f>
        <v>85474.2</v>
      </c>
      <c r="G17" s="53">
        <f>D17-'[2]februāris'!D17</f>
        <v>85474.2</v>
      </c>
      <c r="H17" s="66" t="s">
        <v>814</v>
      </c>
      <c r="I17" s="62" t="s">
        <v>815</v>
      </c>
      <c r="J17" s="72">
        <f t="shared" si="1"/>
        <v>463</v>
      </c>
      <c r="K17" s="72">
        <f>ROUND(D17/1000,)</f>
        <v>179</v>
      </c>
      <c r="L17" s="73">
        <f t="shared" si="2"/>
        <v>38.66090712742981</v>
      </c>
      <c r="M17" s="66">
        <f>ROUND(F17/1000,)+1</f>
        <v>86</v>
      </c>
    </row>
    <row r="18" spans="1:13" ht="19.5" customHeight="1">
      <c r="A18" s="55" t="s">
        <v>816</v>
      </c>
      <c r="B18" s="56" t="s">
        <v>817</v>
      </c>
      <c r="C18" s="53"/>
      <c r="D18" s="53"/>
      <c r="E18" s="64"/>
      <c r="F18" s="53">
        <f>D18-'[2]februāris'!D18</f>
        <v>0</v>
      </c>
      <c r="G18" s="53">
        <f>D18-'[2]februāris'!D18</f>
        <v>0</v>
      </c>
      <c r="H18" s="66" t="s">
        <v>816</v>
      </c>
      <c r="I18" s="62" t="s">
        <v>817</v>
      </c>
      <c r="J18" s="72">
        <f t="shared" si="1"/>
        <v>0</v>
      </c>
      <c r="K18" s="72">
        <f t="shared" si="1"/>
        <v>0</v>
      </c>
      <c r="L18" s="73"/>
      <c r="M18" s="66">
        <f t="shared" si="3"/>
        <v>0</v>
      </c>
    </row>
    <row r="19" spans="1:13" ht="27.75" customHeight="1">
      <c r="A19" s="74" t="s">
        <v>818</v>
      </c>
      <c r="B19" s="56" t="s">
        <v>819</v>
      </c>
      <c r="C19" s="53">
        <v>53466</v>
      </c>
      <c r="D19" s="53">
        <v>27286</v>
      </c>
      <c r="E19" s="64">
        <f t="shared" si="0"/>
        <v>51.034302173343804</v>
      </c>
      <c r="F19" s="53">
        <f>D19-'[2]februāris'!D19</f>
        <v>16326.7</v>
      </c>
      <c r="G19" s="53">
        <f>D19-'[2]februāris'!D19</f>
        <v>16326.7</v>
      </c>
      <c r="H19" s="75" t="s">
        <v>818</v>
      </c>
      <c r="I19" s="62" t="s">
        <v>819</v>
      </c>
      <c r="J19" s="72">
        <f t="shared" si="1"/>
        <v>53</v>
      </c>
      <c r="K19" s="72">
        <f t="shared" si="1"/>
        <v>27</v>
      </c>
      <c r="L19" s="73">
        <f t="shared" si="2"/>
        <v>50.943396226415096</v>
      </c>
      <c r="M19" s="66">
        <f t="shared" si="3"/>
        <v>16</v>
      </c>
    </row>
    <row r="20" spans="1:13" ht="22.5" customHeight="1">
      <c r="A20" s="74" t="s">
        <v>820</v>
      </c>
      <c r="B20" s="56" t="s">
        <v>821</v>
      </c>
      <c r="C20" s="53"/>
      <c r="D20" s="53"/>
      <c r="E20" s="64"/>
      <c r="F20" s="53">
        <f>D20-'[2]februāris'!D20</f>
        <v>0</v>
      </c>
      <c r="G20" s="53">
        <f>D20-'[2]februāris'!D20</f>
        <v>0</v>
      </c>
      <c r="H20" s="75" t="s">
        <v>820</v>
      </c>
      <c r="I20" s="62" t="s">
        <v>821</v>
      </c>
      <c r="J20" s="72"/>
      <c r="K20" s="72"/>
      <c r="L20" s="73"/>
      <c r="M20" s="66">
        <f t="shared" si="3"/>
        <v>0</v>
      </c>
    </row>
    <row r="21" spans="1:13" ht="19.5" customHeight="1">
      <c r="A21" s="55" t="s">
        <v>822</v>
      </c>
      <c r="B21" s="56" t="s">
        <v>823</v>
      </c>
      <c r="C21" s="53"/>
      <c r="D21" s="53"/>
      <c r="E21" s="64"/>
      <c r="F21" s="53">
        <f>D21-'[2]februāris'!D21</f>
        <v>0</v>
      </c>
      <c r="G21" s="53">
        <f>D21-'[2]februāris'!D21</f>
        <v>0</v>
      </c>
      <c r="H21" s="66" t="s">
        <v>822</v>
      </c>
      <c r="I21" s="62" t="s">
        <v>823</v>
      </c>
      <c r="J21" s="72"/>
      <c r="K21" s="72"/>
      <c r="L21" s="73"/>
      <c r="M21" s="66">
        <f t="shared" si="3"/>
        <v>0</v>
      </c>
    </row>
    <row r="22" spans="1:13" ht="19.5" customHeight="1">
      <c r="A22" s="55" t="s">
        <v>824</v>
      </c>
      <c r="B22" s="56" t="s">
        <v>825</v>
      </c>
      <c r="C22" s="53">
        <f>7564+152458-77979</f>
        <v>82043</v>
      </c>
      <c r="D22" s="53">
        <f>1112+152458-77979</f>
        <v>75591</v>
      </c>
      <c r="E22" s="64">
        <f t="shared" si="0"/>
        <v>92.13583121046281</v>
      </c>
      <c r="F22" s="53">
        <f>D22-'[2]februāris'!D22</f>
        <v>2806.600000000006</v>
      </c>
      <c r="G22" s="53">
        <f>D22-'[2]februāris'!D22</f>
        <v>2806.600000000006</v>
      </c>
      <c r="H22" s="66" t="s">
        <v>824</v>
      </c>
      <c r="I22" s="62" t="s">
        <v>825</v>
      </c>
      <c r="J22" s="72">
        <f>ROUND(C22/1000,)</f>
        <v>82</v>
      </c>
      <c r="K22" s="72">
        <f>ROUND(D22/1000,)</f>
        <v>76</v>
      </c>
      <c r="L22" s="73">
        <f t="shared" si="2"/>
        <v>92.6829268292683</v>
      </c>
      <c r="M22" s="66">
        <f>ROUND(F22/1000,)+1</f>
        <v>4</v>
      </c>
    </row>
    <row r="23" spans="1:13" ht="27" customHeight="1">
      <c r="A23" s="74" t="s">
        <v>826</v>
      </c>
      <c r="B23" s="56" t="s">
        <v>827</v>
      </c>
      <c r="C23" s="53"/>
      <c r="D23" s="53"/>
      <c r="E23" s="64"/>
      <c r="F23" s="53">
        <f>D23-'[2]februāris'!D23</f>
        <v>0</v>
      </c>
      <c r="G23" s="53">
        <f>D23-'[2]februāris'!D23</f>
        <v>0</v>
      </c>
      <c r="H23" s="75" t="s">
        <v>828</v>
      </c>
      <c r="I23" s="62" t="s">
        <v>827</v>
      </c>
      <c r="J23" s="72">
        <f t="shared" si="1"/>
        <v>0</v>
      </c>
      <c r="K23" s="72">
        <f t="shared" si="1"/>
        <v>0</v>
      </c>
      <c r="L23" s="73"/>
      <c r="M23" s="66">
        <f t="shared" si="3"/>
        <v>0</v>
      </c>
    </row>
    <row r="24" spans="1:13" ht="12.75">
      <c r="A24" s="55"/>
      <c r="B24" s="55"/>
      <c r="C24" s="53"/>
      <c r="D24" s="53"/>
      <c r="F24" s="53"/>
      <c r="H24" s="55"/>
      <c r="I24" s="55"/>
      <c r="J24" s="53"/>
      <c r="K24" s="53"/>
      <c r="M24" s="55"/>
    </row>
    <row r="25" ht="12.75">
      <c r="L25" s="4"/>
    </row>
    <row r="26" spans="8:12" ht="12.75">
      <c r="H26" s="76"/>
      <c r="I26" s="77"/>
      <c r="J26" s="78"/>
      <c r="K26" s="79"/>
      <c r="L26" s="78"/>
    </row>
    <row r="27" spans="8:12" ht="12.75">
      <c r="H27" s="80" t="s">
        <v>829</v>
      </c>
      <c r="I27" s="9"/>
      <c r="J27" s="9"/>
      <c r="K27" s="9" t="s">
        <v>830</v>
      </c>
      <c r="L27" s="78"/>
    </row>
    <row r="28" spans="8:12" ht="12.75">
      <c r="H28" s="81"/>
      <c r="I28" s="81"/>
      <c r="J28" s="82"/>
      <c r="K28" s="9"/>
      <c r="L28" s="82"/>
    </row>
    <row r="29" spans="8:12" ht="12.75">
      <c r="H29" s="76"/>
      <c r="I29" s="77"/>
      <c r="J29" s="78"/>
      <c r="K29" s="79"/>
      <c r="L29" s="82"/>
    </row>
    <row r="30" spans="8:12" ht="12.75">
      <c r="H30" s="81"/>
      <c r="I30" s="83"/>
      <c r="J30" s="84"/>
      <c r="K30" s="85"/>
      <c r="L30" s="84"/>
    </row>
    <row r="31" spans="8:12" ht="12.75">
      <c r="H31" s="81"/>
      <c r="I31" s="82"/>
      <c r="J31" s="82"/>
      <c r="K31" s="85"/>
      <c r="L31" s="82"/>
    </row>
    <row r="32" spans="8:12" ht="12.75">
      <c r="H32" s="86" t="s">
        <v>831</v>
      </c>
      <c r="I32" s="82"/>
      <c r="J32" s="82"/>
      <c r="K32" s="85"/>
      <c r="L32" s="82"/>
    </row>
    <row r="33" spans="8:12" ht="12.75">
      <c r="H33" s="86" t="s">
        <v>832</v>
      </c>
      <c r="I33" s="82"/>
      <c r="J33" s="82"/>
      <c r="K33" s="85"/>
      <c r="L33" s="82"/>
    </row>
  </sheetData>
  <mergeCells count="4">
    <mergeCell ref="H2:M2"/>
    <mergeCell ref="A4:E4"/>
    <mergeCell ref="H4:M4"/>
    <mergeCell ref="H5:M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67"/>
  <sheetViews>
    <sheetView workbookViewId="0" topLeftCell="H1">
      <selection activeCell="A6" sqref="A6"/>
    </sheetView>
  </sheetViews>
  <sheetFormatPr defaultColWidth="9.140625" defaultRowHeight="12.75"/>
  <cols>
    <col min="1" max="1" width="36.00390625" style="5" hidden="1" customWidth="1"/>
    <col min="2" max="2" width="11.421875" style="5" hidden="1" customWidth="1"/>
    <col min="3" max="3" width="9.57421875" style="5" hidden="1" customWidth="1"/>
    <col min="4" max="4" width="8.57421875" style="5" hidden="1" customWidth="1"/>
    <col min="5" max="5" width="2.7109375" style="5" hidden="1" customWidth="1"/>
    <col min="6" max="6" width="2.8515625" style="5" hidden="1" customWidth="1"/>
    <col min="7" max="7" width="7.421875" style="3" hidden="1" customWidth="1"/>
    <col min="8" max="8" width="33.57421875" style="5" customWidth="1"/>
    <col min="9" max="9" width="10.8515625" style="5" customWidth="1"/>
    <col min="10" max="10" width="10.57421875" style="5" customWidth="1"/>
    <col min="11" max="11" width="8.140625" style="5" customWidth="1"/>
    <col min="12" max="12" width="8.7109375" style="5" customWidth="1"/>
    <col min="13" max="13" width="9.57421875" style="5" customWidth="1"/>
    <col min="14" max="14" width="8.57421875" style="5" customWidth="1"/>
    <col min="15" max="104" width="11.421875" style="0" customWidth="1"/>
    <col min="105" max="16384" width="11.421875" style="5" customWidth="1"/>
  </cols>
  <sheetData>
    <row r="1" spans="1:14" ht="17.25" customHeight="1">
      <c r="A1" s="1" t="s">
        <v>740</v>
      </c>
      <c r="B1" s="1"/>
      <c r="C1" s="2"/>
      <c r="D1" s="1"/>
      <c r="E1" s="1"/>
      <c r="F1" s="2"/>
      <c r="G1" s="3" t="s">
        <v>741</v>
      </c>
      <c r="H1" s="1" t="s">
        <v>740</v>
      </c>
      <c r="I1" s="1"/>
      <c r="J1" s="2"/>
      <c r="K1" s="1"/>
      <c r="L1" s="1"/>
      <c r="M1" s="2"/>
      <c r="N1" s="4" t="s">
        <v>742</v>
      </c>
    </row>
    <row r="2" spans="1:14" ht="12.75">
      <c r="A2" s="1"/>
      <c r="B2" s="1"/>
      <c r="C2" s="2"/>
      <c r="D2" s="1"/>
      <c r="E2" s="1"/>
      <c r="F2" s="2"/>
      <c r="H2" s="1"/>
      <c r="I2" s="1"/>
      <c r="J2" s="2"/>
      <c r="K2" s="1"/>
      <c r="L2" s="1"/>
      <c r="M2" s="2"/>
      <c r="N2" s="4"/>
    </row>
    <row r="3" spans="1:14" ht="18.75" customHeight="1">
      <c r="A3" s="6" t="s">
        <v>743</v>
      </c>
      <c r="B3" s="2"/>
      <c r="C3" s="2"/>
      <c r="D3" s="2"/>
      <c r="E3" s="2"/>
      <c r="F3" s="2"/>
      <c r="H3" s="6" t="s">
        <v>743</v>
      </c>
      <c r="I3" s="2"/>
      <c r="J3" s="2"/>
      <c r="K3" s="2"/>
      <c r="L3" s="2"/>
      <c r="M3" s="2"/>
      <c r="N3" s="4"/>
    </row>
    <row r="4" spans="1:14" ht="15" customHeight="1">
      <c r="A4" s="6" t="s">
        <v>744</v>
      </c>
      <c r="B4" s="2"/>
      <c r="C4" s="2"/>
      <c r="D4" s="2"/>
      <c r="E4" s="2"/>
      <c r="F4" s="2"/>
      <c r="H4" s="7" t="s">
        <v>745</v>
      </c>
      <c r="I4" s="2"/>
      <c r="J4" s="2"/>
      <c r="K4" s="2"/>
      <c r="L4" s="2"/>
      <c r="M4" s="2"/>
      <c r="N4" s="4"/>
    </row>
    <row r="5" spans="1:14" ht="11.25" customHeight="1">
      <c r="A5" s="4"/>
      <c r="B5" s="4"/>
      <c r="C5" s="4"/>
      <c r="D5" s="8"/>
      <c r="E5" s="9"/>
      <c r="F5" s="4"/>
      <c r="G5" s="10" t="s">
        <v>746</v>
      </c>
      <c r="H5" s="4"/>
      <c r="I5" s="4"/>
      <c r="J5" s="4"/>
      <c r="K5" s="8"/>
      <c r="L5" s="9"/>
      <c r="M5" s="4"/>
      <c r="N5" s="10" t="s">
        <v>747</v>
      </c>
    </row>
    <row r="6" spans="1:14" ht="79.5" customHeight="1">
      <c r="A6" s="11" t="s">
        <v>748</v>
      </c>
      <c r="B6" s="11" t="s">
        <v>749</v>
      </c>
      <c r="C6" s="11" t="s">
        <v>750</v>
      </c>
      <c r="D6" s="11" t="s">
        <v>751</v>
      </c>
      <c r="E6" s="11" t="s">
        <v>752</v>
      </c>
      <c r="F6" s="11" t="s">
        <v>753</v>
      </c>
      <c r="G6" s="11" t="s">
        <v>754</v>
      </c>
      <c r="H6" s="11" t="s">
        <v>748</v>
      </c>
      <c r="I6" s="11" t="s">
        <v>749</v>
      </c>
      <c r="J6" s="11" t="s">
        <v>750</v>
      </c>
      <c r="K6" s="11" t="s">
        <v>751</v>
      </c>
      <c r="L6" s="11" t="s">
        <v>752</v>
      </c>
      <c r="M6" s="11" t="s">
        <v>755</v>
      </c>
      <c r="N6" s="11" t="s">
        <v>756</v>
      </c>
    </row>
    <row r="7" spans="1:14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3">
        <v>7</v>
      </c>
    </row>
    <row r="8" spans="1:104" ht="38.25">
      <c r="A8" s="14" t="s">
        <v>757</v>
      </c>
      <c r="B8" s="15">
        <f>B9+B12</f>
        <v>68523734</v>
      </c>
      <c r="C8" s="15">
        <f>C9+C12</f>
        <v>13448164</v>
      </c>
      <c r="D8" s="15">
        <f>D9+D12</f>
        <v>3966318</v>
      </c>
      <c r="E8" s="16">
        <f aca="true" t="shared" si="0" ref="E8:E71">IF(ISERROR(D8/B8)," ",(D8/B8))</f>
        <v>0.05788239736030731</v>
      </c>
      <c r="F8" s="16">
        <f aca="true" t="shared" si="1" ref="F8:F71">IF(ISERROR(D8/C8)," ",(D8/C8))</f>
        <v>0.29493379170569306</v>
      </c>
      <c r="G8" s="17">
        <f>D8-'[1]Februaris'!D8</f>
        <v>777112</v>
      </c>
      <c r="H8" s="14" t="s">
        <v>757</v>
      </c>
      <c r="I8" s="15">
        <f>I9+I12</f>
        <v>68524</v>
      </c>
      <c r="J8" s="18">
        <f>J9+J12</f>
        <v>13449</v>
      </c>
      <c r="K8" s="18">
        <f>SUM(K15,K18,K23,K26,K32,K39,K46,K52,K59,K65,K72,K79,K86,K91,K98,K104)</f>
        <v>3966</v>
      </c>
      <c r="L8" s="19">
        <f aca="true" t="shared" si="2" ref="L8:L71">IF(ISERROR(ROUND(K8,0)/ROUND(I8,0))," ",(ROUND(K8,)/ROUND(I8,)))*100</f>
        <v>5.787753195960539</v>
      </c>
      <c r="M8" s="19">
        <f aca="true" t="shared" si="3" ref="M8:M31">IF(ISERROR(ROUND(K8,0)/ROUND(J8,0))," ",(ROUND(K8,)/ROUND(J8,)))*100</f>
        <v>29.489181351773365</v>
      </c>
      <c r="N8" s="18">
        <f>K8-'[1]Februaris'!K8</f>
        <v>777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21" customFormat="1" ht="15" customHeight="1">
      <c r="A9" s="20" t="s">
        <v>758</v>
      </c>
      <c r="B9" s="15">
        <f>SUM(B10:B11)</f>
        <v>56158811</v>
      </c>
      <c r="C9" s="15">
        <f>SUM(C10:C11)</f>
        <v>11658645</v>
      </c>
      <c r="D9" s="15">
        <f>SUM(D10:D11)</f>
        <v>3410797</v>
      </c>
      <c r="E9" s="16">
        <f t="shared" si="0"/>
        <v>0.060734850671963124</v>
      </c>
      <c r="F9" s="16">
        <f t="shared" si="1"/>
        <v>0.29255518115527146</v>
      </c>
      <c r="G9" s="17">
        <f>D9-'[1]Februaris'!D9</f>
        <v>461267</v>
      </c>
      <c r="H9" s="20" t="s">
        <v>758</v>
      </c>
      <c r="I9" s="15">
        <f>SUM(I10:I11)</f>
        <v>56159</v>
      </c>
      <c r="J9" s="15">
        <f>SUM(J10:J11)</f>
        <v>11659</v>
      </c>
      <c r="K9" s="15">
        <f>SUM(K10:K11)</f>
        <v>3411</v>
      </c>
      <c r="L9" s="19">
        <f t="shared" si="2"/>
        <v>6.07382610089211</v>
      </c>
      <c r="M9" s="19">
        <f t="shared" si="3"/>
        <v>29.256368470709322</v>
      </c>
      <c r="N9" s="15">
        <f>K9-'[1]Februaris'!K9</f>
        <v>461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28" customFormat="1" ht="13.5" customHeight="1">
      <c r="A10" s="22" t="s">
        <v>759</v>
      </c>
      <c r="B10" s="23">
        <f>SUM(B17,B20,B25,B28,B34,B41,B48,B54,B61,B67,B74,B81,B100,B106,B88,B93)</f>
        <v>33358432</v>
      </c>
      <c r="C10" s="23">
        <f>SUM(C17,C20,C25,C28,C34,C41,C48,C54,C61,C88,C67,C74,C81,C100,C106)</f>
        <v>7028860</v>
      </c>
      <c r="D10" s="23">
        <f>SUM(D17,D20,D25,D28,D34,D41,D48,D54,D61,D88,D67,D74,D81,D100,D106)</f>
        <v>2054342</v>
      </c>
      <c r="E10" s="24">
        <f t="shared" si="0"/>
        <v>0.06158388979434045</v>
      </c>
      <c r="F10" s="24">
        <f t="shared" si="1"/>
        <v>0.2922724310912438</v>
      </c>
      <c r="G10" s="17">
        <f>D10-'[1]Februaris'!D10</f>
        <v>310126</v>
      </c>
      <c r="H10" s="22" t="s">
        <v>759</v>
      </c>
      <c r="I10" s="23">
        <f>SUM(I17,I20,I25,I28,I34,I41,I48,I54,I61,I67,I74,I81,I100,I106,I88,I93)</f>
        <v>33359</v>
      </c>
      <c r="J10" s="25">
        <f>SUM(J17,J20,J25,J28,J34,J41,J48,J54,J61,J88,J67,J74,J81,J100,J106)</f>
        <v>7029</v>
      </c>
      <c r="K10" s="25">
        <f>SUM(K17,K20,K25,K28,K34,K41,K48,K54,K61,K67,K74,K81,K100,K106)</f>
        <v>2054</v>
      </c>
      <c r="L10" s="26">
        <f t="shared" si="2"/>
        <v>6.1572589106388085</v>
      </c>
      <c r="M10" s="26">
        <f t="shared" si="3"/>
        <v>29.22179541897852</v>
      </c>
      <c r="N10" s="25">
        <f>K10-'[1]Februaris'!K10</f>
        <v>310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</row>
    <row r="11" spans="1:104" s="28" customFormat="1" ht="14.25" customHeight="1">
      <c r="A11" s="22" t="s">
        <v>760</v>
      </c>
      <c r="B11" s="23">
        <f>SUM(B29,B35,B42,B49,B55,B62,B68,B75,B82,B94,B101)</f>
        <v>22800379</v>
      </c>
      <c r="C11" s="23">
        <f>SUM(C29,C35,C42,C49,C55,C62,C68,C75,C82,)</f>
        <v>4629785</v>
      </c>
      <c r="D11" s="23">
        <f>SUM(D29,D35,D42,D49,D55,D62,D68,D75,D82,)</f>
        <v>1356455</v>
      </c>
      <c r="E11" s="24">
        <f t="shared" si="0"/>
        <v>0.059492651416013745</v>
      </c>
      <c r="F11" s="24">
        <f t="shared" si="1"/>
        <v>0.29298444744194385</v>
      </c>
      <c r="G11" s="17">
        <f>D11-'[1]Februaris'!D11</f>
        <v>151141</v>
      </c>
      <c r="H11" s="22" t="s">
        <v>760</v>
      </c>
      <c r="I11" s="23">
        <f>SUM(I29,I35,I42,I49,I55,I62,I68,I75,I82,I94,I101)</f>
        <v>22800</v>
      </c>
      <c r="J11" s="25">
        <f>SUM(J29,J35,J42,J55,J49,J62,J68,J75,J82,)</f>
        <v>4630</v>
      </c>
      <c r="K11" s="25">
        <f>SUM(K29,K35,K42,K49,K55,K62,K68,K75,K82,)</f>
        <v>1357</v>
      </c>
      <c r="L11" s="26">
        <f t="shared" si="2"/>
        <v>5.951754385964912</v>
      </c>
      <c r="M11" s="26">
        <f t="shared" si="3"/>
        <v>29.308855291576673</v>
      </c>
      <c r="N11" s="25">
        <f>K11-'[1]Februaris'!K11</f>
        <v>151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</row>
    <row r="12" spans="1:104" s="29" customFormat="1" ht="14.25" customHeight="1">
      <c r="A12" s="20" t="s">
        <v>761</v>
      </c>
      <c r="B12" s="15">
        <f>SUM(B13:B14)</f>
        <v>12364923</v>
      </c>
      <c r="C12" s="15">
        <f>SUM(C13:C14)</f>
        <v>1789519</v>
      </c>
      <c r="D12" s="15">
        <f>SUM(D13:D14)</f>
        <v>555521</v>
      </c>
      <c r="E12" s="16">
        <f t="shared" si="0"/>
        <v>0.044927170189414035</v>
      </c>
      <c r="F12" s="24">
        <f t="shared" si="1"/>
        <v>0.3104303446903889</v>
      </c>
      <c r="G12" s="17">
        <f>D12-'[1]Februaris'!D12</f>
        <v>315845</v>
      </c>
      <c r="H12" s="20" t="s">
        <v>761</v>
      </c>
      <c r="I12" s="15">
        <f>SUM(I13:I14)</f>
        <v>12365</v>
      </c>
      <c r="J12" s="18">
        <f>SUM(J13:J14)</f>
        <v>1790</v>
      </c>
      <c r="K12" s="18">
        <f>SUM(K13:K14)</f>
        <v>555</v>
      </c>
      <c r="L12" s="19">
        <f t="shared" si="2"/>
        <v>4.4884755357864945</v>
      </c>
      <c r="M12" s="19">
        <f t="shared" si="3"/>
        <v>31.00558659217877</v>
      </c>
      <c r="N12" s="18">
        <f>K12-'[1]Februaris'!K12</f>
        <v>316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28" customFormat="1" ht="13.5" customHeight="1">
      <c r="A13" s="22" t="s">
        <v>759</v>
      </c>
      <c r="B13" s="23">
        <f>B22+B31+B37+B44+B51+B57+B70+B77+B84+B103+B90+B96+B108</f>
        <v>7130147</v>
      </c>
      <c r="C13" s="23">
        <f>C22+C31+C37+C44+C51+C57+C70+C77+C84+C103</f>
        <v>1287229</v>
      </c>
      <c r="D13" s="23">
        <f>D22+D31+D37+D44+D51+D57+D70+D77+D84+D103</f>
        <v>260218</v>
      </c>
      <c r="E13" s="24">
        <f t="shared" si="0"/>
        <v>0.0364954607527727</v>
      </c>
      <c r="F13" s="24">
        <f t="shared" si="1"/>
        <v>0.2021536183538438</v>
      </c>
      <c r="G13" s="17">
        <f>D13-'[1]Februaris'!D13</f>
        <v>161148</v>
      </c>
      <c r="H13" s="22" t="s">
        <v>759</v>
      </c>
      <c r="I13" s="23">
        <f>I22+I31+I37+I44+I51+I57+I70+I77+I84+I103+I90+I96+I108</f>
        <v>7130</v>
      </c>
      <c r="J13" s="25">
        <f>J22+J31+J37+J44+J51+J57+J70+J77+J84+J103+J90+J96</f>
        <v>1287</v>
      </c>
      <c r="K13" s="25">
        <f>K22+K31+K37+K44+K51+K57+K70+K77+K84+K103</f>
        <v>260</v>
      </c>
      <c r="L13" s="26">
        <f t="shared" si="2"/>
        <v>3.6465638148667603</v>
      </c>
      <c r="M13" s="26">
        <f t="shared" si="3"/>
        <v>20.2020202020202</v>
      </c>
      <c r="N13" s="25">
        <f>K13-'[1]Februaris'!K13</f>
        <v>161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</row>
    <row r="14" spans="1:104" s="28" customFormat="1" ht="14.25" customHeight="1">
      <c r="A14" s="22" t="s">
        <v>760</v>
      </c>
      <c r="B14" s="23">
        <f>B38+B45+B58+B64+B71+B78+B85+B97</f>
        <v>5234776</v>
      </c>
      <c r="C14" s="23">
        <f>C38+C45+C58+C64+C71+C78+C85+C97</f>
        <v>502290</v>
      </c>
      <c r="D14" s="23">
        <f>D38+D45+D58+D64+D71+D78+D85+D97</f>
        <v>295303</v>
      </c>
      <c r="E14" s="24">
        <f t="shared" si="0"/>
        <v>0.05641177387532915</v>
      </c>
      <c r="F14" s="24">
        <f t="shared" si="1"/>
        <v>0.5879133568257381</v>
      </c>
      <c r="G14" s="17">
        <f>D14-'[1]Februaris'!D14</f>
        <v>154697</v>
      </c>
      <c r="H14" s="22" t="s">
        <v>760</v>
      </c>
      <c r="I14" s="23">
        <f>I38+I45+I58+I64+I71+I78+I85+I97</f>
        <v>5235</v>
      </c>
      <c r="J14" s="30">
        <f>J38+J45+J58+J64+J71+J78+J85+J97</f>
        <v>503</v>
      </c>
      <c r="K14" s="30">
        <f>K38+K45+K58+K64+K71+K78+K85+K97</f>
        <v>295</v>
      </c>
      <c r="L14" s="26">
        <f t="shared" si="2"/>
        <v>5.635148042024833</v>
      </c>
      <c r="M14" s="26">
        <f t="shared" si="3"/>
        <v>58.64811133200796</v>
      </c>
      <c r="N14" s="30">
        <f>K14-'[1]Februaris'!K14</f>
        <v>155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</row>
    <row r="15" spans="1:104" s="32" customFormat="1" ht="13.5" customHeight="1" hidden="1">
      <c r="A15" s="31" t="s">
        <v>762</v>
      </c>
      <c r="B15" s="25">
        <f aca="true" t="shared" si="4" ref="B15:D16">B16</f>
        <v>0</v>
      </c>
      <c r="C15" s="25">
        <f t="shared" si="4"/>
        <v>0</v>
      </c>
      <c r="D15" s="25">
        <f t="shared" si="4"/>
        <v>0</v>
      </c>
      <c r="E15" s="24" t="str">
        <f t="shared" si="0"/>
        <v> </v>
      </c>
      <c r="F15" s="24" t="str">
        <f t="shared" si="1"/>
        <v> </v>
      </c>
      <c r="G15" s="17">
        <f>D15-'[1]Februaris'!D15</f>
        <v>0</v>
      </c>
      <c r="H15" s="31" t="s">
        <v>762</v>
      </c>
      <c r="I15" s="25">
        <f aca="true" t="shared" si="5" ref="I15:K16">I16</f>
        <v>0</v>
      </c>
      <c r="J15" s="25">
        <f t="shared" si="5"/>
        <v>0</v>
      </c>
      <c r="K15" s="25">
        <f t="shared" si="5"/>
        <v>0</v>
      </c>
      <c r="L15" s="26" t="e">
        <f t="shared" si="2"/>
        <v>#VALUE!</v>
      </c>
      <c r="M15" s="26" t="e">
        <f t="shared" si="3"/>
        <v>#VALUE!</v>
      </c>
      <c r="N15" s="25">
        <f>K15-'[1]Februaris'!K15</f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28" customFormat="1" ht="12.75" hidden="1">
      <c r="A16" s="33" t="s">
        <v>763</v>
      </c>
      <c r="B16" s="34">
        <f t="shared" si="4"/>
        <v>0</v>
      </c>
      <c r="C16" s="34">
        <f t="shared" si="4"/>
        <v>0</v>
      </c>
      <c r="D16" s="34">
        <f t="shared" si="4"/>
        <v>0</v>
      </c>
      <c r="E16" s="24" t="str">
        <f t="shared" si="0"/>
        <v> </v>
      </c>
      <c r="F16" s="24" t="str">
        <f t="shared" si="1"/>
        <v> </v>
      </c>
      <c r="G16" s="17">
        <f>D16-'[1]Februaris'!D16</f>
        <v>0</v>
      </c>
      <c r="H16" s="33" t="s">
        <v>763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5" t="e">
        <f t="shared" si="2"/>
        <v>#VALUE!</v>
      </c>
      <c r="M16" s="35" t="e">
        <f t="shared" si="3"/>
        <v>#VALUE!</v>
      </c>
      <c r="N16" s="34">
        <f>K16-'[1]Februaris'!K16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4" s="29" customFormat="1" ht="12.75" hidden="1">
      <c r="A17" s="36" t="s">
        <v>759</v>
      </c>
      <c r="B17" s="37"/>
      <c r="C17" s="37"/>
      <c r="D17" s="37"/>
      <c r="E17" s="24" t="str">
        <f t="shared" si="0"/>
        <v> </v>
      </c>
      <c r="F17" s="24" t="str">
        <f t="shared" si="1"/>
        <v> </v>
      </c>
      <c r="G17" s="17">
        <f>D17-'[1]Februaris'!D17</f>
        <v>0</v>
      </c>
      <c r="H17" s="36" t="s">
        <v>759</v>
      </c>
      <c r="I17" s="37">
        <f>ROUND(B17/1000,0)</f>
        <v>0</v>
      </c>
      <c r="J17" s="37">
        <f>ROUND(C17/1000,0)</f>
        <v>0</v>
      </c>
      <c r="K17" s="37">
        <f>ROUND(D17/1000,0)</f>
        <v>0</v>
      </c>
      <c r="L17" s="38" t="e">
        <f t="shared" si="2"/>
        <v>#VALUE!</v>
      </c>
      <c r="M17" s="38" t="e">
        <f t="shared" si="3"/>
        <v>#VALUE!</v>
      </c>
      <c r="N17" s="37">
        <f>K17-'[1]Februaris'!K17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32" customFormat="1" ht="13.5" customHeight="1">
      <c r="A18" s="31" t="s">
        <v>764</v>
      </c>
      <c r="B18" s="25">
        <f>B19+B21</f>
        <v>288119</v>
      </c>
      <c r="C18" s="25">
        <f>C19+C21</f>
        <v>268466</v>
      </c>
      <c r="D18" s="25">
        <f>D19+D21</f>
        <v>6532</v>
      </c>
      <c r="E18" s="39">
        <f t="shared" si="0"/>
        <v>0.022671187946647044</v>
      </c>
      <c r="F18" s="39">
        <f t="shared" si="1"/>
        <v>0.024330827739825527</v>
      </c>
      <c r="G18" s="17">
        <f>D18-'[1]Februaris'!D18</f>
        <v>2217</v>
      </c>
      <c r="H18" s="31" t="s">
        <v>764</v>
      </c>
      <c r="I18" s="25">
        <f>I19+I21</f>
        <v>288</v>
      </c>
      <c r="J18" s="25">
        <f>J19+J21</f>
        <v>269</v>
      </c>
      <c r="K18" s="25">
        <f>K19+K21</f>
        <v>7</v>
      </c>
      <c r="L18" s="26">
        <f t="shared" si="2"/>
        <v>2.430555555555556</v>
      </c>
      <c r="M18" s="26">
        <f t="shared" si="3"/>
        <v>2.6022304832713754</v>
      </c>
      <c r="N18" s="25">
        <f>K18-'[1]Februaris'!K18</f>
        <v>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s="28" customFormat="1" ht="12.75">
      <c r="A19" s="33" t="s">
        <v>763</v>
      </c>
      <c r="B19" s="34">
        <f>B20</f>
        <v>261926</v>
      </c>
      <c r="C19" s="34">
        <f>C20</f>
        <v>261926</v>
      </c>
      <c r="D19" s="34">
        <f>D20</f>
        <v>0</v>
      </c>
      <c r="E19" s="24">
        <f t="shared" si="0"/>
        <v>0</v>
      </c>
      <c r="F19" s="24">
        <f t="shared" si="1"/>
        <v>0</v>
      </c>
      <c r="G19" s="17">
        <f>D19-'[1]Februaris'!D19</f>
        <v>0</v>
      </c>
      <c r="H19" s="33" t="s">
        <v>763</v>
      </c>
      <c r="I19" s="34">
        <f>I20</f>
        <v>262</v>
      </c>
      <c r="J19" s="34">
        <f>J20</f>
        <v>262</v>
      </c>
      <c r="K19" s="34">
        <f>K20</f>
        <v>0</v>
      </c>
      <c r="L19" s="35">
        <f t="shared" si="2"/>
        <v>0</v>
      </c>
      <c r="M19" s="35">
        <f t="shared" si="3"/>
        <v>0</v>
      </c>
      <c r="N19" s="34">
        <f>K19-'[1]Februaris'!K19</f>
        <v>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</row>
    <row r="20" spans="1:104" s="29" customFormat="1" ht="12.75">
      <c r="A20" s="36" t="s">
        <v>759</v>
      </c>
      <c r="B20" s="37">
        <v>261926</v>
      </c>
      <c r="C20" s="37">
        <v>261926</v>
      </c>
      <c r="D20" s="37"/>
      <c r="E20" s="24">
        <f t="shared" si="0"/>
        <v>0</v>
      </c>
      <c r="F20" s="24">
        <f t="shared" si="1"/>
        <v>0</v>
      </c>
      <c r="G20" s="17">
        <f>D20-'[1]Februaris'!D20</f>
        <v>0</v>
      </c>
      <c r="H20" s="36" t="s">
        <v>759</v>
      </c>
      <c r="I20" s="37">
        <f>ROUND(B20/1000,0)</f>
        <v>262</v>
      </c>
      <c r="J20" s="37">
        <f>ROUND(C20/1000,0)</f>
        <v>262</v>
      </c>
      <c r="K20" s="37">
        <f>ROUND(D20/1000,0)</f>
        <v>0</v>
      </c>
      <c r="L20" s="38">
        <f t="shared" si="2"/>
        <v>0</v>
      </c>
      <c r="M20" s="38">
        <f t="shared" si="3"/>
        <v>0</v>
      </c>
      <c r="N20" s="37">
        <f>K20-'[1]Februaris'!K20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28" customFormat="1" ht="12.75">
      <c r="A21" s="33" t="s">
        <v>765</v>
      </c>
      <c r="B21" s="34">
        <f>B22</f>
        <v>26193</v>
      </c>
      <c r="C21" s="34">
        <f>C22</f>
        <v>6540</v>
      </c>
      <c r="D21" s="34">
        <f>D22</f>
        <v>6532</v>
      </c>
      <c r="E21" s="24">
        <f t="shared" si="0"/>
        <v>0.2493796052380407</v>
      </c>
      <c r="F21" s="24">
        <f t="shared" si="1"/>
        <v>0.998776758409786</v>
      </c>
      <c r="G21" s="17">
        <f>D21-'[1]Februaris'!D21</f>
        <v>2217</v>
      </c>
      <c r="H21" s="33" t="s">
        <v>765</v>
      </c>
      <c r="I21" s="34">
        <f>I22</f>
        <v>26</v>
      </c>
      <c r="J21" s="34">
        <f>J22</f>
        <v>7</v>
      </c>
      <c r="K21" s="34">
        <f>K22</f>
        <v>7</v>
      </c>
      <c r="L21" s="35">
        <f t="shared" si="2"/>
        <v>26.923076923076923</v>
      </c>
      <c r="M21" s="35">
        <f t="shared" si="3"/>
        <v>100</v>
      </c>
      <c r="N21" s="34">
        <f>K21-'[1]Februaris'!K21</f>
        <v>3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</row>
    <row r="22" spans="1:104" s="29" customFormat="1" ht="12.75">
      <c r="A22" s="36" t="s">
        <v>759</v>
      </c>
      <c r="B22" s="37">
        <v>26193</v>
      </c>
      <c r="C22" s="37">
        <v>6540</v>
      </c>
      <c r="D22" s="37">
        <v>6532</v>
      </c>
      <c r="E22" s="24">
        <f t="shared" si="0"/>
        <v>0.2493796052380407</v>
      </c>
      <c r="F22" s="24">
        <f t="shared" si="1"/>
        <v>0.998776758409786</v>
      </c>
      <c r="G22" s="17">
        <f>D22-'[1]Februaris'!D22</f>
        <v>2217</v>
      </c>
      <c r="H22" s="36" t="s">
        <v>759</v>
      </c>
      <c r="I22" s="37">
        <f>ROUND(B22/1000,0)</f>
        <v>26</v>
      </c>
      <c r="J22" s="37">
        <f>ROUND(C22/1000,0)</f>
        <v>7</v>
      </c>
      <c r="K22" s="37">
        <f>ROUND(D22/1000,0)</f>
        <v>7</v>
      </c>
      <c r="L22" s="38">
        <f t="shared" si="2"/>
        <v>26.923076923076923</v>
      </c>
      <c r="M22" s="38">
        <f t="shared" si="3"/>
        <v>100</v>
      </c>
      <c r="N22" s="37">
        <f>K22-'[1]Februaris'!K22</f>
        <v>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32" customFormat="1" ht="13.5" customHeight="1" hidden="1">
      <c r="A23" s="31" t="s">
        <v>766</v>
      </c>
      <c r="B23" s="25">
        <f aca="true" t="shared" si="6" ref="B23:D24">B24</f>
        <v>0</v>
      </c>
      <c r="C23" s="25">
        <f t="shared" si="6"/>
        <v>0</v>
      </c>
      <c r="D23" s="25">
        <f t="shared" si="6"/>
        <v>0</v>
      </c>
      <c r="E23" s="39" t="str">
        <f t="shared" si="0"/>
        <v> </v>
      </c>
      <c r="F23" s="24" t="str">
        <f t="shared" si="1"/>
        <v> </v>
      </c>
      <c r="G23" s="17">
        <f>D23-'[1]Februaris'!D23</f>
        <v>0</v>
      </c>
      <c r="H23" s="31" t="s">
        <v>766</v>
      </c>
      <c r="I23" s="25">
        <f aca="true" t="shared" si="7" ref="I23:K24">I24</f>
        <v>0</v>
      </c>
      <c r="J23" s="25">
        <f t="shared" si="7"/>
        <v>0</v>
      </c>
      <c r="K23" s="25">
        <f t="shared" si="7"/>
        <v>0</v>
      </c>
      <c r="L23" s="26" t="e">
        <f t="shared" si="2"/>
        <v>#VALUE!</v>
      </c>
      <c r="M23" s="26" t="e">
        <f t="shared" si="3"/>
        <v>#VALUE!</v>
      </c>
      <c r="N23" s="25">
        <f>K23-'[1]Februaris'!K23</f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s="28" customFormat="1" ht="12.75" hidden="1">
      <c r="A24" s="33" t="s">
        <v>763</v>
      </c>
      <c r="B24" s="34">
        <f t="shared" si="6"/>
        <v>0</v>
      </c>
      <c r="C24" s="34">
        <f t="shared" si="6"/>
        <v>0</v>
      </c>
      <c r="D24" s="34">
        <f t="shared" si="6"/>
        <v>0</v>
      </c>
      <c r="E24" s="24" t="str">
        <f t="shared" si="0"/>
        <v> </v>
      </c>
      <c r="F24" s="24" t="str">
        <f t="shared" si="1"/>
        <v> </v>
      </c>
      <c r="G24" s="17">
        <f>D24-'[1]Februaris'!D24</f>
        <v>0</v>
      </c>
      <c r="H24" s="33" t="s">
        <v>763</v>
      </c>
      <c r="I24" s="34">
        <f t="shared" si="7"/>
        <v>0</v>
      </c>
      <c r="J24" s="34">
        <f t="shared" si="7"/>
        <v>0</v>
      </c>
      <c r="K24" s="34">
        <f t="shared" si="7"/>
        <v>0</v>
      </c>
      <c r="L24" s="35" t="e">
        <f t="shared" si="2"/>
        <v>#VALUE!</v>
      </c>
      <c r="M24" s="35" t="e">
        <f t="shared" si="3"/>
        <v>#VALUE!</v>
      </c>
      <c r="N24" s="34">
        <f>K24-'[1]Februaris'!K24</f>
        <v>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</row>
    <row r="25" spans="1:104" s="29" customFormat="1" ht="12.75" hidden="1">
      <c r="A25" s="36" t="s">
        <v>759</v>
      </c>
      <c r="B25" s="37"/>
      <c r="C25" s="37"/>
      <c r="D25" s="37"/>
      <c r="E25" s="24" t="str">
        <f t="shared" si="0"/>
        <v> </v>
      </c>
      <c r="F25" s="24" t="str">
        <f t="shared" si="1"/>
        <v> </v>
      </c>
      <c r="G25" s="17">
        <f>D25-'[1]Februaris'!D25</f>
        <v>0</v>
      </c>
      <c r="H25" s="36" t="s">
        <v>759</v>
      </c>
      <c r="I25" s="37">
        <f>ROUND(B25/1000,0)</f>
        <v>0</v>
      </c>
      <c r="J25" s="37">
        <f>ROUND(C25/1000,0)</f>
        <v>0</v>
      </c>
      <c r="K25" s="37">
        <f>ROUND(D25/1000,0)</f>
        <v>0</v>
      </c>
      <c r="L25" s="38" t="e">
        <f t="shared" si="2"/>
        <v>#VALUE!</v>
      </c>
      <c r="M25" s="38" t="e">
        <f t="shared" si="3"/>
        <v>#VALUE!</v>
      </c>
      <c r="N25" s="37">
        <f>K25-'[1]Februaris'!K25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32" customFormat="1" ht="12">
      <c r="A26" s="31" t="s">
        <v>767</v>
      </c>
      <c r="B26" s="25">
        <f>B27+B30</f>
        <v>6043999</v>
      </c>
      <c r="C26" s="25">
        <f>C27+C30</f>
        <v>834035</v>
      </c>
      <c r="D26" s="25">
        <f>D27+D30</f>
        <v>152510</v>
      </c>
      <c r="E26" s="39">
        <f t="shared" si="0"/>
        <v>0.025233293387374817</v>
      </c>
      <c r="F26" s="39">
        <f t="shared" si="1"/>
        <v>0.18285803353576288</v>
      </c>
      <c r="G26" s="17">
        <f>D26-'[1]Februaris'!D26</f>
        <v>132797</v>
      </c>
      <c r="H26" s="31" t="s">
        <v>767</v>
      </c>
      <c r="I26" s="25">
        <f>I27+I30</f>
        <v>6044</v>
      </c>
      <c r="J26" s="25">
        <f>J27+J30</f>
        <v>834</v>
      </c>
      <c r="K26" s="25">
        <f>K27+K30</f>
        <v>152</v>
      </c>
      <c r="L26" s="26">
        <f t="shared" si="2"/>
        <v>2.514890800794176</v>
      </c>
      <c r="M26" s="26">
        <f t="shared" si="3"/>
        <v>18.225419664268586</v>
      </c>
      <c r="N26" s="25">
        <f>K26-'[1]Februaris'!K26</f>
        <v>132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28" customFormat="1" ht="12.75">
      <c r="A27" s="33" t="s">
        <v>763</v>
      </c>
      <c r="B27" s="34">
        <f>SUM(B28:B29)</f>
        <v>6027039</v>
      </c>
      <c r="C27" s="34">
        <f>SUM(C28:C29)</f>
        <v>829795</v>
      </c>
      <c r="D27" s="34">
        <f>SUM(D28:D29)</f>
        <v>148275</v>
      </c>
      <c r="E27" s="24">
        <f t="shared" si="0"/>
        <v>0.02460163274204796</v>
      </c>
      <c r="F27" s="24">
        <f t="shared" si="1"/>
        <v>0.17868871227230823</v>
      </c>
      <c r="G27" s="17">
        <f>D27-'[1]Februaris'!D27</f>
        <v>128562</v>
      </c>
      <c r="H27" s="33" t="s">
        <v>763</v>
      </c>
      <c r="I27" s="34">
        <f>SUM(I28:I29)</f>
        <v>6027</v>
      </c>
      <c r="J27" s="34">
        <f>SUM(J28:J29)</f>
        <v>830</v>
      </c>
      <c r="K27" s="34">
        <f>SUM(K28:K29)</f>
        <v>148</v>
      </c>
      <c r="L27" s="35">
        <f t="shared" si="2"/>
        <v>2.4556163928986225</v>
      </c>
      <c r="M27" s="35">
        <f t="shared" si="3"/>
        <v>17.83132530120482</v>
      </c>
      <c r="N27" s="34">
        <f>K27-'[1]Februaris'!K27</f>
        <v>128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</row>
    <row r="28" spans="1:104" s="29" customFormat="1" ht="12.75">
      <c r="A28" s="36" t="s">
        <v>759</v>
      </c>
      <c r="B28" s="37">
        <v>5729733</v>
      </c>
      <c r="C28" s="37">
        <v>829795</v>
      </c>
      <c r="D28" s="37">
        <v>148275</v>
      </c>
      <c r="E28" s="24">
        <f t="shared" si="0"/>
        <v>0.025878169192177017</v>
      </c>
      <c r="F28" s="24">
        <f t="shared" si="1"/>
        <v>0.17868871227230823</v>
      </c>
      <c r="G28" s="17">
        <f>D28-'[1]Februaris'!D28</f>
        <v>128562</v>
      </c>
      <c r="H28" s="36" t="s">
        <v>759</v>
      </c>
      <c r="I28" s="37">
        <f aca="true" t="shared" si="8" ref="I28:K29">ROUND(B28/1000,0)</f>
        <v>5730</v>
      </c>
      <c r="J28" s="37">
        <f t="shared" si="8"/>
        <v>830</v>
      </c>
      <c r="K28" s="37">
        <f t="shared" si="8"/>
        <v>148</v>
      </c>
      <c r="L28" s="38">
        <f t="shared" si="2"/>
        <v>2.582897033158813</v>
      </c>
      <c r="M28" s="38">
        <f t="shared" si="3"/>
        <v>17.83132530120482</v>
      </c>
      <c r="N28" s="37">
        <f>K28-'[1]Februaris'!K28</f>
        <v>128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29" customFormat="1" ht="12.75">
      <c r="A29" s="36" t="s">
        <v>760</v>
      </c>
      <c r="B29" s="37">
        <v>297306</v>
      </c>
      <c r="C29" s="37"/>
      <c r="D29" s="37"/>
      <c r="E29" s="24">
        <f t="shared" si="0"/>
        <v>0</v>
      </c>
      <c r="F29" s="24" t="str">
        <f t="shared" si="1"/>
        <v> </v>
      </c>
      <c r="G29" s="17">
        <f>D29-'[1]Februaris'!D29</f>
        <v>0</v>
      </c>
      <c r="H29" s="36" t="s">
        <v>760</v>
      </c>
      <c r="I29" s="37">
        <f t="shared" si="8"/>
        <v>297</v>
      </c>
      <c r="J29" s="37">
        <f t="shared" si="8"/>
        <v>0</v>
      </c>
      <c r="K29" s="37">
        <f t="shared" si="8"/>
        <v>0</v>
      </c>
      <c r="L29" s="38">
        <f t="shared" si="2"/>
        <v>0</v>
      </c>
      <c r="M29" s="38"/>
      <c r="N29" s="37">
        <f>K29-'[1]Februaris'!K29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28" customFormat="1" ht="12.75">
      <c r="A30" s="33" t="s">
        <v>765</v>
      </c>
      <c r="B30" s="34">
        <f>B31</f>
        <v>16960</v>
      </c>
      <c r="C30" s="34">
        <f>C31</f>
        <v>4240</v>
      </c>
      <c r="D30" s="34">
        <f>D31</f>
        <v>4235</v>
      </c>
      <c r="E30" s="24">
        <f t="shared" si="0"/>
        <v>0.2497051886792453</v>
      </c>
      <c r="F30" s="24">
        <f t="shared" si="1"/>
        <v>0.9988207547169812</v>
      </c>
      <c r="G30" s="17">
        <f>D30-'[1]Februaris'!D30</f>
        <v>4235</v>
      </c>
      <c r="H30" s="33" t="s">
        <v>765</v>
      </c>
      <c r="I30" s="34">
        <f>I31</f>
        <v>17</v>
      </c>
      <c r="J30" s="34">
        <f>J31</f>
        <v>4</v>
      </c>
      <c r="K30" s="34">
        <f>K31</f>
        <v>4</v>
      </c>
      <c r="L30" s="35">
        <f t="shared" si="2"/>
        <v>23.52941176470588</v>
      </c>
      <c r="M30" s="35">
        <f t="shared" si="3"/>
        <v>100</v>
      </c>
      <c r="N30" s="34">
        <f>K30-'[1]Februaris'!K30</f>
        <v>4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</row>
    <row r="31" spans="1:104" s="29" customFormat="1" ht="12.75">
      <c r="A31" s="36" t="s">
        <v>759</v>
      </c>
      <c r="B31" s="37">
        <v>16960</v>
      </c>
      <c r="C31" s="37">
        <v>4240</v>
      </c>
      <c r="D31" s="37">
        <v>4235</v>
      </c>
      <c r="E31" s="24">
        <f t="shared" si="0"/>
        <v>0.2497051886792453</v>
      </c>
      <c r="F31" s="24">
        <f t="shared" si="1"/>
        <v>0.9988207547169812</v>
      </c>
      <c r="G31" s="17">
        <f>D31-'[1]Februaris'!D31</f>
        <v>4235</v>
      </c>
      <c r="H31" s="36" t="s">
        <v>759</v>
      </c>
      <c r="I31" s="37">
        <f>ROUND(B31/1000,0)</f>
        <v>17</v>
      </c>
      <c r="J31" s="37">
        <f>ROUND(C31/1000,0)</f>
        <v>4</v>
      </c>
      <c r="K31" s="37">
        <f>ROUND(D31/1000,0)</f>
        <v>4</v>
      </c>
      <c r="L31" s="38">
        <f t="shared" si="2"/>
        <v>23.52941176470588</v>
      </c>
      <c r="M31" s="38">
        <f t="shared" si="3"/>
        <v>100</v>
      </c>
      <c r="N31" s="37">
        <f>K31-'[1]Februaris'!K31</f>
        <v>4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32" customFormat="1" ht="12">
      <c r="A32" s="31" t="s">
        <v>768</v>
      </c>
      <c r="B32" s="25">
        <f>B33+B36</f>
        <v>3710930</v>
      </c>
      <c r="C32" s="25">
        <f>C33+C36</f>
        <v>1436998</v>
      </c>
      <c r="D32" s="25">
        <f>D33+D36</f>
        <v>623727</v>
      </c>
      <c r="E32" s="39">
        <f t="shared" si="0"/>
        <v>0.16807835232677523</v>
      </c>
      <c r="F32" s="39">
        <f t="shared" si="1"/>
        <v>0.43404862080531775</v>
      </c>
      <c r="G32" s="17">
        <f>D32-'[1]Februaris'!D32</f>
        <v>85223</v>
      </c>
      <c r="H32" s="31" t="s">
        <v>768</v>
      </c>
      <c r="I32" s="25">
        <f>I33+I36</f>
        <v>3711</v>
      </c>
      <c r="J32" s="25">
        <f>J33+J36</f>
        <v>1437</v>
      </c>
      <c r="K32" s="25">
        <f>K33+K36</f>
        <v>624</v>
      </c>
      <c r="L32" s="26">
        <f t="shared" si="2"/>
        <v>16.814874696847212</v>
      </c>
      <c r="M32" s="26">
        <f>IF(ISERROR(ROUND(K32,0)/ROUND(J32,0))," ",(ROUND(K32,)/ROUND(J32,)))*100</f>
        <v>43.42379958246347</v>
      </c>
      <c r="N32" s="25">
        <f>K32-'[1]Februaris'!K32</f>
        <v>86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s="28" customFormat="1" ht="12.75">
      <c r="A33" s="33" t="s">
        <v>763</v>
      </c>
      <c r="B33" s="34">
        <f>SUM(B34:B35)</f>
        <v>2840580</v>
      </c>
      <c r="C33" s="34">
        <f>SUM(C34:C35)</f>
        <v>1351998</v>
      </c>
      <c r="D33" s="34">
        <f>SUM(D34:D35)</f>
        <v>540779</v>
      </c>
      <c r="E33" s="24">
        <f t="shared" si="0"/>
        <v>0.1903762611860958</v>
      </c>
      <c r="F33" s="24">
        <f t="shared" si="1"/>
        <v>0.3999850591494958</v>
      </c>
      <c r="G33" s="17">
        <f>D33-'[1]Februaris'!D33</f>
        <v>62654</v>
      </c>
      <c r="H33" s="33" t="s">
        <v>763</v>
      </c>
      <c r="I33" s="34">
        <f>SUM(I34:I35)</f>
        <v>2841</v>
      </c>
      <c r="J33" s="34">
        <f>SUM(J34:J35)</f>
        <v>1352</v>
      </c>
      <c r="K33" s="34">
        <f>SUM(K34:K35)</f>
        <v>541</v>
      </c>
      <c r="L33" s="35">
        <f t="shared" si="2"/>
        <v>19.042590637099615</v>
      </c>
      <c r="M33" s="35">
        <f>IF(ISERROR(ROUND(K33,0)/ROUND(J33,0))," ",(ROUND(K33,)/ROUND(J33,)))*100</f>
        <v>40.014792899408285</v>
      </c>
      <c r="N33" s="34">
        <f>K33-'[1]Februaris'!K33</f>
        <v>63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</row>
    <row r="34" spans="1:104" s="29" customFormat="1" ht="12.75">
      <c r="A34" s="36" t="s">
        <v>759</v>
      </c>
      <c r="B34" s="37">
        <v>1626717</v>
      </c>
      <c r="C34" s="37">
        <v>539335</v>
      </c>
      <c r="D34" s="37">
        <v>182942</v>
      </c>
      <c r="E34" s="24">
        <f t="shared" si="0"/>
        <v>0.11246086442817035</v>
      </c>
      <c r="F34" s="24">
        <f t="shared" si="1"/>
        <v>0.3391991990136001</v>
      </c>
      <c r="G34" s="17">
        <f>D34-'[1]Februaris'!D34</f>
        <v>62654</v>
      </c>
      <c r="H34" s="36" t="s">
        <v>759</v>
      </c>
      <c r="I34" s="37">
        <f aca="true" t="shared" si="9" ref="I34:K35">ROUND(B34/1000,0)</f>
        <v>1627</v>
      </c>
      <c r="J34" s="37">
        <f t="shared" si="9"/>
        <v>539</v>
      </c>
      <c r="K34" s="37">
        <f t="shared" si="9"/>
        <v>183</v>
      </c>
      <c r="L34" s="38">
        <f t="shared" si="2"/>
        <v>11.247695144437616</v>
      </c>
      <c r="M34" s="38">
        <f>IF(ISERROR(ROUND(K34,0)/ROUND(J34,0))," ",(ROUND(K34,)/ROUND(J34,)))*100</f>
        <v>33.95176252319109</v>
      </c>
      <c r="N34" s="37">
        <f>K34-'[1]Februaris'!K34</f>
        <v>63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29" customFormat="1" ht="12.75">
      <c r="A35" s="36" t="s">
        <v>760</v>
      </c>
      <c r="B35" s="37">
        <v>1213863</v>
      </c>
      <c r="C35" s="37">
        <v>812663</v>
      </c>
      <c r="D35" s="37">
        <v>357837</v>
      </c>
      <c r="E35" s="24">
        <f t="shared" si="0"/>
        <v>0.2947919163859513</v>
      </c>
      <c r="F35" s="24">
        <f t="shared" si="1"/>
        <v>0.4403264329740618</v>
      </c>
      <c r="G35" s="17">
        <f>D35-'[1]Februaris'!D35</f>
        <v>0</v>
      </c>
      <c r="H35" s="36" t="s">
        <v>760</v>
      </c>
      <c r="I35" s="37">
        <f t="shared" si="9"/>
        <v>1214</v>
      </c>
      <c r="J35" s="37">
        <f t="shared" si="9"/>
        <v>813</v>
      </c>
      <c r="K35" s="37">
        <f t="shared" si="9"/>
        <v>358</v>
      </c>
      <c r="L35" s="38">
        <f t="shared" si="2"/>
        <v>29.489291598023065</v>
      </c>
      <c r="M35" s="38">
        <f>IF(ISERROR(ROUND(K35,0)/ROUND(J35,0))," ",(ROUND(K35,)/ROUND(J35,)))*100</f>
        <v>44.03444034440344</v>
      </c>
      <c r="N35" s="37">
        <f>K35-'[1]Februaris'!K35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28" customFormat="1" ht="12.75">
      <c r="A36" s="33" t="s">
        <v>765</v>
      </c>
      <c r="B36" s="34">
        <f>SUM(B37:B38)</f>
        <v>870350</v>
      </c>
      <c r="C36" s="34">
        <f>SUM(C37:C38)</f>
        <v>85000</v>
      </c>
      <c r="D36" s="34">
        <f>SUM(D37:D38)</f>
        <v>82948</v>
      </c>
      <c r="E36" s="24">
        <f t="shared" si="0"/>
        <v>0.09530418797035675</v>
      </c>
      <c r="F36" s="24">
        <f t="shared" si="1"/>
        <v>0.9758588235294118</v>
      </c>
      <c r="G36" s="17">
        <f>D36-'[1]Februaris'!D36</f>
        <v>22569</v>
      </c>
      <c r="H36" s="33" t="s">
        <v>765</v>
      </c>
      <c r="I36" s="34">
        <f>SUM(I37:I38)</f>
        <v>870</v>
      </c>
      <c r="J36" s="34">
        <f>SUM(J37:J38)</f>
        <v>85</v>
      </c>
      <c r="K36" s="34">
        <f>SUM(K37:K38)</f>
        <v>83</v>
      </c>
      <c r="L36" s="35">
        <f t="shared" si="2"/>
        <v>9.540229885057471</v>
      </c>
      <c r="M36" s="35">
        <f>IF(ISERROR(ROUND(K36,0)/ROUND(J36,0))," ",(ROUND(K36,)/ROUND(J36,)))*100</f>
        <v>97.6470588235294</v>
      </c>
      <c r="N36" s="34">
        <f>K36-'[1]Februaris'!K36</f>
        <v>23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</row>
    <row r="37" spans="1:104" s="29" customFormat="1" ht="12.75">
      <c r="A37" s="36" t="s">
        <v>759</v>
      </c>
      <c r="B37" s="37">
        <v>73450</v>
      </c>
      <c r="C37" s="37"/>
      <c r="D37" s="37"/>
      <c r="E37" s="24">
        <f t="shared" si="0"/>
        <v>0</v>
      </c>
      <c r="F37" s="24" t="str">
        <f t="shared" si="1"/>
        <v> </v>
      </c>
      <c r="G37" s="17">
        <f>D37-'[1]Februaris'!D37</f>
        <v>0</v>
      </c>
      <c r="H37" s="36" t="s">
        <v>759</v>
      </c>
      <c r="I37" s="37">
        <f aca="true" t="shared" si="10" ref="I37:K38">ROUND(B37/1000,0)</f>
        <v>73</v>
      </c>
      <c r="J37" s="37">
        <f t="shared" si="10"/>
        <v>0</v>
      </c>
      <c r="K37" s="37">
        <f t="shared" si="10"/>
        <v>0</v>
      </c>
      <c r="L37" s="38">
        <f t="shared" si="2"/>
        <v>0</v>
      </c>
      <c r="M37" s="38"/>
      <c r="N37" s="37">
        <f>K37-'[1]Februaris'!K37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29" customFormat="1" ht="12.75">
      <c r="A38" s="36" t="s">
        <v>760</v>
      </c>
      <c r="B38" s="37">
        <v>796900</v>
      </c>
      <c r="C38" s="37">
        <v>85000</v>
      </c>
      <c r="D38" s="37">
        <v>82948</v>
      </c>
      <c r="E38" s="24">
        <f t="shared" si="0"/>
        <v>0.10408834232651525</v>
      </c>
      <c r="F38" s="24">
        <f t="shared" si="1"/>
        <v>0.9758588235294118</v>
      </c>
      <c r="G38" s="17">
        <f>D38-'[1]Februaris'!D38</f>
        <v>22569</v>
      </c>
      <c r="H38" s="36" t="s">
        <v>760</v>
      </c>
      <c r="I38" s="37">
        <f t="shared" si="10"/>
        <v>797</v>
      </c>
      <c r="J38" s="37">
        <f t="shared" si="10"/>
        <v>85</v>
      </c>
      <c r="K38" s="37">
        <f t="shared" si="10"/>
        <v>83</v>
      </c>
      <c r="L38" s="38">
        <f t="shared" si="2"/>
        <v>10.41405269761606</v>
      </c>
      <c r="M38" s="38">
        <f>IF(ISERROR(ROUND(K38,0)/ROUND(J38,0))," ",(ROUND(K38,)/ROUND(J38,)))*100</f>
        <v>97.6470588235294</v>
      </c>
      <c r="N38" s="37">
        <f>K38-'[1]Februaris'!K38</f>
        <v>23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32" customFormat="1" ht="12">
      <c r="A39" s="31" t="s">
        <v>769</v>
      </c>
      <c r="B39" s="25">
        <f>B40+B43</f>
        <v>4195425</v>
      </c>
      <c r="C39" s="25">
        <f>C40+C43</f>
        <v>537121</v>
      </c>
      <c r="D39" s="25">
        <f>D40+D43</f>
        <v>47596</v>
      </c>
      <c r="E39" s="39">
        <f t="shared" si="0"/>
        <v>0.011344738614085581</v>
      </c>
      <c r="F39" s="39">
        <f t="shared" si="1"/>
        <v>0.08861318027036738</v>
      </c>
      <c r="G39" s="17">
        <f>D39-'[1]Februaris'!D39</f>
        <v>31246</v>
      </c>
      <c r="H39" s="31" t="s">
        <v>769</v>
      </c>
      <c r="I39" s="25">
        <f>I40+I43</f>
        <v>4196</v>
      </c>
      <c r="J39" s="25">
        <f>J40+J43</f>
        <v>537</v>
      </c>
      <c r="K39" s="25">
        <f>K40+K43</f>
        <v>47</v>
      </c>
      <c r="L39" s="26">
        <f t="shared" si="2"/>
        <v>1.1201143946615824</v>
      </c>
      <c r="M39" s="26">
        <f>IF(ISERROR(ROUND(K39,0)/ROUND(J39,0))," ",(ROUND(K39,)/ROUND(J39,)))*100</f>
        <v>8.752327746741155</v>
      </c>
      <c r="N39" s="25">
        <f>K39-'[1]Februaris'!K39</f>
        <v>31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spans="1:104" s="28" customFormat="1" ht="12.75">
      <c r="A40" s="33" t="s">
        <v>763</v>
      </c>
      <c r="B40" s="34">
        <f>SUM(B41:B42)</f>
        <v>3361152</v>
      </c>
      <c r="C40" s="34">
        <f>SUM(C41:C42)</f>
        <v>537121</v>
      </c>
      <c r="D40" s="34">
        <f>SUM(D41:D42)</f>
        <v>47596</v>
      </c>
      <c r="E40" s="24">
        <f t="shared" si="0"/>
        <v>0.014160621120377775</v>
      </c>
      <c r="F40" s="24">
        <f t="shared" si="1"/>
        <v>0.08861318027036738</v>
      </c>
      <c r="G40" s="17">
        <f>D40-'[1]Februaris'!D40</f>
        <v>31246</v>
      </c>
      <c r="H40" s="33" t="s">
        <v>763</v>
      </c>
      <c r="I40" s="34">
        <f>SUM(I41:I42)</f>
        <v>3361</v>
      </c>
      <c r="J40" s="34">
        <f>SUM(J41:J42)</f>
        <v>537</v>
      </c>
      <c r="K40" s="34">
        <f>SUM(K41:K42)</f>
        <v>47</v>
      </c>
      <c r="L40" s="35">
        <f t="shared" si="2"/>
        <v>1.39839333531687</v>
      </c>
      <c r="M40" s="35">
        <f>IF(ISERROR(ROUND(K40,0)/ROUND(J40,0))," ",(ROUND(K40,)/ROUND(J40,)))*100</f>
        <v>8.752327746741155</v>
      </c>
      <c r="N40" s="34">
        <f>K40-'[1]Februaris'!K40</f>
        <v>31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</row>
    <row r="41" spans="1:104" s="29" customFormat="1" ht="12.75">
      <c r="A41" s="36" t="s">
        <v>759</v>
      </c>
      <c r="B41" s="37">
        <v>240052</v>
      </c>
      <c r="C41" s="37">
        <v>135181</v>
      </c>
      <c r="D41" s="37">
        <v>47596</v>
      </c>
      <c r="E41" s="24">
        <f t="shared" si="0"/>
        <v>0.1982737073634046</v>
      </c>
      <c r="F41" s="24">
        <f t="shared" si="1"/>
        <v>0.3520909003484217</v>
      </c>
      <c r="G41" s="17">
        <f>D41-'[1]Februaris'!D41</f>
        <v>31246</v>
      </c>
      <c r="H41" s="36" t="s">
        <v>759</v>
      </c>
      <c r="I41" s="37">
        <f aca="true" t="shared" si="11" ref="I41:K42">ROUND(B41/1000,0)</f>
        <v>240</v>
      </c>
      <c r="J41" s="37">
        <f t="shared" si="11"/>
        <v>135</v>
      </c>
      <c r="K41" s="37">
        <f>ROUND(D41/1000,0)-1</f>
        <v>47</v>
      </c>
      <c r="L41" s="38">
        <f t="shared" si="2"/>
        <v>19.583333333333332</v>
      </c>
      <c r="M41" s="38">
        <f>IF(ISERROR(ROUND(K41,0)/ROUND(J41,0))," ",(ROUND(K41,)/ROUND(J41,)))*100</f>
        <v>34.81481481481482</v>
      </c>
      <c r="N41" s="37">
        <f>K41-'[1]Februaris'!K41</f>
        <v>31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29" customFormat="1" ht="12.75">
      <c r="A42" s="36" t="s">
        <v>760</v>
      </c>
      <c r="B42" s="37">
        <v>3121100</v>
      </c>
      <c r="C42" s="37">
        <v>401940</v>
      </c>
      <c r="D42" s="37"/>
      <c r="E42" s="24">
        <f t="shared" si="0"/>
        <v>0</v>
      </c>
      <c r="F42" s="24">
        <f t="shared" si="1"/>
        <v>0</v>
      </c>
      <c r="G42" s="17">
        <f>D42-'[1]Februaris'!D42</f>
        <v>0</v>
      </c>
      <c r="H42" s="36" t="s">
        <v>760</v>
      </c>
      <c r="I42" s="37">
        <f t="shared" si="11"/>
        <v>3121</v>
      </c>
      <c r="J42" s="37">
        <f t="shared" si="11"/>
        <v>402</v>
      </c>
      <c r="K42" s="37">
        <f t="shared" si="11"/>
        <v>0</v>
      </c>
      <c r="L42" s="38">
        <f t="shared" si="2"/>
        <v>0</v>
      </c>
      <c r="M42" s="38">
        <f>IF(ISERROR(ROUND(K42,0)/ROUND(J42,0))," ",(ROUND(K42,)/ROUND(J42,)))*100</f>
        <v>0</v>
      </c>
      <c r="N42" s="37">
        <f>K42-'[1]Februaris'!K42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28" customFormat="1" ht="12.75">
      <c r="A43" s="33" t="s">
        <v>765</v>
      </c>
      <c r="B43" s="34">
        <f>SUM(B44:B45)</f>
        <v>834273</v>
      </c>
      <c r="C43" s="34">
        <f>SUM(C44:C45)</f>
        <v>0</v>
      </c>
      <c r="D43" s="34">
        <f>SUM(D44:D45)</f>
        <v>0</v>
      </c>
      <c r="E43" s="24">
        <f t="shared" si="0"/>
        <v>0</v>
      </c>
      <c r="F43" s="24" t="str">
        <f t="shared" si="1"/>
        <v> </v>
      </c>
      <c r="G43" s="17">
        <f>D43-'[1]Februaris'!D43</f>
        <v>0</v>
      </c>
      <c r="H43" s="33" t="s">
        <v>765</v>
      </c>
      <c r="I43" s="34">
        <f>SUM(I44:I45)</f>
        <v>835</v>
      </c>
      <c r="J43" s="34">
        <f>SUM(J44:J45)</f>
        <v>0</v>
      </c>
      <c r="K43" s="34">
        <f>SUM(K44:K45)</f>
        <v>0</v>
      </c>
      <c r="L43" s="35">
        <f t="shared" si="2"/>
        <v>0</v>
      </c>
      <c r="M43" s="35"/>
      <c r="N43" s="34">
        <f>K43-'[1]Februaris'!K43</f>
        <v>0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</row>
    <row r="44" spans="1:104" s="29" customFormat="1" ht="12.75">
      <c r="A44" s="36" t="s">
        <v>759</v>
      </c>
      <c r="B44" s="37">
        <v>6623</v>
      </c>
      <c r="C44" s="37"/>
      <c r="D44" s="37"/>
      <c r="E44" s="24">
        <f t="shared" si="0"/>
        <v>0</v>
      </c>
      <c r="F44" s="24" t="str">
        <f t="shared" si="1"/>
        <v> </v>
      </c>
      <c r="G44" s="17">
        <f>D44-'[1]Februaris'!D44</f>
        <v>0</v>
      </c>
      <c r="H44" s="36" t="s">
        <v>759</v>
      </c>
      <c r="I44" s="37">
        <f aca="true" t="shared" si="12" ref="I44:K45">ROUND(B44/1000,0)</f>
        <v>7</v>
      </c>
      <c r="J44" s="37">
        <f t="shared" si="12"/>
        <v>0</v>
      </c>
      <c r="K44" s="37">
        <f t="shared" si="12"/>
        <v>0</v>
      </c>
      <c r="L44" s="38">
        <f t="shared" si="2"/>
        <v>0</v>
      </c>
      <c r="M44" s="38"/>
      <c r="N44" s="37">
        <f>K44-'[1]Februaris'!K44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29" customFormat="1" ht="12.75">
      <c r="A45" s="36" t="s">
        <v>760</v>
      </c>
      <c r="B45" s="37">
        <v>827650</v>
      </c>
      <c r="C45" s="37"/>
      <c r="D45" s="37"/>
      <c r="E45" s="24">
        <f t="shared" si="0"/>
        <v>0</v>
      </c>
      <c r="F45" s="24" t="str">
        <f t="shared" si="1"/>
        <v> </v>
      </c>
      <c r="G45" s="17">
        <f>D45-'[1]Februaris'!D45</f>
        <v>0</v>
      </c>
      <c r="H45" s="36" t="s">
        <v>760</v>
      </c>
      <c r="I45" s="37">
        <f t="shared" si="12"/>
        <v>828</v>
      </c>
      <c r="J45" s="37">
        <f t="shared" si="12"/>
        <v>0</v>
      </c>
      <c r="K45" s="37">
        <f t="shared" si="12"/>
        <v>0</v>
      </c>
      <c r="L45" s="38">
        <f t="shared" si="2"/>
        <v>0</v>
      </c>
      <c r="M45" s="38"/>
      <c r="N45" s="37">
        <f>K45-'[1]Februaris'!K45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32" customFormat="1" ht="12">
      <c r="A46" s="40" t="s">
        <v>770</v>
      </c>
      <c r="B46" s="25">
        <f>B47+B50</f>
        <v>4381568</v>
      </c>
      <c r="C46" s="25">
        <f>C47+C50</f>
        <v>3721630</v>
      </c>
      <c r="D46" s="25">
        <f>D47+D50</f>
        <v>1420454</v>
      </c>
      <c r="E46" s="39">
        <f t="shared" si="0"/>
        <v>0.3241885096842044</v>
      </c>
      <c r="F46" s="39">
        <f t="shared" si="1"/>
        <v>0.381675233701362</v>
      </c>
      <c r="G46" s="17">
        <f>D46-'[1]Februaris'!D46</f>
        <v>178407</v>
      </c>
      <c r="H46" s="40" t="s">
        <v>770</v>
      </c>
      <c r="I46" s="25">
        <f>I47+I50</f>
        <v>4381</v>
      </c>
      <c r="J46" s="25">
        <f>J47+J50</f>
        <v>3721</v>
      </c>
      <c r="K46" s="25">
        <f>K47+K50</f>
        <v>1420</v>
      </c>
      <c r="L46" s="26">
        <f t="shared" si="2"/>
        <v>32.412691166400364</v>
      </c>
      <c r="M46" s="26">
        <f>IF(ISERROR(ROUND(K46,0)/ROUND(J46,0))," ",(ROUND(K46,)/ROUND(J46,)))*100</f>
        <v>38.161784466541256</v>
      </c>
      <c r="N46" s="25">
        <f>K46-'[1]Februaris'!K46</f>
        <v>178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28" customFormat="1" ht="12.75" customHeight="1">
      <c r="A47" s="33" t="s">
        <v>763</v>
      </c>
      <c r="B47" s="34">
        <f>SUM(B48:B49)</f>
        <v>2766209</v>
      </c>
      <c r="C47" s="34">
        <f>SUM(C48:C49)</f>
        <v>2539209</v>
      </c>
      <c r="D47" s="34">
        <f>SUM(D48:D49)</f>
        <v>1258159</v>
      </c>
      <c r="E47" s="24">
        <f t="shared" si="0"/>
        <v>0.45483150405482736</v>
      </c>
      <c r="F47" s="24">
        <f t="shared" si="1"/>
        <v>0.4954924939223199</v>
      </c>
      <c r="G47" s="17">
        <f>D47-'[1]Februaris'!D47</f>
        <v>55155</v>
      </c>
      <c r="H47" s="33" t="s">
        <v>763</v>
      </c>
      <c r="I47" s="34">
        <f>I48+I49</f>
        <v>2766</v>
      </c>
      <c r="J47" s="34">
        <f>J48+J49</f>
        <v>2539</v>
      </c>
      <c r="K47" s="34">
        <f>K48+K49</f>
        <v>1258</v>
      </c>
      <c r="L47" s="35">
        <f t="shared" si="2"/>
        <v>45.480838756326825</v>
      </c>
      <c r="M47" s="35">
        <f>IF(ISERROR(ROUND(K47,0)/ROUND(J47,0))," ",(ROUND(K47,)/ROUND(J47,)))*100</f>
        <v>49.54706577392674</v>
      </c>
      <c r="N47" s="34">
        <f>K47-'[1]Februaris'!K47</f>
        <v>55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</row>
    <row r="48" spans="1:104" s="29" customFormat="1" ht="12.75">
      <c r="A48" s="36" t="s">
        <v>759</v>
      </c>
      <c r="B48" s="37">
        <v>2682429</v>
      </c>
      <c r="C48" s="37">
        <v>2455429</v>
      </c>
      <c r="D48" s="37">
        <v>1203004</v>
      </c>
      <c r="E48" s="24">
        <f t="shared" si="0"/>
        <v>0.4484756166892022</v>
      </c>
      <c r="F48" s="24">
        <f t="shared" si="1"/>
        <v>0.4899363817890886</v>
      </c>
      <c r="G48" s="17">
        <f>D48-'[1]Februaris'!D48</f>
        <v>0</v>
      </c>
      <c r="H48" s="36" t="s">
        <v>759</v>
      </c>
      <c r="I48" s="37">
        <f aca="true" t="shared" si="13" ref="I48:K49">ROUND(B48/1000,0)</f>
        <v>2682</v>
      </c>
      <c r="J48" s="37">
        <f t="shared" si="13"/>
        <v>2455</v>
      </c>
      <c r="K48" s="37">
        <f t="shared" si="13"/>
        <v>1203</v>
      </c>
      <c r="L48" s="38">
        <f t="shared" si="2"/>
        <v>44.85458612975391</v>
      </c>
      <c r="M48" s="38">
        <f aca="true" t="shared" si="14" ref="M48:M56">IF(ISERROR(ROUND(K48,0)/ROUND(J48,0))," ",(ROUND(K48,)/ROUND(J48,)))*100</f>
        <v>49.0020366598778</v>
      </c>
      <c r="N48" s="37">
        <f>K48-'[1]Februaris'!K48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29" customFormat="1" ht="12.75">
      <c r="A49" s="36" t="s">
        <v>760</v>
      </c>
      <c r="B49" s="37">
        <v>83780</v>
      </c>
      <c r="C49" s="37">
        <v>83780</v>
      </c>
      <c r="D49" s="37">
        <v>55155</v>
      </c>
      <c r="E49" s="24">
        <f t="shared" si="0"/>
        <v>0.6583313439961804</v>
      </c>
      <c r="F49" s="24">
        <f t="shared" si="1"/>
        <v>0.6583313439961804</v>
      </c>
      <c r="G49" s="17">
        <f>D49-'[1]Februaris'!D49</f>
        <v>55155</v>
      </c>
      <c r="H49" s="36" t="s">
        <v>760</v>
      </c>
      <c r="I49" s="37">
        <f t="shared" si="13"/>
        <v>84</v>
      </c>
      <c r="J49" s="37">
        <f t="shared" si="13"/>
        <v>84</v>
      </c>
      <c r="K49" s="37">
        <f t="shared" si="13"/>
        <v>55</v>
      </c>
      <c r="L49" s="38">
        <f t="shared" si="2"/>
        <v>65.47619047619048</v>
      </c>
      <c r="M49" s="38">
        <f t="shared" si="14"/>
        <v>65.47619047619048</v>
      </c>
      <c r="N49" s="37">
        <f>K49-'[1]Februaris'!K49</f>
        <v>55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41" customFormat="1" ht="12.75">
      <c r="A50" s="33" t="s">
        <v>765</v>
      </c>
      <c r="B50" s="34">
        <f>B51</f>
        <v>1615359</v>
      </c>
      <c r="C50" s="34">
        <f>C51</f>
        <v>1182421</v>
      </c>
      <c r="D50" s="34">
        <f>D51</f>
        <v>162295</v>
      </c>
      <c r="E50" s="24">
        <f t="shared" si="0"/>
        <v>0.10046992649931068</v>
      </c>
      <c r="F50" s="24">
        <f t="shared" si="1"/>
        <v>0.13725652707453606</v>
      </c>
      <c r="G50" s="17">
        <f>D50-'[1]Februaris'!D50</f>
        <v>123252</v>
      </c>
      <c r="H50" s="33" t="s">
        <v>765</v>
      </c>
      <c r="I50" s="34">
        <f>I51</f>
        <v>1615</v>
      </c>
      <c r="J50" s="34">
        <f>J51</f>
        <v>1182</v>
      </c>
      <c r="K50" s="34">
        <f>K51</f>
        <v>162</v>
      </c>
      <c r="L50" s="35">
        <f t="shared" si="2"/>
        <v>10.030959752321982</v>
      </c>
      <c r="M50" s="35">
        <f t="shared" si="14"/>
        <v>13.705583756345177</v>
      </c>
      <c r="N50" s="34">
        <f>K50-'[1]Februaris'!K50</f>
        <v>123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</row>
    <row r="51" spans="1:104" s="42" customFormat="1" ht="12.75">
      <c r="A51" s="36" t="s">
        <v>759</v>
      </c>
      <c r="B51" s="37">
        <v>1615359</v>
      </c>
      <c r="C51" s="37">
        <v>1182421</v>
      </c>
      <c r="D51" s="37">
        <v>162295</v>
      </c>
      <c r="E51" s="24">
        <f t="shared" si="0"/>
        <v>0.10046992649931068</v>
      </c>
      <c r="F51" s="24">
        <f t="shared" si="1"/>
        <v>0.13725652707453606</v>
      </c>
      <c r="G51" s="17">
        <f>D51-'[1]Februaris'!D51</f>
        <v>123252</v>
      </c>
      <c r="H51" s="36" t="s">
        <v>759</v>
      </c>
      <c r="I51" s="37">
        <f>ROUND(B51/1000,0)</f>
        <v>1615</v>
      </c>
      <c r="J51" s="37">
        <f>ROUND(C51/1000,0)</f>
        <v>1182</v>
      </c>
      <c r="K51" s="37">
        <f>ROUND(D51/1000,0)</f>
        <v>162</v>
      </c>
      <c r="L51" s="38">
        <f t="shared" si="2"/>
        <v>10.030959752321982</v>
      </c>
      <c r="M51" s="38">
        <f t="shared" si="14"/>
        <v>13.705583756345177</v>
      </c>
      <c r="N51" s="37">
        <f>K51-'[1]Februaris'!K51</f>
        <v>123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4" customFormat="1" ht="12">
      <c r="A52" s="31" t="s">
        <v>771</v>
      </c>
      <c r="B52" s="43">
        <f>B53+B56</f>
        <v>21033713</v>
      </c>
      <c r="C52" s="43">
        <f>C53+C56</f>
        <v>986670</v>
      </c>
      <c r="D52" s="43">
        <f>D53+D56</f>
        <v>161870</v>
      </c>
      <c r="E52" s="39">
        <f t="shared" si="0"/>
        <v>0.007695740642653059</v>
      </c>
      <c r="F52" s="39">
        <f t="shared" si="1"/>
        <v>0.16405687818622233</v>
      </c>
      <c r="G52" s="17">
        <f>D52-'[1]Februaris'!D52</f>
        <v>60790</v>
      </c>
      <c r="H52" s="31" t="s">
        <v>771</v>
      </c>
      <c r="I52" s="25">
        <f>I53+I56</f>
        <v>21033</v>
      </c>
      <c r="J52" s="25">
        <f>J53+J56</f>
        <v>986</v>
      </c>
      <c r="K52" s="25">
        <f>K53+K56</f>
        <v>162</v>
      </c>
      <c r="L52" s="26">
        <f t="shared" si="2"/>
        <v>0.7702182284980745</v>
      </c>
      <c r="M52" s="26">
        <f t="shared" si="14"/>
        <v>16.43002028397566</v>
      </c>
      <c r="N52" s="25">
        <f>K52-'[1]Februaris'!K52</f>
        <v>61</v>
      </c>
    </row>
    <row r="53" spans="1:14" s="27" customFormat="1" ht="12.75">
      <c r="A53" s="33" t="s">
        <v>763</v>
      </c>
      <c r="B53" s="34">
        <f>SUM(B54:B55)</f>
        <v>16233430</v>
      </c>
      <c r="C53" s="34">
        <f>SUM(C54:C55)</f>
        <v>855670</v>
      </c>
      <c r="D53" s="34">
        <f>SUM(D54:D55)</f>
        <v>44067</v>
      </c>
      <c r="E53" s="24">
        <f t="shared" si="0"/>
        <v>0.0027145834244518873</v>
      </c>
      <c r="F53" s="24">
        <f t="shared" si="1"/>
        <v>0.0514999941566258</v>
      </c>
      <c r="G53" s="17">
        <f>D53-'[1]Februaris'!D53</f>
        <v>0</v>
      </c>
      <c r="H53" s="33" t="s">
        <v>763</v>
      </c>
      <c r="I53" s="34">
        <f>SUM(I54:I55)</f>
        <v>16233</v>
      </c>
      <c r="J53" s="34">
        <f>SUM(J54:J55)</f>
        <v>855</v>
      </c>
      <c r="K53" s="34">
        <f>SUM(K54:K55)</f>
        <v>44</v>
      </c>
      <c r="L53" s="35">
        <f t="shared" si="2"/>
        <v>0.27105279369186225</v>
      </c>
      <c r="M53" s="35">
        <f t="shared" si="14"/>
        <v>5.146198830409357</v>
      </c>
      <c r="N53" s="34">
        <f>K53-'[1]Februaris'!K53</f>
        <v>0</v>
      </c>
    </row>
    <row r="54" spans="1:14" ht="12.75">
      <c r="A54" s="36" t="s">
        <v>759</v>
      </c>
      <c r="B54" s="37">
        <v>14472230</v>
      </c>
      <c r="C54" s="37">
        <v>356470</v>
      </c>
      <c r="D54" s="37">
        <v>44067</v>
      </c>
      <c r="E54" s="24">
        <f t="shared" si="0"/>
        <v>0.003044935023835304</v>
      </c>
      <c r="F54" s="24">
        <f t="shared" si="1"/>
        <v>0.12362050102392909</v>
      </c>
      <c r="G54" s="17">
        <f>D54-'[1]Februaris'!D54</f>
        <v>0</v>
      </c>
      <c r="H54" s="36" t="s">
        <v>759</v>
      </c>
      <c r="I54" s="37">
        <f aca="true" t="shared" si="15" ref="I54:K55">ROUND(B54/1000,0)</f>
        <v>14472</v>
      </c>
      <c r="J54" s="37">
        <f t="shared" si="15"/>
        <v>356</v>
      </c>
      <c r="K54" s="37">
        <f t="shared" si="15"/>
        <v>44</v>
      </c>
      <c r="L54" s="38">
        <f t="shared" si="2"/>
        <v>0.30403537866224434</v>
      </c>
      <c r="M54" s="38">
        <f t="shared" si="14"/>
        <v>12.359550561797752</v>
      </c>
      <c r="N54" s="37">
        <f>K54-'[1]Februaris'!K54</f>
        <v>0</v>
      </c>
    </row>
    <row r="55" spans="1:14" ht="12.75">
      <c r="A55" s="36" t="s">
        <v>760</v>
      </c>
      <c r="B55" s="37">
        <v>1761200</v>
      </c>
      <c r="C55" s="37">
        <v>499200</v>
      </c>
      <c r="D55" s="37"/>
      <c r="E55" s="24">
        <f t="shared" si="0"/>
        <v>0</v>
      </c>
      <c r="F55" s="24">
        <f t="shared" si="1"/>
        <v>0</v>
      </c>
      <c r="G55" s="17">
        <f>D55-'[1]Februaris'!D55</f>
        <v>0</v>
      </c>
      <c r="H55" s="36" t="s">
        <v>760</v>
      </c>
      <c r="I55" s="37">
        <f t="shared" si="15"/>
        <v>1761</v>
      </c>
      <c r="J55" s="37">
        <f t="shared" si="15"/>
        <v>499</v>
      </c>
      <c r="K55" s="37">
        <f t="shared" si="15"/>
        <v>0</v>
      </c>
      <c r="L55" s="38">
        <f t="shared" si="2"/>
        <v>0</v>
      </c>
      <c r="M55" s="38">
        <f t="shared" si="14"/>
        <v>0</v>
      </c>
      <c r="N55" s="37">
        <f>K55-'[1]Februaris'!K55</f>
        <v>0</v>
      </c>
    </row>
    <row r="56" spans="1:14" s="27" customFormat="1" ht="12.75">
      <c r="A56" s="33" t="s">
        <v>765</v>
      </c>
      <c r="B56" s="34">
        <f>SUM(B57:B58)</f>
        <v>4800283</v>
      </c>
      <c r="C56" s="34">
        <f>SUM(C57:C58)</f>
        <v>131000</v>
      </c>
      <c r="D56" s="34">
        <f>SUM(D57:D58)</f>
        <v>117803</v>
      </c>
      <c r="E56" s="24">
        <f t="shared" si="0"/>
        <v>0.024540844779359885</v>
      </c>
      <c r="F56" s="24">
        <f t="shared" si="1"/>
        <v>0.8992595419847328</v>
      </c>
      <c r="G56" s="17">
        <f>D56-'[1]Februaris'!D56</f>
        <v>60790</v>
      </c>
      <c r="H56" s="33" t="s">
        <v>765</v>
      </c>
      <c r="I56" s="34">
        <f>SUM(I57:I58)</f>
        <v>4800</v>
      </c>
      <c r="J56" s="34">
        <f>SUM(J57:J58)</f>
        <v>131</v>
      </c>
      <c r="K56" s="34">
        <f>SUM(K57:K58)</f>
        <v>118</v>
      </c>
      <c r="L56" s="35">
        <f t="shared" si="2"/>
        <v>2.458333333333333</v>
      </c>
      <c r="M56" s="35">
        <f t="shared" si="14"/>
        <v>90.07633587786259</v>
      </c>
      <c r="N56" s="34">
        <f>K56-'[1]Februaris'!K56</f>
        <v>61</v>
      </c>
    </row>
    <row r="57" spans="1:14" ht="12.75">
      <c r="A57" s="36" t="s">
        <v>759</v>
      </c>
      <c r="B57" s="37">
        <v>4578283</v>
      </c>
      <c r="C57" s="37"/>
      <c r="D57" s="37"/>
      <c r="E57" s="24">
        <f t="shared" si="0"/>
        <v>0</v>
      </c>
      <c r="F57" s="24" t="str">
        <f t="shared" si="1"/>
        <v> </v>
      </c>
      <c r="G57" s="17">
        <f>D57-'[1]Februaris'!D57</f>
        <v>0</v>
      </c>
      <c r="H57" s="36" t="s">
        <v>759</v>
      </c>
      <c r="I57" s="37">
        <f aca="true" t="shared" si="16" ref="I57:K58">ROUND(B57/1000,0)</f>
        <v>4578</v>
      </c>
      <c r="J57" s="37">
        <f t="shared" si="16"/>
        <v>0</v>
      </c>
      <c r="K57" s="37">
        <f t="shared" si="16"/>
        <v>0</v>
      </c>
      <c r="L57" s="38">
        <f t="shared" si="2"/>
        <v>0</v>
      </c>
      <c r="M57" s="38"/>
      <c r="N57" s="37">
        <f>K57-'[1]Februaris'!K57</f>
        <v>0</v>
      </c>
    </row>
    <row r="58" spans="1:14" ht="12.75">
      <c r="A58" s="36" t="s">
        <v>760</v>
      </c>
      <c r="B58" s="37">
        <v>222000</v>
      </c>
      <c r="C58" s="37">
        <v>131000</v>
      </c>
      <c r="D58" s="37">
        <v>117803</v>
      </c>
      <c r="E58" s="24">
        <f t="shared" si="0"/>
        <v>0.5306441441441442</v>
      </c>
      <c r="F58" s="24">
        <f t="shared" si="1"/>
        <v>0.8992595419847328</v>
      </c>
      <c r="G58" s="17">
        <f>D58-'[1]Februaris'!D58</f>
        <v>60790</v>
      </c>
      <c r="H58" s="36" t="s">
        <v>760</v>
      </c>
      <c r="I58" s="37">
        <f t="shared" si="16"/>
        <v>222</v>
      </c>
      <c r="J58" s="37">
        <f>ROUND(C58/1000,0)</f>
        <v>131</v>
      </c>
      <c r="K58" s="37">
        <f t="shared" si="16"/>
        <v>118</v>
      </c>
      <c r="L58" s="38">
        <f t="shared" si="2"/>
        <v>53.153153153153156</v>
      </c>
      <c r="M58" s="38">
        <f aca="true" t="shared" si="17" ref="M58:M67">IF(ISERROR(ROUND(K58,0)/ROUND(J58,0))," ",(ROUND(K58,)/ROUND(J58,)))*100</f>
        <v>90.07633587786259</v>
      </c>
      <c r="N58" s="37">
        <f>K58-'[1]Februaris'!K58</f>
        <v>61</v>
      </c>
    </row>
    <row r="59" spans="1:14" s="4" customFormat="1" ht="12.75" customHeight="1">
      <c r="A59" s="31" t="s">
        <v>772</v>
      </c>
      <c r="B59" s="43">
        <f>B60+B63</f>
        <v>10588731</v>
      </c>
      <c r="C59" s="43">
        <f>C60+C63</f>
        <v>933329</v>
      </c>
      <c r="D59" s="43">
        <f>D60+D63</f>
        <v>158393</v>
      </c>
      <c r="E59" s="39">
        <f t="shared" si="0"/>
        <v>0.014958638575292922</v>
      </c>
      <c r="F59" s="39">
        <f t="shared" si="1"/>
        <v>0.1697075736423062</v>
      </c>
      <c r="G59" s="17">
        <f>D59-'[1]Februaris'!D59</f>
        <v>56519</v>
      </c>
      <c r="H59" s="31" t="s">
        <v>772</v>
      </c>
      <c r="I59" s="25">
        <f>I60+I63</f>
        <v>10589</v>
      </c>
      <c r="J59" s="25">
        <f>J60+J63</f>
        <v>933</v>
      </c>
      <c r="K59" s="25">
        <f>K60+K63</f>
        <v>159</v>
      </c>
      <c r="L59" s="26">
        <f t="shared" si="2"/>
        <v>1.5015582207951648</v>
      </c>
      <c r="M59" s="26">
        <f t="shared" si="17"/>
        <v>17.041800643086816</v>
      </c>
      <c r="N59" s="25">
        <f>K59-'[1]Februaris'!K59</f>
        <v>57</v>
      </c>
    </row>
    <row r="60" spans="1:14" s="27" customFormat="1" ht="12.75" customHeight="1">
      <c r="A60" s="33" t="s">
        <v>763</v>
      </c>
      <c r="B60" s="34">
        <f>SUM(B61:B62)</f>
        <v>7873731</v>
      </c>
      <c r="C60" s="34">
        <f>SUM(C61:C62)</f>
        <v>685329</v>
      </c>
      <c r="D60" s="34">
        <f>SUM(D61:D62)</f>
        <v>90483</v>
      </c>
      <c r="E60" s="24">
        <f t="shared" si="0"/>
        <v>0.011491756576393073</v>
      </c>
      <c r="F60" s="24">
        <f t="shared" si="1"/>
        <v>0.13202855854633322</v>
      </c>
      <c r="G60" s="17">
        <f>D60-'[1]Februaris'!D60</f>
        <v>0</v>
      </c>
      <c r="H60" s="33" t="s">
        <v>763</v>
      </c>
      <c r="I60" s="34">
        <f>I61+I62</f>
        <v>7874</v>
      </c>
      <c r="J60" s="34">
        <f>J61+J62</f>
        <v>685</v>
      </c>
      <c r="K60" s="34">
        <f>K61+K62</f>
        <v>91</v>
      </c>
      <c r="L60" s="35">
        <f t="shared" si="2"/>
        <v>1.1557023114046228</v>
      </c>
      <c r="M60" s="35">
        <f t="shared" si="17"/>
        <v>13.284671532846716</v>
      </c>
      <c r="N60" s="34">
        <f>K60-'[1]Februaris'!K60</f>
        <v>0</v>
      </c>
    </row>
    <row r="61" spans="1:14" ht="12.75">
      <c r="A61" s="36" t="s">
        <v>759</v>
      </c>
      <c r="B61" s="37">
        <v>477528</v>
      </c>
      <c r="C61" s="37">
        <v>65976</v>
      </c>
      <c r="D61" s="37">
        <v>62809</v>
      </c>
      <c r="E61" s="24">
        <f t="shared" si="0"/>
        <v>0.13152946005260424</v>
      </c>
      <c r="F61" s="24">
        <f t="shared" si="1"/>
        <v>0.9519976961319268</v>
      </c>
      <c r="G61" s="17">
        <f>D61-'[1]Februaris'!D61</f>
        <v>0</v>
      </c>
      <c r="H61" s="36" t="s">
        <v>759</v>
      </c>
      <c r="I61" s="37">
        <f aca="true" t="shared" si="18" ref="I61:K62">ROUND(B61/1000,0)</f>
        <v>478</v>
      </c>
      <c r="J61" s="37">
        <f t="shared" si="18"/>
        <v>66</v>
      </c>
      <c r="K61" s="37">
        <f t="shared" si="18"/>
        <v>63</v>
      </c>
      <c r="L61" s="38">
        <f t="shared" si="2"/>
        <v>13.179916317991633</v>
      </c>
      <c r="M61" s="38">
        <f t="shared" si="17"/>
        <v>95.45454545454545</v>
      </c>
      <c r="N61" s="37">
        <f>K61-'[1]Februaris'!K61</f>
        <v>0</v>
      </c>
    </row>
    <row r="62" spans="1:14" ht="12.75">
      <c r="A62" s="36" t="s">
        <v>760</v>
      </c>
      <c r="B62" s="37">
        <v>7396203</v>
      </c>
      <c r="C62" s="37">
        <v>619353</v>
      </c>
      <c r="D62" s="37">
        <v>27674</v>
      </c>
      <c r="E62" s="24">
        <f t="shared" si="0"/>
        <v>0.0037416496004774344</v>
      </c>
      <c r="F62" s="24">
        <f t="shared" si="1"/>
        <v>0.044682111816686125</v>
      </c>
      <c r="G62" s="17">
        <f>D62-'[1]Februaris'!D62</f>
        <v>0</v>
      </c>
      <c r="H62" s="36" t="s">
        <v>760</v>
      </c>
      <c r="I62" s="37">
        <f t="shared" si="18"/>
        <v>7396</v>
      </c>
      <c r="J62" s="37">
        <f t="shared" si="18"/>
        <v>619</v>
      </c>
      <c r="K62" s="37">
        <f t="shared" si="18"/>
        <v>28</v>
      </c>
      <c r="L62" s="38">
        <f t="shared" si="2"/>
        <v>0.3785830178474851</v>
      </c>
      <c r="M62" s="38">
        <f t="shared" si="17"/>
        <v>4.523424878836833</v>
      </c>
      <c r="N62" s="37">
        <f>K62-'[1]Februaris'!K62</f>
        <v>0</v>
      </c>
    </row>
    <row r="63" spans="1:14" s="27" customFormat="1" ht="12.75">
      <c r="A63" s="33" t="s">
        <v>765</v>
      </c>
      <c r="B63" s="34">
        <f>B64</f>
        <v>2715000</v>
      </c>
      <c r="C63" s="34">
        <f>C64</f>
        <v>248000</v>
      </c>
      <c r="D63" s="34">
        <f>D64</f>
        <v>67910</v>
      </c>
      <c r="E63" s="24">
        <f t="shared" si="0"/>
        <v>0.025012891344383056</v>
      </c>
      <c r="F63" s="24">
        <f t="shared" si="1"/>
        <v>0.2738306451612903</v>
      </c>
      <c r="G63" s="17">
        <f>D63-'[1]Februaris'!D63</f>
        <v>56519</v>
      </c>
      <c r="H63" s="33" t="s">
        <v>765</v>
      </c>
      <c r="I63" s="34">
        <f>I64</f>
        <v>2715</v>
      </c>
      <c r="J63" s="34">
        <f>J64</f>
        <v>248</v>
      </c>
      <c r="K63" s="34">
        <f>K64</f>
        <v>68</v>
      </c>
      <c r="L63" s="35">
        <f t="shared" si="2"/>
        <v>2.5046040515653774</v>
      </c>
      <c r="M63" s="35">
        <f t="shared" si="17"/>
        <v>27.419354838709676</v>
      </c>
      <c r="N63" s="34">
        <f>K63-'[1]Februaris'!K63</f>
        <v>57</v>
      </c>
    </row>
    <row r="64" spans="1:14" ht="12.75">
      <c r="A64" s="36" t="s">
        <v>760</v>
      </c>
      <c r="B64" s="37">
        <v>2715000</v>
      </c>
      <c r="C64" s="37">
        <v>248000</v>
      </c>
      <c r="D64" s="37">
        <v>67910</v>
      </c>
      <c r="E64" s="24">
        <f t="shared" si="0"/>
        <v>0.025012891344383056</v>
      </c>
      <c r="F64" s="24">
        <f t="shared" si="1"/>
        <v>0.2738306451612903</v>
      </c>
      <c r="G64" s="17">
        <f>D64-'[1]Februaris'!D64</f>
        <v>56519</v>
      </c>
      <c r="H64" s="36" t="s">
        <v>760</v>
      </c>
      <c r="I64" s="37">
        <f>ROUND(B64/1000,0)</f>
        <v>2715</v>
      </c>
      <c r="J64" s="37">
        <f>ROUND(C64/1000,0)</f>
        <v>248</v>
      </c>
      <c r="K64" s="37">
        <f>ROUND(D64/1000,0)</f>
        <v>68</v>
      </c>
      <c r="L64" s="38">
        <f t="shared" si="2"/>
        <v>2.5046040515653774</v>
      </c>
      <c r="M64" s="38">
        <f t="shared" si="17"/>
        <v>27.419354838709676</v>
      </c>
      <c r="N64" s="37">
        <f>K64-'[1]Februaris'!K64</f>
        <v>57</v>
      </c>
    </row>
    <row r="65" spans="1:14" s="4" customFormat="1" ht="12">
      <c r="A65" s="31" t="s">
        <v>773</v>
      </c>
      <c r="B65" s="43">
        <f>B66+B69</f>
        <v>3393392</v>
      </c>
      <c r="C65" s="43">
        <f>C66+C69</f>
        <v>495194</v>
      </c>
      <c r="D65" s="43">
        <f>D66+D69</f>
        <v>61121</v>
      </c>
      <c r="E65" s="39">
        <f t="shared" si="0"/>
        <v>0.01801177111279805</v>
      </c>
      <c r="F65" s="39">
        <f t="shared" si="1"/>
        <v>0.12342839372044087</v>
      </c>
      <c r="G65" s="17">
        <f>D65-'[1]Februaris'!D65</f>
        <v>26389</v>
      </c>
      <c r="H65" s="31" t="s">
        <v>773</v>
      </c>
      <c r="I65" s="25">
        <f>I66+I69</f>
        <v>3393</v>
      </c>
      <c r="J65" s="25">
        <f>J66+J69</f>
        <v>496</v>
      </c>
      <c r="K65" s="25">
        <f>K66+K69</f>
        <v>61</v>
      </c>
      <c r="L65" s="26">
        <f t="shared" si="2"/>
        <v>1.7978190391983495</v>
      </c>
      <c r="M65" s="26">
        <f t="shared" si="17"/>
        <v>12.298387096774194</v>
      </c>
      <c r="N65" s="25">
        <f>K65-'[1]Februaris'!K65</f>
        <v>26</v>
      </c>
    </row>
    <row r="66" spans="1:14" s="27" customFormat="1" ht="12.75">
      <c r="A66" s="33" t="s">
        <v>763</v>
      </c>
      <c r="B66" s="34">
        <f>SUM(B67:B68)</f>
        <v>3041252</v>
      </c>
      <c r="C66" s="34">
        <f>SUM(C67:C68)</f>
        <v>432498</v>
      </c>
      <c r="D66" s="34">
        <f>SUM(D67:D68)</f>
        <v>8539</v>
      </c>
      <c r="E66" s="24">
        <f t="shared" si="0"/>
        <v>0.002807725239473743</v>
      </c>
      <c r="F66" s="24">
        <f t="shared" si="1"/>
        <v>0.019743443900318614</v>
      </c>
      <c r="G66" s="17">
        <f>D66-'[1]Februaris'!D66</f>
        <v>8539</v>
      </c>
      <c r="H66" s="33" t="s">
        <v>763</v>
      </c>
      <c r="I66" s="34">
        <f>SUM(I67:I68)</f>
        <v>3041</v>
      </c>
      <c r="J66" s="34">
        <f>SUM(J67:J68)</f>
        <v>433</v>
      </c>
      <c r="K66" s="34">
        <f>SUM(K67:K68)</f>
        <v>9</v>
      </c>
      <c r="L66" s="35">
        <f t="shared" si="2"/>
        <v>0.295955277869122</v>
      </c>
      <c r="M66" s="35">
        <f t="shared" si="17"/>
        <v>2.0785219399538106</v>
      </c>
      <c r="N66" s="34">
        <f>K66-'[1]Februaris'!K66</f>
        <v>9</v>
      </c>
    </row>
    <row r="67" spans="1:14" ht="12.75">
      <c r="A67" s="36" t="s">
        <v>759</v>
      </c>
      <c r="B67" s="37">
        <v>2296193</v>
      </c>
      <c r="C67" s="37">
        <v>368939</v>
      </c>
      <c r="D67" s="37">
        <v>8539</v>
      </c>
      <c r="E67" s="24">
        <f t="shared" si="0"/>
        <v>0.0037187640585961195</v>
      </c>
      <c r="F67" s="24">
        <f t="shared" si="1"/>
        <v>0.023144747505685223</v>
      </c>
      <c r="G67" s="17">
        <f>D67-'[1]Februaris'!D67</f>
        <v>8539</v>
      </c>
      <c r="H67" s="36" t="s">
        <v>759</v>
      </c>
      <c r="I67" s="37">
        <f aca="true" t="shared" si="19" ref="I67:K68">ROUND(B67/1000,0)</f>
        <v>2296</v>
      </c>
      <c r="J67" s="37">
        <f t="shared" si="19"/>
        <v>369</v>
      </c>
      <c r="K67" s="37">
        <f t="shared" si="19"/>
        <v>9</v>
      </c>
      <c r="L67" s="38">
        <f t="shared" si="2"/>
        <v>0.39198606271777003</v>
      </c>
      <c r="M67" s="38">
        <f t="shared" si="17"/>
        <v>2.4390243902439024</v>
      </c>
      <c r="N67" s="37">
        <f>K67-'[1]Februaris'!K67</f>
        <v>9</v>
      </c>
    </row>
    <row r="68" spans="1:14" ht="12.75">
      <c r="A68" s="36" t="s">
        <v>760</v>
      </c>
      <c r="B68" s="37">
        <v>745059</v>
      </c>
      <c r="C68" s="37">
        <v>63559</v>
      </c>
      <c r="D68" s="37"/>
      <c r="E68" s="24">
        <f t="shared" si="0"/>
        <v>0</v>
      </c>
      <c r="F68" s="24">
        <f t="shared" si="1"/>
        <v>0</v>
      </c>
      <c r="G68" s="17">
        <f>D68-'[1]Februaris'!D68</f>
        <v>0</v>
      </c>
      <c r="H68" s="36" t="s">
        <v>760</v>
      </c>
      <c r="I68" s="37">
        <f t="shared" si="19"/>
        <v>745</v>
      </c>
      <c r="J68" s="37">
        <f t="shared" si="19"/>
        <v>64</v>
      </c>
      <c r="K68" s="37">
        <f t="shared" si="19"/>
        <v>0</v>
      </c>
      <c r="L68" s="38">
        <f t="shared" si="2"/>
        <v>0</v>
      </c>
      <c r="M68" s="38"/>
      <c r="N68" s="37">
        <f>K68-'[1]Februaris'!K68</f>
        <v>0</v>
      </c>
    </row>
    <row r="69" spans="1:14" s="27" customFormat="1" ht="12.75">
      <c r="A69" s="33" t="s">
        <v>765</v>
      </c>
      <c r="B69" s="34">
        <f>SUM(B70:B71)</f>
        <v>352140</v>
      </c>
      <c r="C69" s="34">
        <f>SUM(C70:C71)</f>
        <v>62696</v>
      </c>
      <c r="D69" s="34">
        <f>SUM(D70:D71)</f>
        <v>52582</v>
      </c>
      <c r="E69" s="24">
        <f t="shared" si="0"/>
        <v>0.14932129266768898</v>
      </c>
      <c r="F69" s="24">
        <f t="shared" si="1"/>
        <v>0.8386818935817277</v>
      </c>
      <c r="G69" s="17">
        <f>D69-'[1]Februaris'!D69</f>
        <v>17850</v>
      </c>
      <c r="H69" s="33" t="s">
        <v>765</v>
      </c>
      <c r="I69" s="34">
        <f>SUM(I70:I71)</f>
        <v>352</v>
      </c>
      <c r="J69" s="34">
        <f>SUM(J70:J71)</f>
        <v>63</v>
      </c>
      <c r="K69" s="34">
        <f>SUM(K70:K71)</f>
        <v>52</v>
      </c>
      <c r="L69" s="35">
        <f t="shared" si="2"/>
        <v>14.772727272727273</v>
      </c>
      <c r="M69" s="35">
        <f aca="true" t="shared" si="20" ref="M69:M82">IF(ISERROR(ROUND(K69,0)/ROUND(J69,0))," ",(ROUND(K69,)/ROUND(J69,)))*100</f>
        <v>82.53968253968253</v>
      </c>
      <c r="N69" s="34">
        <f>K69-'[1]Februaris'!K69</f>
        <v>17</v>
      </c>
    </row>
    <row r="70" spans="1:14" ht="12.75">
      <c r="A70" s="36" t="s">
        <v>759</v>
      </c>
      <c r="B70" s="37">
        <v>256914</v>
      </c>
      <c r="C70" s="37">
        <v>55006</v>
      </c>
      <c r="D70" s="37">
        <v>48182</v>
      </c>
      <c r="E70" s="24">
        <f t="shared" si="0"/>
        <v>0.18754135625150828</v>
      </c>
      <c r="F70" s="24">
        <f t="shared" si="1"/>
        <v>0.8759408064574774</v>
      </c>
      <c r="G70" s="17">
        <f>D70-'[1]Februaris'!D70</f>
        <v>15973</v>
      </c>
      <c r="H70" s="36" t="s">
        <v>759</v>
      </c>
      <c r="I70" s="37">
        <f aca="true" t="shared" si="21" ref="I70:K71">ROUND(B70/1000,0)</f>
        <v>257</v>
      </c>
      <c r="J70" s="37">
        <f t="shared" si="21"/>
        <v>55</v>
      </c>
      <c r="K70" s="37">
        <f t="shared" si="21"/>
        <v>48</v>
      </c>
      <c r="L70" s="38">
        <f t="shared" si="2"/>
        <v>18.67704280155642</v>
      </c>
      <c r="M70" s="38">
        <f t="shared" si="20"/>
        <v>87.27272727272727</v>
      </c>
      <c r="N70" s="37">
        <f>K70-'[1]Februaris'!K70</f>
        <v>16</v>
      </c>
    </row>
    <row r="71" spans="1:14" ht="12.75">
      <c r="A71" s="36" t="s">
        <v>760</v>
      </c>
      <c r="B71" s="37">
        <v>95226</v>
      </c>
      <c r="C71" s="37">
        <v>7690</v>
      </c>
      <c r="D71" s="37">
        <v>4400</v>
      </c>
      <c r="E71" s="24">
        <f t="shared" si="0"/>
        <v>0.046205868145254445</v>
      </c>
      <c r="F71" s="24">
        <f t="shared" si="1"/>
        <v>0.5721716514954487</v>
      </c>
      <c r="G71" s="17">
        <f>D71-'[1]Februaris'!D71</f>
        <v>1877</v>
      </c>
      <c r="H71" s="36" t="s">
        <v>760</v>
      </c>
      <c r="I71" s="37">
        <f t="shared" si="21"/>
        <v>95</v>
      </c>
      <c r="J71" s="37">
        <f t="shared" si="21"/>
        <v>8</v>
      </c>
      <c r="K71" s="37">
        <f t="shared" si="21"/>
        <v>4</v>
      </c>
      <c r="L71" s="38">
        <f t="shared" si="2"/>
        <v>4.2105263157894735</v>
      </c>
      <c r="M71" s="38">
        <f t="shared" si="20"/>
        <v>50</v>
      </c>
      <c r="N71" s="37">
        <f>K71-'[1]Februaris'!K71</f>
        <v>1</v>
      </c>
    </row>
    <row r="72" spans="1:14" s="4" customFormat="1" ht="12">
      <c r="A72" s="31" t="s">
        <v>774</v>
      </c>
      <c r="B72" s="43">
        <f>B73+B76</f>
        <v>2747804</v>
      </c>
      <c r="C72" s="43">
        <f>C73+C76</f>
        <v>770767</v>
      </c>
      <c r="D72" s="43">
        <f>D73+D76</f>
        <v>274825</v>
      </c>
      <c r="E72" s="39">
        <f aca="true" t="shared" si="22" ref="E72:E100">IF(ISERROR(D72/B72)," ",(D72/B72))</f>
        <v>0.10001623114312375</v>
      </c>
      <c r="F72" s="39">
        <f aca="true" t="shared" si="23" ref="F72:F96">IF(ISERROR(D72/C72)," ",(D72/C72))</f>
        <v>0.35656041319880066</v>
      </c>
      <c r="G72" s="17">
        <f>D72-'[1]Februaris'!D72</f>
        <v>20452</v>
      </c>
      <c r="H72" s="31" t="s">
        <v>774</v>
      </c>
      <c r="I72" s="25">
        <f>I73+I76</f>
        <v>2748</v>
      </c>
      <c r="J72" s="25">
        <f>J73+J76</f>
        <v>772</v>
      </c>
      <c r="K72" s="25">
        <f>K73+K76</f>
        <v>275</v>
      </c>
      <c r="L72" s="26">
        <f aca="true" t="shared" si="24" ref="L72:L126">IF(ISERROR(ROUND(K72,0)/ROUND(I72,0))," ",(ROUND(K72,)/ROUND(I72,)))*100</f>
        <v>10.007278020378457</v>
      </c>
      <c r="M72" s="26">
        <f t="shared" si="20"/>
        <v>35.62176165803109</v>
      </c>
      <c r="N72" s="25">
        <f>K72-'[1]Februaris'!K72</f>
        <v>21</v>
      </c>
    </row>
    <row r="73" spans="1:14" s="27" customFormat="1" ht="12.75">
      <c r="A73" s="33" t="s">
        <v>763</v>
      </c>
      <c r="B73" s="34">
        <f>SUM(B74:B75)</f>
        <v>2423104</v>
      </c>
      <c r="C73" s="34">
        <f>SUM(C74:C75)</f>
        <v>742554</v>
      </c>
      <c r="D73" s="34">
        <f>SUM(D74:D75)</f>
        <v>251661</v>
      </c>
      <c r="E73" s="24">
        <f t="shared" si="22"/>
        <v>0.10385893465571433</v>
      </c>
      <c r="F73" s="24">
        <f t="shared" si="23"/>
        <v>0.3389127255391527</v>
      </c>
      <c r="G73" s="17">
        <f>D73-'[1]Februaris'!D73</f>
        <v>11655</v>
      </c>
      <c r="H73" s="33" t="s">
        <v>775</v>
      </c>
      <c r="I73" s="34">
        <f>SUM(I74:I75)</f>
        <v>2423</v>
      </c>
      <c r="J73" s="34">
        <f>SUM(J74:J75)</f>
        <v>743</v>
      </c>
      <c r="K73" s="34">
        <f>SUM(K74:K75)</f>
        <v>252</v>
      </c>
      <c r="L73" s="35">
        <f t="shared" si="24"/>
        <v>10.40033016921172</v>
      </c>
      <c r="M73" s="35">
        <f t="shared" si="20"/>
        <v>33.91655450874832</v>
      </c>
      <c r="N73" s="34">
        <f>K73-'[1]Februaris'!K73</f>
        <v>12</v>
      </c>
    </row>
    <row r="74" spans="1:14" ht="12.75">
      <c r="A74" s="36" t="s">
        <v>759</v>
      </c>
      <c r="B74" s="37">
        <v>1855604</v>
      </c>
      <c r="C74" s="37">
        <v>357554</v>
      </c>
      <c r="D74" s="37">
        <v>42573</v>
      </c>
      <c r="E74" s="24">
        <f t="shared" si="22"/>
        <v>0.022942933944958083</v>
      </c>
      <c r="F74" s="24">
        <f t="shared" si="23"/>
        <v>0.1190673296900608</v>
      </c>
      <c r="G74" s="17">
        <f>D74-'[1]Februaris'!D74</f>
        <v>11655</v>
      </c>
      <c r="H74" s="36" t="s">
        <v>759</v>
      </c>
      <c r="I74" s="37">
        <f>ROUND(B74/1000,0)</f>
        <v>1856</v>
      </c>
      <c r="J74" s="37">
        <f>ROUND(C74/1000,0)</f>
        <v>358</v>
      </c>
      <c r="K74" s="37">
        <f>ROUND(D74/1000,0)</f>
        <v>43</v>
      </c>
      <c r="L74" s="38">
        <f t="shared" si="24"/>
        <v>2.3168103448275863</v>
      </c>
      <c r="M74" s="38">
        <f t="shared" si="20"/>
        <v>12.011173184357542</v>
      </c>
      <c r="N74" s="37">
        <f>K74-'[1]Februaris'!K74</f>
        <v>12</v>
      </c>
    </row>
    <row r="75" spans="1:14" ht="12.75">
      <c r="A75" s="36" t="s">
        <v>760</v>
      </c>
      <c r="B75" s="37">
        <v>567500</v>
      </c>
      <c r="C75" s="37">
        <v>385000</v>
      </c>
      <c r="D75" s="37">
        <v>209088</v>
      </c>
      <c r="E75" s="24">
        <f t="shared" si="22"/>
        <v>0.3684370044052863</v>
      </c>
      <c r="F75" s="24">
        <f t="shared" si="23"/>
        <v>0.5430857142857143</v>
      </c>
      <c r="G75" s="17">
        <f>D75-'[1]Februaris'!D75</f>
        <v>0</v>
      </c>
      <c r="H75" s="36" t="s">
        <v>760</v>
      </c>
      <c r="I75" s="37">
        <f>ROUND(B75/1000,0)-1</f>
        <v>567</v>
      </c>
      <c r="J75" s="37">
        <f>ROUND(C75/1000,0)</f>
        <v>385</v>
      </c>
      <c r="K75" s="37">
        <f>ROUND(D75/1000,0)</f>
        <v>209</v>
      </c>
      <c r="L75" s="38">
        <f t="shared" si="24"/>
        <v>36.860670194003525</v>
      </c>
      <c r="M75" s="38">
        <f t="shared" si="20"/>
        <v>54.285714285714285</v>
      </c>
      <c r="N75" s="37">
        <f>K75-'[1]Februaris'!K75</f>
        <v>0</v>
      </c>
    </row>
    <row r="76" spans="1:14" s="27" customFormat="1" ht="12.75">
      <c r="A76" s="33" t="s">
        <v>765</v>
      </c>
      <c r="B76" s="34">
        <f>SUM(B77:B78)</f>
        <v>324700</v>
      </c>
      <c r="C76" s="34">
        <f>SUM(C77:C78)</f>
        <v>28213</v>
      </c>
      <c r="D76" s="34">
        <f>SUM(D77:D78)</f>
        <v>23164</v>
      </c>
      <c r="E76" s="24">
        <f t="shared" si="22"/>
        <v>0.0713396981829381</v>
      </c>
      <c r="F76" s="24">
        <f t="shared" si="23"/>
        <v>0.8210399461241272</v>
      </c>
      <c r="G76" s="17">
        <f>D76-'[1]Februaris'!D76</f>
        <v>8797</v>
      </c>
      <c r="H76" s="33" t="s">
        <v>765</v>
      </c>
      <c r="I76" s="34">
        <f>SUM(I77:I78)</f>
        <v>325</v>
      </c>
      <c r="J76" s="34">
        <f>SUM(J77:J78)</f>
        <v>29</v>
      </c>
      <c r="K76" s="34">
        <f>SUM(K77:K78)</f>
        <v>23</v>
      </c>
      <c r="L76" s="35">
        <f t="shared" si="24"/>
        <v>7.076923076923077</v>
      </c>
      <c r="M76" s="35">
        <f t="shared" si="20"/>
        <v>79.3103448275862</v>
      </c>
      <c r="N76" s="34">
        <f>K76-'[1]Februaris'!K76</f>
        <v>9</v>
      </c>
    </row>
    <row r="77" spans="1:14" ht="12.75">
      <c r="A77" s="36" t="s">
        <v>759</v>
      </c>
      <c r="B77" s="37">
        <v>36700</v>
      </c>
      <c r="C77" s="37">
        <v>7613</v>
      </c>
      <c r="D77" s="37">
        <v>7613</v>
      </c>
      <c r="E77" s="24">
        <f t="shared" si="22"/>
        <v>0.20743869209809265</v>
      </c>
      <c r="F77" s="24">
        <f t="shared" si="23"/>
        <v>1</v>
      </c>
      <c r="G77" s="17">
        <f>D77-'[1]Februaris'!D77</f>
        <v>2546</v>
      </c>
      <c r="H77" s="36" t="s">
        <v>759</v>
      </c>
      <c r="I77" s="37">
        <f aca="true" t="shared" si="25" ref="I77:K78">ROUND(B77/1000,0)</f>
        <v>37</v>
      </c>
      <c r="J77" s="37">
        <f t="shared" si="25"/>
        <v>8</v>
      </c>
      <c r="K77" s="37">
        <f t="shared" si="25"/>
        <v>8</v>
      </c>
      <c r="L77" s="38">
        <f t="shared" si="24"/>
        <v>21.62162162162162</v>
      </c>
      <c r="M77" s="38">
        <f t="shared" si="20"/>
        <v>100</v>
      </c>
      <c r="N77" s="37">
        <f>K77-'[1]Februaris'!K77</f>
        <v>3</v>
      </c>
    </row>
    <row r="78" spans="1:14" ht="12.75">
      <c r="A78" s="36" t="s">
        <v>760</v>
      </c>
      <c r="B78" s="37">
        <v>288000</v>
      </c>
      <c r="C78" s="37">
        <v>20600</v>
      </c>
      <c r="D78" s="37">
        <v>15551</v>
      </c>
      <c r="E78" s="24">
        <f t="shared" si="22"/>
        <v>0.053996527777777775</v>
      </c>
      <c r="F78" s="24">
        <f t="shared" si="23"/>
        <v>0.7549029126213592</v>
      </c>
      <c r="G78" s="17">
        <f>D78-'[1]Februaris'!D78</f>
        <v>6251</v>
      </c>
      <c r="H78" s="36" t="s">
        <v>760</v>
      </c>
      <c r="I78" s="37">
        <f t="shared" si="25"/>
        <v>288</v>
      </c>
      <c r="J78" s="37">
        <f t="shared" si="25"/>
        <v>21</v>
      </c>
      <c r="K78" s="37">
        <f>ROUND(D78/1000,0)-1</f>
        <v>15</v>
      </c>
      <c r="L78" s="38">
        <f t="shared" si="24"/>
        <v>5.208333333333334</v>
      </c>
      <c r="M78" s="38">
        <f t="shared" si="20"/>
        <v>71.42857142857143</v>
      </c>
      <c r="N78" s="37">
        <f>K78-'[1]Februaris'!K78</f>
        <v>6</v>
      </c>
    </row>
    <row r="79" spans="1:14" s="4" customFormat="1" ht="24">
      <c r="A79" s="40" t="s">
        <v>776</v>
      </c>
      <c r="B79" s="43">
        <f>B80+B83</f>
        <v>6572218</v>
      </c>
      <c r="C79" s="43">
        <f>C80+C83</f>
        <v>1784890</v>
      </c>
      <c r="D79" s="43">
        <f>D80+D83</f>
        <v>706701</v>
      </c>
      <c r="E79" s="39">
        <f t="shared" si="22"/>
        <v>0.10752853907158892</v>
      </c>
      <c r="F79" s="39">
        <f t="shared" si="23"/>
        <v>0.3959353237454409</v>
      </c>
      <c r="G79" s="17">
        <f>D79-'[1]Februaris'!D79</f>
        <v>95986</v>
      </c>
      <c r="H79" s="40" t="s">
        <v>776</v>
      </c>
      <c r="I79" s="25">
        <f>I80+I83</f>
        <v>6573</v>
      </c>
      <c r="J79" s="25">
        <f>J80+J83</f>
        <v>1785</v>
      </c>
      <c r="K79" s="25">
        <f>K80+K83</f>
        <v>707</v>
      </c>
      <c r="L79" s="26">
        <f t="shared" si="24"/>
        <v>10.75612353567625</v>
      </c>
      <c r="M79" s="26">
        <f t="shared" si="20"/>
        <v>39.6078431372549</v>
      </c>
      <c r="N79" s="25">
        <f>K79-'[1]Februaris'!K79</f>
        <v>96</v>
      </c>
    </row>
    <row r="80" spans="1:14" s="27" customFormat="1" ht="12.75">
      <c r="A80" s="33" t="s">
        <v>763</v>
      </c>
      <c r="B80" s="34">
        <f>SUM(B81:B82)</f>
        <v>6322218</v>
      </c>
      <c r="C80" s="34">
        <f>SUM(C81:C82)</f>
        <v>1784890</v>
      </c>
      <c r="D80" s="34">
        <f>SUM(D81:D82)</f>
        <v>706701</v>
      </c>
      <c r="E80" s="24">
        <f t="shared" si="22"/>
        <v>0.11178054916802932</v>
      </c>
      <c r="F80" s="24">
        <f t="shared" si="23"/>
        <v>0.3959353237454409</v>
      </c>
      <c r="G80" s="17">
        <f>D80-'[1]Februaris'!D80</f>
        <v>95986</v>
      </c>
      <c r="H80" s="33" t="s">
        <v>763</v>
      </c>
      <c r="I80" s="34">
        <f>SUM(I81:I82)</f>
        <v>6323</v>
      </c>
      <c r="J80" s="34">
        <f>SUM(J81:J82)</f>
        <v>1785</v>
      </c>
      <c r="K80" s="34">
        <f>SUM(K81:K82)</f>
        <v>707</v>
      </c>
      <c r="L80" s="35">
        <f t="shared" si="24"/>
        <v>11.18140123359165</v>
      </c>
      <c r="M80" s="35">
        <f t="shared" si="20"/>
        <v>39.6078431372549</v>
      </c>
      <c r="N80" s="34">
        <f>K80-'[1]Februaris'!K80</f>
        <v>96</v>
      </c>
    </row>
    <row r="81" spans="1:14" ht="12.75">
      <c r="A81" s="36" t="s">
        <v>759</v>
      </c>
      <c r="B81" s="37">
        <v>20600</v>
      </c>
      <c r="C81" s="37">
        <v>20600</v>
      </c>
      <c r="D81" s="37"/>
      <c r="E81" s="24">
        <f t="shared" si="22"/>
        <v>0</v>
      </c>
      <c r="F81" s="24">
        <f t="shared" si="23"/>
        <v>0</v>
      </c>
      <c r="G81" s="17">
        <f>D81-'[1]Februaris'!D81</f>
        <v>0</v>
      </c>
      <c r="H81" s="36" t="s">
        <v>759</v>
      </c>
      <c r="I81" s="37">
        <f aca="true" t="shared" si="26" ref="I81:K82">ROUND(B81/1000,0)</f>
        <v>21</v>
      </c>
      <c r="J81" s="37">
        <f t="shared" si="26"/>
        <v>21</v>
      </c>
      <c r="K81" s="37">
        <f t="shared" si="26"/>
        <v>0</v>
      </c>
      <c r="L81" s="38">
        <f t="shared" si="24"/>
        <v>0</v>
      </c>
      <c r="M81" s="38"/>
      <c r="N81" s="37">
        <f>K81-'[1]Februaris'!K81</f>
        <v>0</v>
      </c>
    </row>
    <row r="82" spans="1:14" ht="12.75">
      <c r="A82" s="44" t="s">
        <v>760</v>
      </c>
      <c r="B82" s="37">
        <v>6301618</v>
      </c>
      <c r="C82" s="37">
        <v>1764290</v>
      </c>
      <c r="D82" s="37">
        <v>706701</v>
      </c>
      <c r="E82" s="24">
        <f t="shared" si="22"/>
        <v>0.11214595997408919</v>
      </c>
      <c r="F82" s="24">
        <f t="shared" si="23"/>
        <v>0.40055829823895167</v>
      </c>
      <c r="G82" s="17">
        <f>D82-'[1]Februaris'!D82</f>
        <v>95986</v>
      </c>
      <c r="H82" s="44" t="s">
        <v>760</v>
      </c>
      <c r="I82" s="37">
        <f t="shared" si="26"/>
        <v>6302</v>
      </c>
      <c r="J82" s="37">
        <f t="shared" si="26"/>
        <v>1764</v>
      </c>
      <c r="K82" s="37">
        <f t="shared" si="26"/>
        <v>707</v>
      </c>
      <c r="L82" s="38">
        <f t="shared" si="24"/>
        <v>11.21866074262139</v>
      </c>
      <c r="M82" s="38">
        <f t="shared" si="20"/>
        <v>40.07936507936508</v>
      </c>
      <c r="N82" s="37">
        <f>K82-'[1]Februaris'!K82</f>
        <v>96</v>
      </c>
    </row>
    <row r="83" spans="1:14" s="27" customFormat="1" ht="12.75">
      <c r="A83" s="33" t="s">
        <v>765</v>
      </c>
      <c r="B83" s="34">
        <f>SUM(B84:B85)</f>
        <v>250000</v>
      </c>
      <c r="C83" s="34">
        <f>SUM(C84:C85)</f>
        <v>0</v>
      </c>
      <c r="D83" s="34">
        <f>SUM(D84:D85)</f>
        <v>0</v>
      </c>
      <c r="E83" s="24">
        <f t="shared" si="22"/>
        <v>0</v>
      </c>
      <c r="F83" s="24" t="str">
        <f t="shared" si="23"/>
        <v> </v>
      </c>
      <c r="G83" s="17">
        <f>D83-'[1]Februaris'!D83</f>
        <v>0</v>
      </c>
      <c r="H83" s="33" t="s">
        <v>765</v>
      </c>
      <c r="I83" s="34">
        <f>SUM(I84:I85)</f>
        <v>250</v>
      </c>
      <c r="J83" s="34">
        <f>SUM(J84:J85)</f>
        <v>0</v>
      </c>
      <c r="K83" s="34">
        <f>SUM(K84:K85)</f>
        <v>0</v>
      </c>
      <c r="L83" s="35">
        <f t="shared" si="24"/>
        <v>0</v>
      </c>
      <c r="M83" s="35"/>
      <c r="N83" s="34">
        <f>K83-'[1]Februaris'!K83</f>
        <v>0</v>
      </c>
    </row>
    <row r="84" spans="1:14" ht="12.75" hidden="1">
      <c r="A84" s="36" t="s">
        <v>759</v>
      </c>
      <c r="B84" s="37"/>
      <c r="C84" s="34"/>
      <c r="D84" s="34">
        <f>SUM(D85:D86)</f>
        <v>0</v>
      </c>
      <c r="E84" s="24" t="str">
        <f t="shared" si="22"/>
        <v> </v>
      </c>
      <c r="F84" s="24" t="str">
        <f t="shared" si="23"/>
        <v> </v>
      </c>
      <c r="G84" s="17">
        <f>D84-'[1]Februaris'!D84</f>
        <v>0</v>
      </c>
      <c r="H84" s="36" t="s">
        <v>759</v>
      </c>
      <c r="I84" s="37">
        <f>ROUND(B84/1000,0)</f>
        <v>0</v>
      </c>
      <c r="J84" s="37">
        <f>ROUND(C84/1000,0)</f>
        <v>0</v>
      </c>
      <c r="K84" s="37"/>
      <c r="L84" s="38" t="e">
        <f t="shared" si="24"/>
        <v>#VALUE!</v>
      </c>
      <c r="M84" s="38"/>
      <c r="N84" s="34">
        <f>K84-'[1]Februaris'!K84</f>
        <v>0</v>
      </c>
    </row>
    <row r="85" spans="1:14" ht="12.75">
      <c r="A85" s="36" t="s">
        <v>760</v>
      </c>
      <c r="B85" s="37">
        <v>250000</v>
      </c>
      <c r="C85" s="34"/>
      <c r="D85" s="34"/>
      <c r="E85" s="24">
        <f t="shared" si="22"/>
        <v>0</v>
      </c>
      <c r="F85" s="24" t="str">
        <f t="shared" si="23"/>
        <v> </v>
      </c>
      <c r="G85" s="17">
        <f>D85-'[1]Februaris'!D85</f>
        <v>0</v>
      </c>
      <c r="H85" s="36" t="s">
        <v>760</v>
      </c>
      <c r="I85" s="37">
        <f>ROUND(B85/1000,0)</f>
        <v>250</v>
      </c>
      <c r="J85" s="37">
        <f>ROUND(C85/1000,0)</f>
        <v>0</v>
      </c>
      <c r="K85" s="37">
        <f>ROUND(D85/1000,0)</f>
        <v>0</v>
      </c>
      <c r="L85" s="38">
        <f t="shared" si="24"/>
        <v>0</v>
      </c>
      <c r="M85" s="38"/>
      <c r="N85" s="37">
        <f>K85-'[1]Februaris'!K85</f>
        <v>0</v>
      </c>
    </row>
    <row r="86" spans="1:14" s="4" customFormat="1" ht="12">
      <c r="A86" s="45" t="s">
        <v>777</v>
      </c>
      <c r="B86" s="43">
        <f>B87+B89</f>
        <v>288293</v>
      </c>
      <c r="C86" s="43">
        <f>C87+C89</f>
        <v>206523</v>
      </c>
      <c r="D86" s="43">
        <f>D87+D89</f>
        <v>0</v>
      </c>
      <c r="E86" s="39">
        <f t="shared" si="22"/>
        <v>0</v>
      </c>
      <c r="F86" s="39">
        <f t="shared" si="23"/>
        <v>0</v>
      </c>
      <c r="G86" s="17">
        <f>D86-'[1]Februaris'!D86</f>
        <v>0</v>
      </c>
      <c r="H86" s="45" t="s">
        <v>777</v>
      </c>
      <c r="I86" s="25">
        <f>I87+I89</f>
        <v>288</v>
      </c>
      <c r="J86" s="25">
        <f>J87+J89</f>
        <v>207</v>
      </c>
      <c r="K86" s="25">
        <f>K87+K89</f>
        <v>0</v>
      </c>
      <c r="L86" s="26">
        <f t="shared" si="24"/>
        <v>0</v>
      </c>
      <c r="M86" s="26">
        <f>IF(ISERROR(ROUND(K86,0)/ROUND(J86,0))," ",(ROUND(K86,)/ROUND(J86,)))*100</f>
        <v>0</v>
      </c>
      <c r="N86" s="25">
        <f>K86-'[1]Februaris'!K86</f>
        <v>0</v>
      </c>
    </row>
    <row r="87" spans="1:14" s="27" customFormat="1" ht="12.75">
      <c r="A87" s="33" t="s">
        <v>763</v>
      </c>
      <c r="B87" s="34">
        <f>B88</f>
        <v>261393</v>
      </c>
      <c r="C87" s="34">
        <f>C88</f>
        <v>206523</v>
      </c>
      <c r="D87" s="34">
        <f>D88</f>
        <v>0</v>
      </c>
      <c r="E87" s="24">
        <f t="shared" si="22"/>
        <v>0</v>
      </c>
      <c r="F87" s="24">
        <f t="shared" si="23"/>
        <v>0</v>
      </c>
      <c r="G87" s="17">
        <f>D87-'[1]Februaris'!D87</f>
        <v>0</v>
      </c>
      <c r="H87" s="33" t="s">
        <v>763</v>
      </c>
      <c r="I87" s="34">
        <f>I88</f>
        <v>261</v>
      </c>
      <c r="J87" s="34">
        <f>J88</f>
        <v>207</v>
      </c>
      <c r="K87" s="34">
        <f>K88</f>
        <v>0</v>
      </c>
      <c r="L87" s="35">
        <f t="shared" si="24"/>
        <v>0</v>
      </c>
      <c r="M87" s="35">
        <f>IF(ISERROR(ROUND(K87,0)/ROUND(J87,0))," ",(ROUND(K87,)/ROUND(J87,)))*100</f>
        <v>0</v>
      </c>
      <c r="N87" s="34">
        <f>K87-'[1]Februaris'!K87</f>
        <v>0</v>
      </c>
    </row>
    <row r="88" spans="1:14" ht="12.75">
      <c r="A88" s="36" t="s">
        <v>759</v>
      </c>
      <c r="B88" s="37">
        <v>261393</v>
      </c>
      <c r="C88" s="37">
        <v>206523</v>
      </c>
      <c r="D88" s="37"/>
      <c r="E88" s="24">
        <f t="shared" si="22"/>
        <v>0</v>
      </c>
      <c r="F88" s="24">
        <f t="shared" si="23"/>
        <v>0</v>
      </c>
      <c r="G88" s="17">
        <f>D88-'[1]Februaris'!D88</f>
        <v>0</v>
      </c>
      <c r="H88" s="36" t="s">
        <v>759</v>
      </c>
      <c r="I88" s="37">
        <f>ROUND(B88/1000,0)</f>
        <v>261</v>
      </c>
      <c r="J88" s="37">
        <f>ROUND(C88/1000,0)</f>
        <v>207</v>
      </c>
      <c r="K88" s="37">
        <f>ROUND(D88/1000,0)</f>
        <v>0</v>
      </c>
      <c r="L88" s="38">
        <f t="shared" si="24"/>
        <v>0</v>
      </c>
      <c r="M88" s="38">
        <f>IF(ISERROR(ROUND(K88,0)/ROUND(J88,0))," ",(ROUND(K88,)/ROUND(J88,)))*100</f>
        <v>0</v>
      </c>
      <c r="N88" s="37">
        <f>K88-'[1]Februaris'!K88</f>
        <v>0</v>
      </c>
    </row>
    <row r="89" spans="1:14" s="27" customFormat="1" ht="12.75">
      <c r="A89" s="33" t="s">
        <v>765</v>
      </c>
      <c r="B89" s="34">
        <f>B90</f>
        <v>26900</v>
      </c>
      <c r="C89" s="34">
        <f>C90</f>
        <v>0</v>
      </c>
      <c r="D89" s="34">
        <f>D90</f>
        <v>0</v>
      </c>
      <c r="E89" s="24">
        <f t="shared" si="22"/>
        <v>0</v>
      </c>
      <c r="F89" s="24" t="str">
        <f t="shared" si="23"/>
        <v> </v>
      </c>
      <c r="G89" s="17">
        <f>D89-'[1]Februaris'!D89</f>
        <v>0</v>
      </c>
      <c r="H89" s="33" t="s">
        <v>765</v>
      </c>
      <c r="I89" s="34">
        <f>I90</f>
        <v>27</v>
      </c>
      <c r="J89" s="34">
        <f>J90</f>
        <v>0</v>
      </c>
      <c r="K89" s="34">
        <f>K90</f>
        <v>0</v>
      </c>
      <c r="L89" s="35">
        <f t="shared" si="24"/>
        <v>0</v>
      </c>
      <c r="M89" s="38"/>
      <c r="N89" s="34">
        <f>K89-'[1]Februaris'!K89</f>
        <v>0</v>
      </c>
    </row>
    <row r="90" spans="1:14" ht="12.75">
      <c r="A90" s="36" t="s">
        <v>759</v>
      </c>
      <c r="B90" s="37">
        <v>26900</v>
      </c>
      <c r="C90" s="37"/>
      <c r="D90" s="37"/>
      <c r="E90" s="24">
        <f t="shared" si="22"/>
        <v>0</v>
      </c>
      <c r="F90" s="24" t="str">
        <f t="shared" si="23"/>
        <v> </v>
      </c>
      <c r="G90" s="17">
        <f>D90-'[1]Februaris'!D90</f>
        <v>0</v>
      </c>
      <c r="H90" s="36" t="s">
        <v>759</v>
      </c>
      <c r="I90" s="37">
        <f>ROUND(B90/1000,0)</f>
        <v>27</v>
      </c>
      <c r="J90" s="37">
        <f>ROUND(C90/1000,0)</f>
        <v>0</v>
      </c>
      <c r="K90" s="37">
        <f>ROUND(D90/1000,0)</f>
        <v>0</v>
      </c>
      <c r="L90" s="38">
        <f t="shared" si="24"/>
        <v>0</v>
      </c>
      <c r="M90" s="38"/>
      <c r="N90" s="37">
        <f>K90-'[1]Februaris'!K90</f>
        <v>0</v>
      </c>
    </row>
    <row r="91" spans="1:14" s="4" customFormat="1" ht="12">
      <c r="A91" s="45" t="s">
        <v>778</v>
      </c>
      <c r="B91" s="43">
        <f>B92+B95</f>
        <v>330250</v>
      </c>
      <c r="C91" s="43">
        <f>C92+C95</f>
        <v>10000</v>
      </c>
      <c r="D91" s="43">
        <f>D92+D95</f>
        <v>6691</v>
      </c>
      <c r="E91" s="24">
        <f t="shared" si="22"/>
        <v>0.020260408781226345</v>
      </c>
      <c r="F91" s="24">
        <f t="shared" si="23"/>
        <v>0.6691</v>
      </c>
      <c r="G91" s="17">
        <f>D91-'[1]Februaris'!D91</f>
        <v>6691</v>
      </c>
      <c r="H91" s="45" t="s">
        <v>778</v>
      </c>
      <c r="I91" s="25">
        <f>I92+I95</f>
        <v>331</v>
      </c>
      <c r="J91" s="25">
        <f>J92+J95</f>
        <v>10</v>
      </c>
      <c r="K91" s="25">
        <f>K92+K95</f>
        <v>7</v>
      </c>
      <c r="L91" s="26">
        <f t="shared" si="24"/>
        <v>2.1148036253776437</v>
      </c>
      <c r="M91" s="26">
        <f>IF(ISERROR(ROUND(K91,0)/ROUND(J91,0))," ",(ROUND(K91,)/ROUND(J91,)))*100</f>
        <v>70</v>
      </c>
      <c r="N91" s="25">
        <f>K91-'[1]Februaris'!K91</f>
        <v>7</v>
      </c>
    </row>
    <row r="92" spans="1:14" s="27" customFormat="1" ht="12.75">
      <c r="A92" s="33" t="s">
        <v>763</v>
      </c>
      <c r="B92" s="34">
        <f>SUM(B93:B94)</f>
        <v>280250</v>
      </c>
      <c r="C92" s="34">
        <f>SUM(C93:C94)</f>
        <v>0</v>
      </c>
      <c r="D92" s="34">
        <f>SUM(D93:D94)</f>
        <v>0</v>
      </c>
      <c r="E92" s="24">
        <f t="shared" si="22"/>
        <v>0</v>
      </c>
      <c r="F92" s="24" t="str">
        <f t="shared" si="23"/>
        <v> </v>
      </c>
      <c r="G92" s="17">
        <f>D92-'[1]Februaris'!D92</f>
        <v>0</v>
      </c>
      <c r="H92" s="33" t="s">
        <v>763</v>
      </c>
      <c r="I92" s="34">
        <f>I93+I94</f>
        <v>281</v>
      </c>
      <c r="J92" s="34">
        <f>J93+J94</f>
        <v>0</v>
      </c>
      <c r="K92" s="34">
        <f>K93+K94</f>
        <v>0</v>
      </c>
      <c r="L92" s="35">
        <f t="shared" si="24"/>
        <v>0</v>
      </c>
      <c r="M92" s="38"/>
      <c r="N92" s="34">
        <f>K92-'[1]Februaris'!K92</f>
        <v>0</v>
      </c>
    </row>
    <row r="93" spans="1:14" ht="12.75">
      <c r="A93" s="36" t="s">
        <v>759</v>
      </c>
      <c r="B93" s="37">
        <v>191750</v>
      </c>
      <c r="C93" s="37"/>
      <c r="D93" s="37"/>
      <c r="E93" s="24">
        <f t="shared" si="22"/>
        <v>0</v>
      </c>
      <c r="F93" s="24" t="str">
        <f t="shared" si="23"/>
        <v> </v>
      </c>
      <c r="G93" s="17">
        <f>D93-'[1]Februaris'!D93</f>
        <v>0</v>
      </c>
      <c r="H93" s="36" t="s">
        <v>759</v>
      </c>
      <c r="I93" s="37">
        <f aca="true" t="shared" si="27" ref="I93:K94">ROUND(B93/1000,0)</f>
        <v>192</v>
      </c>
      <c r="J93" s="37">
        <f t="shared" si="27"/>
        <v>0</v>
      </c>
      <c r="K93" s="37">
        <f t="shared" si="27"/>
        <v>0</v>
      </c>
      <c r="L93" s="38">
        <f t="shared" si="24"/>
        <v>0</v>
      </c>
      <c r="M93" s="38"/>
      <c r="N93" s="37">
        <f>K93-'[1]Februaris'!K93</f>
        <v>0</v>
      </c>
    </row>
    <row r="94" spans="1:14" ht="12.75">
      <c r="A94" s="36" t="s">
        <v>760</v>
      </c>
      <c r="B94" s="37">
        <v>88500</v>
      </c>
      <c r="C94" s="37"/>
      <c r="D94" s="37"/>
      <c r="E94" s="24">
        <f t="shared" si="22"/>
        <v>0</v>
      </c>
      <c r="F94" s="24" t="str">
        <f t="shared" si="23"/>
        <v> </v>
      </c>
      <c r="G94" s="17">
        <f>D94-'[1]Februaris'!D94</f>
        <v>0</v>
      </c>
      <c r="H94" s="36" t="s">
        <v>760</v>
      </c>
      <c r="I94" s="37">
        <f t="shared" si="27"/>
        <v>89</v>
      </c>
      <c r="J94" s="37">
        <f t="shared" si="27"/>
        <v>0</v>
      </c>
      <c r="K94" s="37">
        <f t="shared" si="27"/>
        <v>0</v>
      </c>
      <c r="L94" s="38">
        <f t="shared" si="24"/>
        <v>0</v>
      </c>
      <c r="M94" s="38"/>
      <c r="N94" s="37">
        <f>K94-'[1]Februaris'!K94</f>
        <v>0</v>
      </c>
    </row>
    <row r="95" spans="1:14" s="27" customFormat="1" ht="12.75">
      <c r="A95" s="33" t="s">
        <v>765</v>
      </c>
      <c r="B95" s="34">
        <f>SUM(B96:B97)</f>
        <v>50000</v>
      </c>
      <c r="C95" s="34">
        <f>SUM(C96:C97)</f>
        <v>10000</v>
      </c>
      <c r="D95" s="34">
        <f>SUM(D96:D97)</f>
        <v>6691</v>
      </c>
      <c r="E95" s="24">
        <f t="shared" si="22"/>
        <v>0.13382</v>
      </c>
      <c r="F95" s="24">
        <f t="shared" si="23"/>
        <v>0.6691</v>
      </c>
      <c r="G95" s="17">
        <f>D95-'[1]Februaris'!D95</f>
        <v>6691</v>
      </c>
      <c r="H95" s="33" t="s">
        <v>765</v>
      </c>
      <c r="I95" s="34">
        <f>I96+I97</f>
        <v>50</v>
      </c>
      <c r="J95" s="34">
        <f>J96+J97</f>
        <v>10</v>
      </c>
      <c r="K95" s="34">
        <f>K96+K97</f>
        <v>7</v>
      </c>
      <c r="L95" s="35">
        <f t="shared" si="24"/>
        <v>14.000000000000002</v>
      </c>
      <c r="M95" s="35">
        <f>IF(ISERROR(ROUND(K95,0)/ROUND(J95,0))," ",(ROUND(K95,)/ROUND(J95,)))*100</f>
        <v>70</v>
      </c>
      <c r="N95" s="34">
        <f>K95-'[1]Februaris'!K95</f>
        <v>7</v>
      </c>
    </row>
    <row r="96" spans="1:14" ht="12.75">
      <c r="A96" s="36" t="s">
        <v>759</v>
      </c>
      <c r="B96" s="37">
        <v>10000</v>
      </c>
      <c r="C96" s="37"/>
      <c r="D96" s="37"/>
      <c r="E96" s="24">
        <f t="shared" si="22"/>
        <v>0</v>
      </c>
      <c r="F96" s="24" t="str">
        <f t="shared" si="23"/>
        <v> </v>
      </c>
      <c r="G96" s="17">
        <f>D96-'[1]Februaris'!D96</f>
        <v>0</v>
      </c>
      <c r="H96" s="36" t="s">
        <v>759</v>
      </c>
      <c r="I96" s="37">
        <f aca="true" t="shared" si="28" ref="I96:K97">ROUND(B96/1000,0)</f>
        <v>10</v>
      </c>
      <c r="J96" s="37">
        <f t="shared" si="28"/>
        <v>0</v>
      </c>
      <c r="K96" s="37">
        <f t="shared" si="28"/>
        <v>0</v>
      </c>
      <c r="L96" s="38">
        <f t="shared" si="24"/>
        <v>0</v>
      </c>
      <c r="M96" s="38"/>
      <c r="N96" s="37">
        <f>K96-'[1]Februaris'!K96</f>
        <v>0</v>
      </c>
    </row>
    <row r="97" spans="1:14" ht="12.75">
      <c r="A97" s="36" t="s">
        <v>760</v>
      </c>
      <c r="B97" s="46">
        <v>40000</v>
      </c>
      <c r="C97" s="46">
        <v>10000</v>
      </c>
      <c r="D97" s="46">
        <v>6691</v>
      </c>
      <c r="E97" s="24">
        <f t="shared" si="22"/>
        <v>0.167275</v>
      </c>
      <c r="F97" s="24"/>
      <c r="G97" s="17">
        <f>D97-'[1]Februaris'!D97</f>
        <v>6691</v>
      </c>
      <c r="H97" s="36" t="s">
        <v>760</v>
      </c>
      <c r="I97" s="37">
        <f t="shared" si="28"/>
        <v>40</v>
      </c>
      <c r="J97" s="37">
        <f t="shared" si="28"/>
        <v>10</v>
      </c>
      <c r="K97" s="37">
        <f t="shared" si="28"/>
        <v>7</v>
      </c>
      <c r="L97" s="38">
        <f t="shared" si="24"/>
        <v>17.5</v>
      </c>
      <c r="M97" s="38">
        <f>IF(ISERROR(ROUND(K97,0)/ROUND(J97,0))," ",(ROUND(K97,)/ROUND(J97,)))*100</f>
        <v>70</v>
      </c>
      <c r="N97" s="37">
        <f>K97-'[1]Februaris'!K97</f>
        <v>7</v>
      </c>
    </row>
    <row r="98" spans="1:14" s="4" customFormat="1" ht="36">
      <c r="A98" s="45" t="s">
        <v>779</v>
      </c>
      <c r="B98" s="43">
        <f>B99+B102</f>
        <v>3858047</v>
      </c>
      <c r="C98" s="43">
        <f>C99+C102</f>
        <v>796757</v>
      </c>
      <c r="D98" s="43">
        <f>D99+D102</f>
        <v>278428</v>
      </c>
      <c r="E98" s="39">
        <f t="shared" si="22"/>
        <v>0.0721681202950612</v>
      </c>
      <c r="F98" s="39">
        <f>IF(ISERROR(D98/C98)," ",(D98/C98))</f>
        <v>0.349451589380451</v>
      </c>
      <c r="G98" s="17">
        <f>D98-'[1]Februaris'!D98</f>
        <v>12925</v>
      </c>
      <c r="H98" s="45" t="s">
        <v>779</v>
      </c>
      <c r="I98" s="25">
        <f>I99+I102</f>
        <v>3858</v>
      </c>
      <c r="J98" s="25">
        <f>J99+J102</f>
        <v>796</v>
      </c>
      <c r="K98" s="25">
        <f>K99+K102</f>
        <v>278</v>
      </c>
      <c r="L98" s="26">
        <f t="shared" si="24"/>
        <v>7.20580611715915</v>
      </c>
      <c r="M98" s="26">
        <f>IF(ISERROR(ROUND(K98,0)/ROUND(J98,0))," ",(ROUND(K98,)/ROUND(J98,)))*100</f>
        <v>34.92462311557789</v>
      </c>
      <c r="N98" s="25">
        <f>K98-'[1]Februaris'!K98</f>
        <v>12</v>
      </c>
    </row>
    <row r="99" spans="1:14" s="27" customFormat="1" ht="12.75">
      <c r="A99" s="33" t="s">
        <v>763</v>
      </c>
      <c r="B99" s="34">
        <f>SUM(B100:B101)</f>
        <v>3388557</v>
      </c>
      <c r="C99" s="34">
        <f>SUM(C100:C101)</f>
        <v>765348</v>
      </c>
      <c r="D99" s="34">
        <f>SUM(D100:D101)</f>
        <v>247067</v>
      </c>
      <c r="E99" s="39">
        <f t="shared" si="22"/>
        <v>0.07291215700370393</v>
      </c>
      <c r="F99" s="39">
        <f>IF(ISERROR(D99/C99)," ",(D99/C99))</f>
        <v>0.32281654881178234</v>
      </c>
      <c r="G99" s="17">
        <f>D99-'[1]Februaris'!D99</f>
        <v>0</v>
      </c>
      <c r="H99" s="33" t="s">
        <v>763</v>
      </c>
      <c r="I99" s="34">
        <f>SUM(I100:I101)</f>
        <v>3388</v>
      </c>
      <c r="J99" s="34">
        <f>SUM(J100:J101)</f>
        <v>765</v>
      </c>
      <c r="K99" s="34">
        <f>SUM(K100:K101)</f>
        <v>247</v>
      </c>
      <c r="L99" s="35">
        <f t="shared" si="24"/>
        <v>7.290436835891382</v>
      </c>
      <c r="M99" s="35">
        <f>IF(ISERROR(ROUND(K99,0)/ROUND(J99,0))," ",(ROUND(K99,)/ROUND(J99,)))*100</f>
        <v>32.287581699346404</v>
      </c>
      <c r="N99" s="34">
        <f>K99-'[1]Februaris'!K99</f>
        <v>0</v>
      </c>
    </row>
    <row r="100" spans="1:14" ht="12.75">
      <c r="A100" s="36" t="s">
        <v>759</v>
      </c>
      <c r="B100" s="37">
        <v>2164307</v>
      </c>
      <c r="C100" s="37">
        <v>765348</v>
      </c>
      <c r="D100" s="37">
        <v>247067</v>
      </c>
      <c r="E100" s="39">
        <f t="shared" si="22"/>
        <v>0.11415524692199397</v>
      </c>
      <c r="F100" s="39">
        <f>IF(ISERROR(D100/C100)," ",(D100/C100))</f>
        <v>0.32281654881178234</v>
      </c>
      <c r="G100" s="17">
        <f>D100-'[1]Februaris'!D100</f>
        <v>0</v>
      </c>
      <c r="H100" s="36" t="s">
        <v>759</v>
      </c>
      <c r="I100" s="37">
        <f aca="true" t="shared" si="29" ref="I100:K101">ROUND(B100/1000,0)</f>
        <v>2164</v>
      </c>
      <c r="J100" s="37">
        <f t="shared" si="29"/>
        <v>765</v>
      </c>
      <c r="K100" s="37">
        <f t="shared" si="29"/>
        <v>247</v>
      </c>
      <c r="L100" s="38">
        <f t="shared" si="24"/>
        <v>11.414048059149723</v>
      </c>
      <c r="M100" s="38">
        <f>IF(ISERROR(ROUND(K100,0)/ROUND(J100,0))," ",(ROUND(K100,)/ROUND(J100,)))*100</f>
        <v>32.287581699346404</v>
      </c>
      <c r="N100" s="37">
        <f>K100-'[1]Februaris'!K100</f>
        <v>0</v>
      </c>
    </row>
    <row r="101" spans="1:14" ht="12.75">
      <c r="A101" s="36" t="s">
        <v>760</v>
      </c>
      <c r="B101" s="46">
        <v>1224250</v>
      </c>
      <c r="C101" s="46"/>
      <c r="D101" s="46"/>
      <c r="E101" s="24"/>
      <c r="F101" s="24"/>
      <c r="G101" s="17">
        <f>D101-'[1]Februaris'!D101</f>
        <v>0</v>
      </c>
      <c r="H101" s="36" t="s">
        <v>760</v>
      </c>
      <c r="I101" s="37">
        <f t="shared" si="29"/>
        <v>1224</v>
      </c>
      <c r="J101" s="37">
        <f t="shared" si="29"/>
        <v>0</v>
      </c>
      <c r="K101" s="37">
        <f t="shared" si="29"/>
        <v>0</v>
      </c>
      <c r="L101" s="38">
        <f t="shared" si="24"/>
        <v>0</v>
      </c>
      <c r="M101" s="38"/>
      <c r="N101" s="37">
        <f>K101-'[1]Februaris'!K101</f>
        <v>0</v>
      </c>
    </row>
    <row r="102" spans="1:14" s="27" customFormat="1" ht="12.75">
      <c r="A102" s="33" t="s">
        <v>765</v>
      </c>
      <c r="B102" s="34">
        <f>B103</f>
        <v>469490</v>
      </c>
      <c r="C102" s="34">
        <f>C103</f>
        <v>31409</v>
      </c>
      <c r="D102" s="34">
        <f>D103</f>
        <v>31361</v>
      </c>
      <c r="E102" s="24">
        <f aca="true" t="shared" si="30" ref="E102:E125">IF(ISERROR(D102/B102)," ",(D102/B102))</f>
        <v>0.06679801486719632</v>
      </c>
      <c r="F102" s="24">
        <f aca="true" t="shared" si="31" ref="F102:F107">IF(ISERROR(D102/C102)," ",(D102/C102))</f>
        <v>0.9984717756057181</v>
      </c>
      <c r="G102" s="17">
        <f>D102-'[1]Februaris'!D102</f>
        <v>12925</v>
      </c>
      <c r="H102" s="33" t="s">
        <v>765</v>
      </c>
      <c r="I102" s="34">
        <f>I103</f>
        <v>470</v>
      </c>
      <c r="J102" s="34">
        <f>J103</f>
        <v>31</v>
      </c>
      <c r="K102" s="34">
        <f>K103</f>
        <v>31</v>
      </c>
      <c r="L102" s="35">
        <f t="shared" si="24"/>
        <v>6.595744680851063</v>
      </c>
      <c r="M102" s="35">
        <f>IF(ISERROR(ROUND(K102,0)/ROUND(J102,0))," ",(ROUND(K102,)/ROUND(J102,)))*100</f>
        <v>100</v>
      </c>
      <c r="N102" s="34">
        <f>K102-'[1]Februaris'!K102</f>
        <v>12</v>
      </c>
    </row>
    <row r="103" spans="1:14" ht="12.75">
      <c r="A103" s="36" t="s">
        <v>759</v>
      </c>
      <c r="B103" s="37">
        <v>469490</v>
      </c>
      <c r="C103" s="37">
        <v>31409</v>
      </c>
      <c r="D103" s="37">
        <v>31361</v>
      </c>
      <c r="E103" s="24">
        <f t="shared" si="30"/>
        <v>0.06679801486719632</v>
      </c>
      <c r="F103" s="24">
        <f t="shared" si="31"/>
        <v>0.9984717756057181</v>
      </c>
      <c r="G103" s="17">
        <f>D103-'[1]Februaris'!D103</f>
        <v>12925</v>
      </c>
      <c r="H103" s="36" t="s">
        <v>759</v>
      </c>
      <c r="I103" s="37">
        <f>ROUND(B103/1000,0)+1</f>
        <v>470</v>
      </c>
      <c r="J103" s="37">
        <f>ROUND(C103/1000,0)</f>
        <v>31</v>
      </c>
      <c r="K103" s="37">
        <f>ROUND(D103/1000,0)</f>
        <v>31</v>
      </c>
      <c r="L103" s="38">
        <f t="shared" si="24"/>
        <v>6.595744680851063</v>
      </c>
      <c r="M103" s="38">
        <f>IF(ISERROR(ROUND(K103,0)/ROUND(J103,0))," ",(ROUND(K103,)/ROUND(J103,)))*100</f>
        <v>100</v>
      </c>
      <c r="N103" s="37">
        <f>K103-'[1]Februaris'!K103</f>
        <v>12</v>
      </c>
    </row>
    <row r="104" spans="1:14" s="4" customFormat="1" ht="24">
      <c r="A104" s="45" t="s">
        <v>780</v>
      </c>
      <c r="B104" s="25">
        <f>B105+B107</f>
        <v>1091245</v>
      </c>
      <c r="C104" s="25">
        <f>C105+C107</f>
        <v>665784</v>
      </c>
      <c r="D104" s="25">
        <f>D105+D107</f>
        <v>67470</v>
      </c>
      <c r="E104" s="24">
        <f t="shared" si="30"/>
        <v>0.06182846198608012</v>
      </c>
      <c r="F104" s="24">
        <f t="shared" si="31"/>
        <v>0.10133917306513825</v>
      </c>
      <c r="G104" s="17">
        <f>D104-'[1]Februaris'!D104</f>
        <v>67470</v>
      </c>
      <c r="H104" s="45" t="s">
        <v>780</v>
      </c>
      <c r="I104" s="25">
        <f>I105+I107</f>
        <v>1091</v>
      </c>
      <c r="J104" s="25">
        <f>J105</f>
        <v>666</v>
      </c>
      <c r="K104" s="25">
        <f>K105</f>
        <v>67</v>
      </c>
      <c r="L104" s="26">
        <f t="shared" si="24"/>
        <v>6.14115490375802</v>
      </c>
      <c r="M104" s="26">
        <f>IF(ISERROR(ROUND(K104,0)/ROUND(J104,0))," ",(ROUND(K104,)/ROUND(J104,)))*100</f>
        <v>10.06006006006006</v>
      </c>
      <c r="N104" s="25">
        <f>K104-'[1]Februaris'!K104</f>
        <v>67</v>
      </c>
    </row>
    <row r="105" spans="1:14" s="27" customFormat="1" ht="12.75">
      <c r="A105" s="33" t="s">
        <v>763</v>
      </c>
      <c r="B105" s="34">
        <f>B106</f>
        <v>1077970</v>
      </c>
      <c r="C105" s="34">
        <f>C106</f>
        <v>665784</v>
      </c>
      <c r="D105" s="34">
        <f>D106</f>
        <v>67470</v>
      </c>
      <c r="E105" s="24">
        <f t="shared" si="30"/>
        <v>0.06258986799261575</v>
      </c>
      <c r="F105" s="24">
        <f t="shared" si="31"/>
        <v>0.10133917306513825</v>
      </c>
      <c r="G105" s="17">
        <f>D105-'[1]Februaris'!D105</f>
        <v>67470</v>
      </c>
      <c r="H105" s="33" t="s">
        <v>763</v>
      </c>
      <c r="I105" s="34">
        <f>I106</f>
        <v>1078</v>
      </c>
      <c r="J105" s="34">
        <f>J106</f>
        <v>666</v>
      </c>
      <c r="K105" s="34">
        <f>K106</f>
        <v>67</v>
      </c>
      <c r="L105" s="35">
        <f t="shared" si="24"/>
        <v>6.215213358070501</v>
      </c>
      <c r="M105" s="35">
        <f>IF(ISERROR(ROUND(K105,0)/ROUND(J105,0))," ",(ROUND(K105,)/ROUND(J105,)))*100</f>
        <v>10.06006006006006</v>
      </c>
      <c r="N105" s="34">
        <f>K105-'[1]Februaris'!K105</f>
        <v>67</v>
      </c>
    </row>
    <row r="106" spans="1:14" ht="12.75">
      <c r="A106" s="36" t="s">
        <v>759</v>
      </c>
      <c r="B106" s="37">
        <v>1077970</v>
      </c>
      <c r="C106" s="37">
        <v>665784</v>
      </c>
      <c r="D106" s="37">
        <v>67470</v>
      </c>
      <c r="E106" s="24">
        <f t="shared" si="30"/>
        <v>0.06258986799261575</v>
      </c>
      <c r="F106" s="24">
        <f t="shared" si="31"/>
        <v>0.10133917306513825</v>
      </c>
      <c r="G106" s="17">
        <f>D106-'[1]Februaris'!D106</f>
        <v>67470</v>
      </c>
      <c r="H106" s="36" t="s">
        <v>759</v>
      </c>
      <c r="I106" s="37">
        <f>ROUND(B106/1000,0)</f>
        <v>1078</v>
      </c>
      <c r="J106" s="37">
        <f>ROUND(C106/1000,0)</f>
        <v>666</v>
      </c>
      <c r="K106" s="37">
        <f>ROUND(D106/1000,0)</f>
        <v>67</v>
      </c>
      <c r="L106" s="38">
        <f t="shared" si="24"/>
        <v>6.215213358070501</v>
      </c>
      <c r="M106" s="38">
        <f>IF(ISERROR(ROUND(K106,0)/ROUND(J106,0))," ",(ROUND(K106,)/ROUND(J106,)))*100</f>
        <v>10.06006006006006</v>
      </c>
      <c r="N106" s="37">
        <f>K106-'[1]Februaris'!K106</f>
        <v>67</v>
      </c>
    </row>
    <row r="107" spans="1:14" s="27" customFormat="1" ht="12.75">
      <c r="A107" s="33" t="s">
        <v>765</v>
      </c>
      <c r="B107" s="34">
        <f>B108</f>
        <v>13275</v>
      </c>
      <c r="C107" s="34">
        <f>C108</f>
        <v>0</v>
      </c>
      <c r="D107" s="34">
        <f>D108</f>
        <v>0</v>
      </c>
      <c r="E107" s="24">
        <f t="shared" si="30"/>
        <v>0</v>
      </c>
      <c r="F107" s="24" t="str">
        <f t="shared" si="31"/>
        <v> </v>
      </c>
      <c r="G107" s="17">
        <f>D107-'[1]Februaris'!D107</f>
        <v>0</v>
      </c>
      <c r="H107" s="33" t="s">
        <v>765</v>
      </c>
      <c r="I107" s="34">
        <f>I108</f>
        <v>13</v>
      </c>
      <c r="J107" s="34">
        <f>J108</f>
        <v>0</v>
      </c>
      <c r="K107" s="34">
        <f>K108</f>
        <v>0</v>
      </c>
      <c r="L107" s="35">
        <f t="shared" si="24"/>
        <v>0</v>
      </c>
      <c r="M107" s="38"/>
      <c r="N107" s="34">
        <f>K107-'[1]Februaris'!K107</f>
        <v>0</v>
      </c>
    </row>
    <row r="108" spans="1:14" ht="12.75">
      <c r="A108" s="36" t="s">
        <v>759</v>
      </c>
      <c r="B108" s="37">
        <v>13275</v>
      </c>
      <c r="C108" s="37"/>
      <c r="D108" s="37"/>
      <c r="E108" s="24">
        <f t="shared" si="30"/>
        <v>0</v>
      </c>
      <c r="F108" s="24"/>
      <c r="G108" s="17">
        <f>D108-'[1]Februaris'!D108</f>
        <v>0</v>
      </c>
      <c r="H108" s="36" t="s">
        <v>759</v>
      </c>
      <c r="I108" s="37">
        <f>ROUND(B108/1000,0)</f>
        <v>13</v>
      </c>
      <c r="J108" s="37">
        <f>ROUND(C108/1000,0)</f>
        <v>0</v>
      </c>
      <c r="K108" s="37">
        <f>ROUND(D108/1000,0)</f>
        <v>0</v>
      </c>
      <c r="L108" s="38">
        <f t="shared" si="24"/>
        <v>0</v>
      </c>
      <c r="M108" s="38"/>
      <c r="N108" s="37">
        <f>K108-'[1]Februaris'!K108</f>
        <v>0</v>
      </c>
    </row>
    <row r="109" spans="1:104" ht="38.25">
      <c r="A109" s="14" t="s">
        <v>781</v>
      </c>
      <c r="B109" s="47">
        <f>B110+B113</f>
        <v>5731672</v>
      </c>
      <c r="C109" s="47">
        <f>C110+C113</f>
        <v>718548</v>
      </c>
      <c r="D109" s="47">
        <f>D110+D113</f>
        <v>576290</v>
      </c>
      <c r="E109" s="24">
        <f t="shared" si="30"/>
        <v>0.10054483229326451</v>
      </c>
      <c r="F109" s="24"/>
      <c r="G109" s="17">
        <f>D109-'[1]Februaris'!D109</f>
        <v>56451</v>
      </c>
      <c r="H109" s="14" t="s">
        <v>781</v>
      </c>
      <c r="I109" s="18">
        <f>I110+I113</f>
        <v>5732</v>
      </c>
      <c r="J109" s="18">
        <f>J110+J113</f>
        <v>719</v>
      </c>
      <c r="K109" s="18">
        <f>K110+K113</f>
        <v>576</v>
      </c>
      <c r="L109" s="19">
        <f t="shared" si="24"/>
        <v>10.048848569434753</v>
      </c>
      <c r="M109" s="19">
        <f>IF(ISERROR(ROUND(K109,0)/ROUND(J109,0))," ",(ROUND(K109,)/ROUND(J109,)))*100</f>
        <v>80.11126564673157</v>
      </c>
      <c r="N109" s="18">
        <f>K109-'[1]Februaris'!K109</f>
        <v>56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s="49" customFormat="1" ht="15" customHeight="1">
      <c r="A110" s="20" t="s">
        <v>758</v>
      </c>
      <c r="B110" s="15">
        <f>B111+B112</f>
        <v>2605105</v>
      </c>
      <c r="C110" s="15">
        <f>C111+C112</f>
        <v>718548</v>
      </c>
      <c r="D110" s="15">
        <f>D111+D112</f>
        <v>576290</v>
      </c>
      <c r="E110" s="24">
        <f t="shared" si="30"/>
        <v>0.22121565157642398</v>
      </c>
      <c r="F110" s="24"/>
      <c r="G110" s="17">
        <f>D110-'[1]Februaris'!D110</f>
        <v>56451</v>
      </c>
      <c r="H110" s="20" t="s">
        <v>758</v>
      </c>
      <c r="I110" s="48">
        <f>I111+I112</f>
        <v>2605</v>
      </c>
      <c r="J110" s="48">
        <f>J111+J112</f>
        <v>719</v>
      </c>
      <c r="K110" s="48">
        <f>K111+K112</f>
        <v>576</v>
      </c>
      <c r="L110" s="19">
        <f t="shared" si="24"/>
        <v>22.111324376199615</v>
      </c>
      <c r="M110" s="19">
        <f>IF(ISERROR(ROUND(K110,0)/ROUND(J110,0))," ",(ROUND(K110,)/ROUND(J110,)))*100</f>
        <v>80.11126564673157</v>
      </c>
      <c r="N110" s="48">
        <f>K110-'[1]Februaris'!K110</f>
        <v>56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4" ht="12.75">
      <c r="A111" s="22" t="s">
        <v>759</v>
      </c>
      <c r="B111" s="43">
        <f>B118+B124</f>
        <v>325105</v>
      </c>
      <c r="C111" s="43">
        <f>C118+C124</f>
        <v>58548</v>
      </c>
      <c r="D111" s="43">
        <f>D118+D124</f>
        <v>0</v>
      </c>
      <c r="E111" s="24">
        <f t="shared" si="30"/>
        <v>0</v>
      </c>
      <c r="F111" s="24"/>
      <c r="G111" s="17">
        <f>D111-'[1]Februaris'!D111</f>
        <v>0</v>
      </c>
      <c r="H111" s="22" t="s">
        <v>759</v>
      </c>
      <c r="I111" s="25">
        <f>I118+I124</f>
        <v>325</v>
      </c>
      <c r="J111" s="25">
        <f>J118</f>
        <v>59</v>
      </c>
      <c r="K111" s="25">
        <f>K118</f>
        <v>0</v>
      </c>
      <c r="L111" s="19">
        <f t="shared" si="24"/>
        <v>0</v>
      </c>
      <c r="M111" s="19"/>
      <c r="N111" s="25">
        <f>K111-'[1]Februaris'!K111</f>
        <v>0</v>
      </c>
    </row>
    <row r="112" spans="1:14" ht="12.75">
      <c r="A112" s="22" t="s">
        <v>760</v>
      </c>
      <c r="B112" s="43">
        <f>B119</f>
        <v>2280000</v>
      </c>
      <c r="C112" s="43">
        <f>C119</f>
        <v>660000</v>
      </c>
      <c r="D112" s="43">
        <f>D119</f>
        <v>576290</v>
      </c>
      <c r="E112" s="24">
        <f t="shared" si="30"/>
        <v>0.25275877192982454</v>
      </c>
      <c r="F112" s="24"/>
      <c r="G112" s="17">
        <f>D112-'[1]Februaris'!D112</f>
        <v>56451</v>
      </c>
      <c r="H112" s="22" t="s">
        <v>760</v>
      </c>
      <c r="I112" s="25">
        <f>I119</f>
        <v>2280</v>
      </c>
      <c r="J112" s="31">
        <f>J119</f>
        <v>660</v>
      </c>
      <c r="K112" s="25">
        <f>K119</f>
        <v>576</v>
      </c>
      <c r="L112" s="26">
        <f t="shared" si="24"/>
        <v>25.263157894736842</v>
      </c>
      <c r="M112" s="26">
        <f>IF(ISERROR(ROUND(K112,0)/ROUND(J112,0))," ",(ROUND(K112,)/ROUND(J112,)))*100</f>
        <v>87.27272727272727</v>
      </c>
      <c r="N112" s="25">
        <f>K112-'[1]Februaris'!K112</f>
        <v>56</v>
      </c>
    </row>
    <row r="113" spans="1:104" s="49" customFormat="1" ht="15" customHeight="1">
      <c r="A113" s="20" t="s">
        <v>782</v>
      </c>
      <c r="B113" s="15">
        <f>SUM(B114:B115)</f>
        <v>3126567</v>
      </c>
      <c r="C113" s="15">
        <f>SUM(C115:C115)</f>
        <v>0</v>
      </c>
      <c r="D113" s="15">
        <f>SUM(D115:D115)</f>
        <v>0</v>
      </c>
      <c r="E113" s="24">
        <f t="shared" si="30"/>
        <v>0</v>
      </c>
      <c r="F113" s="24"/>
      <c r="G113" s="17">
        <f>D113-'[1]Februaris'!D113</f>
        <v>0</v>
      </c>
      <c r="H113" s="20" t="s">
        <v>782</v>
      </c>
      <c r="I113" s="18">
        <f>I115+I114</f>
        <v>3127</v>
      </c>
      <c r="J113" s="18">
        <f>J115</f>
        <v>0</v>
      </c>
      <c r="K113" s="18">
        <f>K115</f>
        <v>0</v>
      </c>
      <c r="L113" s="19">
        <f t="shared" si="24"/>
        <v>0</v>
      </c>
      <c r="M113" s="19"/>
      <c r="N113" s="18">
        <f>K113-'[1]Februaris'!K113</f>
        <v>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4" ht="12.75">
      <c r="A114" s="22" t="s">
        <v>759</v>
      </c>
      <c r="B114" s="43">
        <f>B126</f>
        <v>6567</v>
      </c>
      <c r="C114" s="43">
        <f>C126</f>
        <v>0</v>
      </c>
      <c r="D114" s="43">
        <f>D126</f>
        <v>0</v>
      </c>
      <c r="E114" s="24">
        <f t="shared" si="30"/>
        <v>0</v>
      </c>
      <c r="F114" s="24"/>
      <c r="G114" s="17">
        <f>D114-'[1]Februaris'!D114</f>
        <v>0</v>
      </c>
      <c r="H114" s="22" t="s">
        <v>759</v>
      </c>
      <c r="I114" s="25">
        <f>I126</f>
        <v>7</v>
      </c>
      <c r="J114" s="25">
        <f>J122</f>
        <v>0</v>
      </c>
      <c r="K114" s="25">
        <f>K122</f>
        <v>0</v>
      </c>
      <c r="L114" s="26">
        <f t="shared" si="24"/>
        <v>0</v>
      </c>
      <c r="M114" s="26"/>
      <c r="N114" s="25">
        <f>K114-'[1]Februaris'!K114</f>
        <v>0</v>
      </c>
    </row>
    <row r="115" spans="1:14" ht="12.75">
      <c r="A115" s="22" t="s">
        <v>760</v>
      </c>
      <c r="B115" s="43">
        <f>B121</f>
        <v>3120000</v>
      </c>
      <c r="C115" s="43">
        <f>C121</f>
        <v>0</v>
      </c>
      <c r="D115" s="43">
        <f>D121</f>
        <v>0</v>
      </c>
      <c r="E115" s="24">
        <f t="shared" si="30"/>
        <v>0</v>
      </c>
      <c r="F115" s="24"/>
      <c r="G115" s="17">
        <f>D115-'[1]Februaris'!D115</f>
        <v>0</v>
      </c>
      <c r="H115" s="22" t="s">
        <v>760</v>
      </c>
      <c r="I115" s="25">
        <f>I121</f>
        <v>3120</v>
      </c>
      <c r="J115" s="25">
        <f>J121</f>
        <v>0</v>
      </c>
      <c r="K115" s="25">
        <f>K121</f>
        <v>0</v>
      </c>
      <c r="L115" s="26">
        <f t="shared" si="24"/>
        <v>0</v>
      </c>
      <c r="M115" s="26"/>
      <c r="N115" s="25">
        <f>K115-'[1]Februaris'!K115</f>
        <v>0</v>
      </c>
    </row>
    <row r="116" spans="1:14" s="4" customFormat="1" ht="12">
      <c r="A116" s="45" t="s">
        <v>772</v>
      </c>
      <c r="B116" s="25">
        <f>B117+B120</f>
        <v>5659437</v>
      </c>
      <c r="C116" s="25">
        <f>C117+C120</f>
        <v>718548</v>
      </c>
      <c r="D116" s="25">
        <f>D117+D120</f>
        <v>576290</v>
      </c>
      <c r="E116" s="24">
        <f t="shared" si="30"/>
        <v>0.10182815004390013</v>
      </c>
      <c r="F116" s="24"/>
      <c r="G116" s="17">
        <f>D116-'[1]Februaris'!D116</f>
        <v>56451</v>
      </c>
      <c r="H116" s="45" t="s">
        <v>772</v>
      </c>
      <c r="I116" s="25">
        <f>I117+I120</f>
        <v>5659</v>
      </c>
      <c r="J116" s="25">
        <f>J117+J120</f>
        <v>719</v>
      </c>
      <c r="K116" s="25">
        <f>K117+K120</f>
        <v>576</v>
      </c>
      <c r="L116" s="26">
        <f t="shared" si="24"/>
        <v>10.178476762678919</v>
      </c>
      <c r="M116" s="26">
        <f>IF(ISERROR(ROUND(K116,0)/ROUND(J116,0))," ",(ROUND(K116,)/ROUND(J116,)))*100</f>
        <v>80.11126564673157</v>
      </c>
      <c r="N116" s="25">
        <f>K116-'[1]Februaris'!K116</f>
        <v>56</v>
      </c>
    </row>
    <row r="117" spans="1:14" s="27" customFormat="1" ht="12.75">
      <c r="A117" s="33" t="s">
        <v>763</v>
      </c>
      <c r="B117" s="34">
        <f>B118+B119</f>
        <v>2539437</v>
      </c>
      <c r="C117" s="34">
        <f>C118+C119</f>
        <v>718548</v>
      </c>
      <c r="D117" s="34">
        <f>D118+D119</f>
        <v>576290</v>
      </c>
      <c r="E117" s="24">
        <f t="shared" si="30"/>
        <v>0.22693612796852217</v>
      </c>
      <c r="F117" s="24"/>
      <c r="G117" s="17">
        <f>D117-'[1]Februaris'!D117</f>
        <v>56451</v>
      </c>
      <c r="H117" s="33" t="s">
        <v>763</v>
      </c>
      <c r="I117" s="34">
        <f>I119+I118</f>
        <v>2539</v>
      </c>
      <c r="J117" s="34">
        <f>J119+J118</f>
        <v>719</v>
      </c>
      <c r="K117" s="34">
        <f>K119+K118</f>
        <v>576</v>
      </c>
      <c r="L117" s="35">
        <f t="shared" si="24"/>
        <v>22.686096888538795</v>
      </c>
      <c r="M117" s="35">
        <f>IF(ISERROR(ROUND(K117,0)/ROUND(J117,0))," ",(ROUND(K117,)/ROUND(J117,)))*100</f>
        <v>80.11126564673157</v>
      </c>
      <c r="N117" s="34">
        <f>K117-'[1]Februaris'!K117</f>
        <v>56</v>
      </c>
    </row>
    <row r="118" spans="1:14" ht="12.75">
      <c r="A118" s="36" t="s">
        <v>759</v>
      </c>
      <c r="B118" s="37">
        <v>259437</v>
      </c>
      <c r="C118" s="37">
        <v>58548</v>
      </c>
      <c r="D118" s="37"/>
      <c r="E118" s="24">
        <f t="shared" si="30"/>
        <v>0</v>
      </c>
      <c r="F118" s="24"/>
      <c r="G118" s="17">
        <f>D118-'[1]Februaris'!D118</f>
        <v>0</v>
      </c>
      <c r="H118" s="36" t="s">
        <v>759</v>
      </c>
      <c r="I118" s="37">
        <f aca="true" t="shared" si="32" ref="I118:K119">ROUND(B118/1000,0)</f>
        <v>259</v>
      </c>
      <c r="J118" s="37">
        <f t="shared" si="32"/>
        <v>59</v>
      </c>
      <c r="K118" s="37">
        <f t="shared" si="32"/>
        <v>0</v>
      </c>
      <c r="L118" s="38">
        <f t="shared" si="24"/>
        <v>0</v>
      </c>
      <c r="M118" s="38"/>
      <c r="N118" s="37">
        <f>K118-'[1]Februaris'!K118</f>
        <v>0</v>
      </c>
    </row>
    <row r="119" spans="1:104" s="29" customFormat="1" ht="12.75">
      <c r="A119" s="36" t="s">
        <v>760</v>
      </c>
      <c r="B119" s="37">
        <v>2280000</v>
      </c>
      <c r="C119" s="37">
        <v>660000</v>
      </c>
      <c r="D119" s="37">
        <v>576290</v>
      </c>
      <c r="E119" s="24">
        <f t="shared" si="30"/>
        <v>0.25275877192982454</v>
      </c>
      <c r="F119" s="24"/>
      <c r="G119" s="17">
        <f>D119-'[1]Februaris'!D119</f>
        <v>56451</v>
      </c>
      <c r="H119" s="36" t="s">
        <v>760</v>
      </c>
      <c r="I119" s="37">
        <f t="shared" si="32"/>
        <v>2280</v>
      </c>
      <c r="J119" s="37">
        <f t="shared" si="32"/>
        <v>660</v>
      </c>
      <c r="K119" s="37">
        <f t="shared" si="32"/>
        <v>576</v>
      </c>
      <c r="L119" s="38">
        <f t="shared" si="24"/>
        <v>25.263157894736842</v>
      </c>
      <c r="M119" s="38">
        <f>IF(ISERROR(ROUND(K119,0)/ROUND(J119,0))," ",(ROUND(K119,)/ROUND(J119,)))*100</f>
        <v>87.27272727272727</v>
      </c>
      <c r="N119" s="37">
        <f>K119-'[1]Februaris'!K119</f>
        <v>56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27" customFormat="1" ht="12.75">
      <c r="A120" s="33" t="s">
        <v>783</v>
      </c>
      <c r="B120" s="34">
        <f>B121</f>
        <v>3120000</v>
      </c>
      <c r="C120" s="34">
        <f>C121</f>
        <v>0</v>
      </c>
      <c r="D120" s="34">
        <f>D121</f>
        <v>0</v>
      </c>
      <c r="E120" s="24">
        <f t="shared" si="30"/>
        <v>0</v>
      </c>
      <c r="F120" s="24"/>
      <c r="G120" s="17">
        <f>D120-'[1]Februaris'!D120</f>
        <v>0</v>
      </c>
      <c r="H120" s="33" t="s">
        <v>783</v>
      </c>
      <c r="I120" s="34">
        <f>I121</f>
        <v>3120</v>
      </c>
      <c r="J120" s="34">
        <f>J121</f>
        <v>0</v>
      </c>
      <c r="K120" s="34">
        <f>K121</f>
        <v>0</v>
      </c>
      <c r="L120" s="35">
        <f t="shared" si="24"/>
        <v>0</v>
      </c>
      <c r="M120" s="35"/>
      <c r="N120" s="34">
        <f>K120-'[1]Februaris'!K120</f>
        <v>0</v>
      </c>
    </row>
    <row r="121" spans="1:104" s="29" customFormat="1" ht="12.75">
      <c r="A121" s="36" t="s">
        <v>760</v>
      </c>
      <c r="B121" s="37">
        <v>3120000</v>
      </c>
      <c r="C121" s="37"/>
      <c r="D121" s="37"/>
      <c r="E121" s="24">
        <f t="shared" si="30"/>
        <v>0</v>
      </c>
      <c r="F121" s="24"/>
      <c r="G121" s="17">
        <f>D121-'[1]Februaris'!D121</f>
        <v>0</v>
      </c>
      <c r="H121" s="36" t="s">
        <v>760</v>
      </c>
      <c r="I121" s="37">
        <f>ROUND(B121/1000,0)</f>
        <v>3120</v>
      </c>
      <c r="J121" s="37">
        <f>ROUND(C121/1000,0)</f>
        <v>0</v>
      </c>
      <c r="K121" s="37">
        <f>ROUND(D121/1000,0)</f>
        <v>0</v>
      </c>
      <c r="L121" s="38">
        <f t="shared" si="24"/>
        <v>0</v>
      </c>
      <c r="M121" s="38"/>
      <c r="N121" s="37">
        <f>K121-'[1]Februaris'!K121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4" customFormat="1" ht="12">
      <c r="A122" s="45" t="s">
        <v>773</v>
      </c>
      <c r="B122" s="25">
        <f>B123+B125</f>
        <v>72235</v>
      </c>
      <c r="C122" s="25">
        <f>C123+C125</f>
        <v>0</v>
      </c>
      <c r="D122" s="25">
        <f>D123+D125</f>
        <v>0</v>
      </c>
      <c r="E122" s="24">
        <f t="shared" si="30"/>
        <v>0</v>
      </c>
      <c r="F122" s="24"/>
      <c r="G122" s="17">
        <f>D122-'[1]Februaris'!D122</f>
        <v>0</v>
      </c>
      <c r="H122" s="45" t="s">
        <v>773</v>
      </c>
      <c r="I122" s="25">
        <f>I123+I125</f>
        <v>73</v>
      </c>
      <c r="J122" s="25">
        <f>J123+J125</f>
        <v>0</v>
      </c>
      <c r="K122" s="25">
        <f>K123+K125</f>
        <v>0</v>
      </c>
      <c r="L122" s="26">
        <f t="shared" si="24"/>
        <v>0</v>
      </c>
      <c r="M122" s="26"/>
      <c r="N122" s="25">
        <f>K122-'[1]Februaris'!K122</f>
        <v>0</v>
      </c>
    </row>
    <row r="123" spans="1:14" s="27" customFormat="1" ht="12.75">
      <c r="A123" s="33" t="s">
        <v>763</v>
      </c>
      <c r="B123" s="34">
        <f>B124</f>
        <v>65668</v>
      </c>
      <c r="C123" s="34">
        <f>C124</f>
        <v>0</v>
      </c>
      <c r="D123" s="34">
        <f>D124</f>
        <v>0</v>
      </c>
      <c r="E123" s="24">
        <f t="shared" si="30"/>
        <v>0</v>
      </c>
      <c r="F123" s="24"/>
      <c r="G123" s="17">
        <f>D123-'[1]Februaris'!D123</f>
        <v>0</v>
      </c>
      <c r="H123" s="33" t="s">
        <v>763</v>
      </c>
      <c r="I123" s="34">
        <f>I124</f>
        <v>66</v>
      </c>
      <c r="J123" s="34">
        <f>J124</f>
        <v>0</v>
      </c>
      <c r="K123" s="34">
        <f>K124</f>
        <v>0</v>
      </c>
      <c r="L123" s="35">
        <f t="shared" si="24"/>
        <v>0</v>
      </c>
      <c r="M123" s="34"/>
      <c r="N123" s="34">
        <f>K123-'[1]Februaris'!K123</f>
        <v>0</v>
      </c>
    </row>
    <row r="124" spans="1:14" ht="12.75">
      <c r="A124" s="36" t="s">
        <v>759</v>
      </c>
      <c r="B124" s="37">
        <v>65668</v>
      </c>
      <c r="C124" s="37"/>
      <c r="D124" s="37"/>
      <c r="E124" s="24">
        <f t="shared" si="30"/>
        <v>0</v>
      </c>
      <c r="F124" s="24"/>
      <c r="G124" s="17">
        <f>D124-'[1]Februaris'!D124</f>
        <v>0</v>
      </c>
      <c r="H124" s="36" t="s">
        <v>759</v>
      </c>
      <c r="I124" s="37">
        <f>ROUND(B124/1000,0)</f>
        <v>66</v>
      </c>
      <c r="J124" s="37">
        <f>ROUND(C124/1000,0)</f>
        <v>0</v>
      </c>
      <c r="K124" s="37">
        <f>ROUND(D124/1000,0)</f>
        <v>0</v>
      </c>
      <c r="L124" s="38">
        <f t="shared" si="24"/>
        <v>0</v>
      </c>
      <c r="M124" s="38"/>
      <c r="N124" s="37">
        <f>K124-'[1]Februaris'!K124</f>
        <v>0</v>
      </c>
    </row>
    <row r="125" spans="1:14" s="27" customFormat="1" ht="12.75">
      <c r="A125" s="33" t="s">
        <v>783</v>
      </c>
      <c r="B125" s="34">
        <f>B126</f>
        <v>6567</v>
      </c>
      <c r="C125" s="34">
        <f>C126</f>
        <v>0</v>
      </c>
      <c r="D125" s="34">
        <f>D126</f>
        <v>0</v>
      </c>
      <c r="E125" s="24">
        <f t="shared" si="30"/>
        <v>0</v>
      </c>
      <c r="F125" s="24"/>
      <c r="G125" s="17">
        <f>D125-'[1]Februaris'!D125</f>
        <v>0</v>
      </c>
      <c r="H125" s="33" t="s">
        <v>783</v>
      </c>
      <c r="I125" s="34">
        <f>I126</f>
        <v>7</v>
      </c>
      <c r="J125" s="34">
        <f>J126</f>
        <v>0</v>
      </c>
      <c r="K125" s="34">
        <f>K126</f>
        <v>0</v>
      </c>
      <c r="L125" s="35">
        <f t="shared" si="24"/>
        <v>0</v>
      </c>
      <c r="M125" s="34"/>
      <c r="N125" s="34">
        <f>K125-'[1]Februaris'!K125</f>
        <v>0</v>
      </c>
    </row>
    <row r="126" spans="1:104" s="29" customFormat="1" ht="12.75">
      <c r="A126" s="36" t="s">
        <v>759</v>
      </c>
      <c r="B126" s="37">
        <v>6567</v>
      </c>
      <c r="C126" s="37"/>
      <c r="D126" s="37"/>
      <c r="E126" s="24"/>
      <c r="F126" s="24"/>
      <c r="G126" s="17">
        <f>D126-'[1]Februaris'!D126</f>
        <v>0</v>
      </c>
      <c r="H126" s="36" t="s">
        <v>759</v>
      </c>
      <c r="I126" s="37">
        <f>ROUND(B126/1000,0)</f>
        <v>7</v>
      </c>
      <c r="J126" s="37">
        <f>ROUND(C126/1000,0)</f>
        <v>0</v>
      </c>
      <c r="K126" s="37">
        <f>ROUND(D126/1000,0)</f>
        <v>0</v>
      </c>
      <c r="L126" s="38">
        <f t="shared" si="24"/>
        <v>0</v>
      </c>
      <c r="M126" s="38"/>
      <c r="N126" s="37">
        <f>K126-'[1]Februaris'!K126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4" ht="12.75">
      <c r="A127" s="20" t="s">
        <v>784</v>
      </c>
      <c r="B127" s="50" t="s">
        <v>785</v>
      </c>
      <c r="C127" s="50" t="s">
        <v>785</v>
      </c>
      <c r="D127" s="18">
        <f>D128+D129</f>
        <v>0</v>
      </c>
      <c r="E127" s="50" t="s">
        <v>785</v>
      </c>
      <c r="F127" s="50" t="s">
        <v>785</v>
      </c>
      <c r="G127" s="17">
        <f>D127-'[1]Februaris'!D127</f>
        <v>0</v>
      </c>
      <c r="H127" s="20" t="s">
        <v>784</v>
      </c>
      <c r="I127" s="50" t="s">
        <v>785</v>
      </c>
      <c r="J127" s="50" t="s">
        <v>785</v>
      </c>
      <c r="K127" s="18">
        <f>K128+K129</f>
        <v>0</v>
      </c>
      <c r="L127" s="50" t="s">
        <v>785</v>
      </c>
      <c r="M127" s="50" t="s">
        <v>785</v>
      </c>
      <c r="N127" s="18">
        <f>K127-'[1]Februaris'!K127</f>
        <v>0</v>
      </c>
    </row>
    <row r="128" spans="1:14" ht="12.75">
      <c r="A128" s="36" t="s">
        <v>759</v>
      </c>
      <c r="B128" s="51" t="s">
        <v>785</v>
      </c>
      <c r="C128" s="51" t="s">
        <v>785</v>
      </c>
      <c r="D128" s="37"/>
      <c r="E128" s="51" t="s">
        <v>785</v>
      </c>
      <c r="F128" s="51" t="s">
        <v>785</v>
      </c>
      <c r="G128" s="17">
        <f>D128-'[1]Februaris'!D128</f>
        <v>0</v>
      </c>
      <c r="H128" s="36" t="s">
        <v>759</v>
      </c>
      <c r="I128" s="51" t="s">
        <v>785</v>
      </c>
      <c r="J128" s="51" t="s">
        <v>785</v>
      </c>
      <c r="K128" s="37">
        <f>ROUND(D128/1000,0)</f>
        <v>0</v>
      </c>
      <c r="L128" s="51" t="s">
        <v>785</v>
      </c>
      <c r="M128" s="51" t="s">
        <v>785</v>
      </c>
      <c r="N128" s="37">
        <f>K128-'[1]Februaris'!K128</f>
        <v>0</v>
      </c>
    </row>
    <row r="129" spans="1:14" ht="12.75">
      <c r="A129" s="36" t="s">
        <v>760</v>
      </c>
      <c r="B129" s="51" t="s">
        <v>785</v>
      </c>
      <c r="C129" s="51" t="s">
        <v>785</v>
      </c>
      <c r="D129" s="37"/>
      <c r="E129" s="51" t="s">
        <v>785</v>
      </c>
      <c r="F129" s="51" t="s">
        <v>785</v>
      </c>
      <c r="G129" s="17">
        <f>D129-'[1]Februaris'!D129</f>
        <v>0</v>
      </c>
      <c r="H129" s="36" t="s">
        <v>760</v>
      </c>
      <c r="I129" s="51" t="s">
        <v>785</v>
      </c>
      <c r="J129" s="51" t="s">
        <v>785</v>
      </c>
      <c r="K129" s="37">
        <f>ROUND(D129/1000,0)</f>
        <v>0</v>
      </c>
      <c r="L129" s="51" t="s">
        <v>785</v>
      </c>
      <c r="M129" s="51" t="s">
        <v>785</v>
      </c>
      <c r="N129" s="37">
        <f>K129-'[1]Februaris'!K129</f>
        <v>0</v>
      </c>
    </row>
    <row r="130" ht="12.75">
      <c r="H130" s="3" t="s">
        <v>786</v>
      </c>
    </row>
    <row r="133" spans="8:14" ht="14.25">
      <c r="H133" s="746" t="s">
        <v>787</v>
      </c>
      <c r="I133" s="746"/>
      <c r="J133" s="746"/>
      <c r="K133" s="746"/>
      <c r="L133" s="746"/>
      <c r="M133" s="746"/>
      <c r="N133" s="746"/>
    </row>
    <row r="137" spans="8:14" ht="12.75">
      <c r="H137" s="4"/>
      <c r="I137" s="4"/>
      <c r="J137" s="4"/>
      <c r="K137" s="4"/>
      <c r="L137" s="4"/>
      <c r="M137" s="4"/>
      <c r="N137" s="4"/>
    </row>
    <row r="138" spans="8:14" ht="12.75">
      <c r="H138" s="4" t="s">
        <v>788</v>
      </c>
      <c r="I138" s="4"/>
      <c r="J138" s="4"/>
      <c r="K138" s="4"/>
      <c r="L138" s="4"/>
      <c r="M138" s="4"/>
      <c r="N138" s="4"/>
    </row>
    <row r="139" spans="8:14" ht="12.75">
      <c r="H139" s="4" t="s">
        <v>789</v>
      </c>
      <c r="I139" s="4"/>
      <c r="J139" s="4"/>
      <c r="K139" s="4"/>
      <c r="L139" s="4"/>
      <c r="M139" s="4"/>
      <c r="N139" s="4"/>
    </row>
    <row r="140" spans="8:14" ht="12.75">
      <c r="H140" s="4"/>
      <c r="I140" s="4"/>
      <c r="J140" s="4"/>
      <c r="K140" s="4"/>
      <c r="L140" s="4"/>
      <c r="M140" s="4"/>
      <c r="N140" s="4"/>
    </row>
    <row r="141" spans="9:14" ht="12.75">
      <c r="I141" s="4"/>
      <c r="J141" s="4"/>
      <c r="K141" s="4"/>
      <c r="L141" s="4"/>
      <c r="M141" s="4"/>
      <c r="N141" s="4"/>
    </row>
    <row r="142" spans="9:14" ht="12.75">
      <c r="I142" s="4"/>
      <c r="J142" s="4"/>
      <c r="K142" s="4"/>
      <c r="L142" s="4"/>
      <c r="M142" s="4"/>
      <c r="N142" s="4"/>
    </row>
    <row r="143" spans="8:14" ht="12.75">
      <c r="H143" s="4"/>
      <c r="I143" s="4"/>
      <c r="J143" s="4"/>
      <c r="K143" s="4"/>
      <c r="L143" s="4"/>
      <c r="M143" s="4"/>
      <c r="N143" s="4"/>
    </row>
    <row r="144" spans="8:14" ht="12.75">
      <c r="H144" s="4"/>
      <c r="I144" s="4"/>
      <c r="J144" s="4"/>
      <c r="K144" s="4"/>
      <c r="L144" s="4"/>
      <c r="M144" s="4"/>
      <c r="N144" s="4"/>
    </row>
    <row r="145" spans="9:14" ht="12.75">
      <c r="I145" s="4"/>
      <c r="J145" s="4"/>
      <c r="K145" s="4"/>
      <c r="L145" s="4"/>
      <c r="M145" s="4"/>
      <c r="N145" s="4"/>
    </row>
    <row r="146" spans="9:14" ht="12.75">
      <c r="I146" s="4"/>
      <c r="J146" s="4"/>
      <c r="K146" s="4"/>
      <c r="L146" s="4"/>
      <c r="M146" s="4"/>
      <c r="N146" s="4"/>
    </row>
    <row r="147" spans="8:14" ht="12.75">
      <c r="H147" s="4"/>
      <c r="I147" s="4"/>
      <c r="J147" s="4"/>
      <c r="K147" s="4"/>
      <c r="L147" s="4"/>
      <c r="M147" s="4"/>
      <c r="N147" s="4"/>
    </row>
    <row r="148" spans="8:14" ht="12.75">
      <c r="H148" s="4"/>
      <c r="I148" s="4"/>
      <c r="J148" s="4"/>
      <c r="K148" s="4"/>
      <c r="L148" s="4"/>
      <c r="M148" s="4"/>
      <c r="N148" s="4"/>
    </row>
    <row r="149" spans="9:14" ht="12.75">
      <c r="I149" s="4"/>
      <c r="J149" s="4"/>
      <c r="K149" s="4"/>
      <c r="L149" s="4"/>
      <c r="M149" s="4"/>
      <c r="N149" s="4"/>
    </row>
    <row r="150" spans="9:14" ht="12.75">
      <c r="I150" s="4"/>
      <c r="J150" s="4"/>
      <c r="K150" s="4"/>
      <c r="L150" s="4"/>
      <c r="M150" s="4"/>
      <c r="N150" s="4"/>
    </row>
    <row r="151" spans="8:14" ht="12.75">
      <c r="H151" s="4"/>
      <c r="I151" s="4"/>
      <c r="J151" s="4"/>
      <c r="K151" s="4"/>
      <c r="L151" s="4"/>
      <c r="M151" s="4"/>
      <c r="N151" s="4"/>
    </row>
    <row r="152" spans="8:14" ht="12.75">
      <c r="H152" s="4"/>
      <c r="I152" s="4"/>
      <c r="J152" s="4"/>
      <c r="K152" s="4"/>
      <c r="L152" s="4"/>
      <c r="M152" s="4"/>
      <c r="N152" s="4"/>
    </row>
    <row r="153" spans="8:14" ht="12.75">
      <c r="H153" s="4"/>
      <c r="I153" s="4"/>
      <c r="J153" s="4"/>
      <c r="K153" s="4"/>
      <c r="L153" s="4"/>
      <c r="M153" s="4"/>
      <c r="N153" s="4"/>
    </row>
    <row r="154" spans="8:14" ht="12.75">
      <c r="H154" s="4"/>
      <c r="I154" s="4"/>
      <c r="J154" s="4"/>
      <c r="K154" s="4"/>
      <c r="L154" s="4"/>
      <c r="M154" s="4"/>
      <c r="N154" s="4"/>
    </row>
    <row r="155" spans="8:14" ht="12.75">
      <c r="H155" s="4"/>
      <c r="I155" s="4"/>
      <c r="J155" s="4"/>
      <c r="K155" s="4"/>
      <c r="L155" s="4"/>
      <c r="M155" s="4"/>
      <c r="N155" s="4"/>
    </row>
    <row r="156" spans="8:14" ht="12.75">
      <c r="H156" s="4"/>
      <c r="I156" s="4"/>
      <c r="J156" s="4"/>
      <c r="K156" s="4"/>
      <c r="L156" s="4"/>
      <c r="M156" s="4"/>
      <c r="N156" s="4"/>
    </row>
    <row r="157" spans="8:14" ht="12.75">
      <c r="H157" s="4"/>
      <c r="I157" s="4"/>
      <c r="J157" s="4"/>
      <c r="K157" s="4"/>
      <c r="L157" s="4"/>
      <c r="M157" s="4"/>
      <c r="N157" s="4"/>
    </row>
    <row r="158" spans="8:14" ht="12.75">
      <c r="H158" s="4"/>
      <c r="I158" s="4"/>
      <c r="J158" s="4"/>
      <c r="K158" s="4"/>
      <c r="L158" s="4"/>
      <c r="M158" s="4"/>
      <c r="N158" s="4"/>
    </row>
    <row r="159" spans="8:14" ht="12.75">
      <c r="H159" s="4"/>
      <c r="I159" s="4"/>
      <c r="J159" s="4"/>
      <c r="K159" s="4"/>
      <c r="L159" s="4"/>
      <c r="M159" s="4"/>
      <c r="N159" s="4"/>
    </row>
    <row r="160" spans="8:14" ht="12.75">
      <c r="H160" s="4"/>
      <c r="I160" s="4"/>
      <c r="J160" s="4"/>
      <c r="K160" s="4"/>
      <c r="L160" s="4"/>
      <c r="M160" s="4"/>
      <c r="N160" s="4"/>
    </row>
    <row r="161" spans="8:14" ht="12.75">
      <c r="H161" s="4"/>
      <c r="I161" s="4"/>
      <c r="J161" s="4"/>
      <c r="K161" s="4"/>
      <c r="L161" s="4"/>
      <c r="M161" s="4"/>
      <c r="N161" s="4"/>
    </row>
    <row r="162" spans="8:14" ht="12.75">
      <c r="H162" s="4"/>
      <c r="I162" s="4"/>
      <c r="J162" s="4"/>
      <c r="K162" s="4"/>
      <c r="L162" s="4"/>
      <c r="M162" s="4"/>
      <c r="N162" s="4"/>
    </row>
    <row r="163" spans="8:14" ht="12.75">
      <c r="H163" s="4"/>
      <c r="I163" s="4"/>
      <c r="J163" s="4"/>
      <c r="K163" s="4"/>
      <c r="L163" s="4"/>
      <c r="M163" s="4"/>
      <c r="N163" s="4"/>
    </row>
    <row r="164" spans="8:14" ht="12.75">
      <c r="H164" s="4"/>
      <c r="I164" s="4"/>
      <c r="J164" s="4"/>
      <c r="K164" s="4"/>
      <c r="L164" s="4"/>
      <c r="M164" s="4"/>
      <c r="N164" s="4"/>
    </row>
    <row r="165" spans="8:14" ht="12.75">
      <c r="H165" s="4"/>
      <c r="I165" s="4"/>
      <c r="J165" s="4"/>
      <c r="K165" s="4"/>
      <c r="L165" s="4"/>
      <c r="M165" s="4"/>
      <c r="N165" s="4"/>
    </row>
    <row r="166" spans="8:14" ht="12.75">
      <c r="H166" s="4"/>
      <c r="I166" s="4"/>
      <c r="J166" s="4"/>
      <c r="K166" s="4"/>
      <c r="L166" s="4"/>
      <c r="M166" s="4"/>
      <c r="N166" s="4"/>
    </row>
    <row r="167" spans="8:14" ht="12.75">
      <c r="H167" s="4"/>
      <c r="I167" s="4"/>
      <c r="J167" s="4"/>
      <c r="K167" s="4"/>
      <c r="L167" s="4"/>
      <c r="M167" s="4"/>
      <c r="N167" s="4"/>
    </row>
    <row r="168" spans="8:14" ht="12.75">
      <c r="H168" s="4"/>
      <c r="I168" s="4"/>
      <c r="J168" s="4"/>
      <c r="K168" s="4"/>
      <c r="L168" s="4"/>
      <c r="M168" s="4"/>
      <c r="N168" s="4"/>
    </row>
    <row r="169" spans="8:14" ht="12.75">
      <c r="H169" s="4"/>
      <c r="I169" s="4"/>
      <c r="J169" s="4"/>
      <c r="K169" s="4"/>
      <c r="L169" s="4"/>
      <c r="M169" s="4"/>
      <c r="N169" s="4"/>
    </row>
    <row r="170" spans="8:14" ht="12.75">
      <c r="H170" s="4"/>
      <c r="I170" s="4"/>
      <c r="J170" s="4"/>
      <c r="K170" s="4"/>
      <c r="L170" s="4"/>
      <c r="M170" s="4"/>
      <c r="N170" s="4"/>
    </row>
    <row r="171" spans="8:14" ht="12.75">
      <c r="H171" s="4"/>
      <c r="I171" s="4"/>
      <c r="J171" s="4"/>
      <c r="K171" s="4"/>
      <c r="L171" s="4"/>
      <c r="M171" s="4"/>
      <c r="N171" s="4"/>
    </row>
    <row r="172" spans="8:14" ht="12.75">
      <c r="H172" s="4"/>
      <c r="I172" s="4"/>
      <c r="J172" s="4"/>
      <c r="K172" s="4"/>
      <c r="L172" s="4"/>
      <c r="M172" s="4"/>
      <c r="N172" s="4"/>
    </row>
    <row r="173" spans="8:14" ht="12.75">
      <c r="H173" s="4"/>
      <c r="I173" s="4"/>
      <c r="J173" s="4"/>
      <c r="K173" s="4"/>
      <c r="L173" s="4"/>
      <c r="M173" s="4"/>
      <c r="N173" s="4"/>
    </row>
    <row r="174" spans="8:14" ht="12.75">
      <c r="H174" s="4"/>
      <c r="I174" s="4"/>
      <c r="J174" s="4"/>
      <c r="K174" s="4"/>
      <c r="L174" s="4"/>
      <c r="M174" s="4"/>
      <c r="N174" s="4"/>
    </row>
    <row r="175" spans="8:14" ht="12.75">
      <c r="H175" s="4"/>
      <c r="I175" s="4"/>
      <c r="J175" s="4"/>
      <c r="K175" s="4"/>
      <c r="L175" s="4"/>
      <c r="M175" s="4"/>
      <c r="N175" s="4"/>
    </row>
    <row r="176" spans="8:14" ht="12.75">
      <c r="H176" s="4"/>
      <c r="I176" s="4"/>
      <c r="J176" s="4"/>
      <c r="K176" s="4"/>
      <c r="L176" s="4"/>
      <c r="M176" s="4"/>
      <c r="N176" s="4"/>
    </row>
    <row r="177" spans="8:14" ht="12.75">
      <c r="H177" s="4"/>
      <c r="I177" s="4"/>
      <c r="J177" s="4"/>
      <c r="K177" s="4"/>
      <c r="L177" s="4"/>
      <c r="M177" s="4"/>
      <c r="N177" s="4"/>
    </row>
    <row r="178" spans="8:14" ht="12.75">
      <c r="H178" s="4"/>
      <c r="I178" s="4"/>
      <c r="J178" s="4"/>
      <c r="K178" s="4"/>
      <c r="L178" s="4"/>
      <c r="M178" s="4"/>
      <c r="N178" s="4"/>
    </row>
    <row r="179" spans="8:14" ht="12.75">
      <c r="H179" s="4"/>
      <c r="I179" s="4"/>
      <c r="J179" s="4"/>
      <c r="K179" s="4"/>
      <c r="L179" s="4"/>
      <c r="M179" s="4"/>
      <c r="N179" s="4"/>
    </row>
    <row r="180" spans="8:14" ht="12.75">
      <c r="H180" s="4"/>
      <c r="I180" s="4"/>
      <c r="J180" s="4"/>
      <c r="K180" s="4"/>
      <c r="L180" s="4"/>
      <c r="M180" s="4"/>
      <c r="N180" s="4"/>
    </row>
    <row r="181" spans="8:14" ht="12.75">
      <c r="H181" s="4"/>
      <c r="I181" s="4"/>
      <c r="J181" s="4"/>
      <c r="K181" s="4"/>
      <c r="L181" s="4"/>
      <c r="M181" s="4"/>
      <c r="N181" s="4"/>
    </row>
    <row r="182" spans="8:14" ht="12.75">
      <c r="H182" s="4"/>
      <c r="I182" s="4"/>
      <c r="J182" s="4"/>
      <c r="K182" s="4"/>
      <c r="L182" s="4"/>
      <c r="M182" s="4"/>
      <c r="N182" s="4"/>
    </row>
    <row r="183" spans="8:14" ht="12.75">
      <c r="H183" s="4"/>
      <c r="I183" s="4"/>
      <c r="J183" s="4"/>
      <c r="K183" s="4"/>
      <c r="L183" s="4"/>
      <c r="M183" s="4"/>
      <c r="N183" s="4"/>
    </row>
    <row r="184" spans="8:14" ht="12.75">
      <c r="H184" s="4"/>
      <c r="I184" s="4"/>
      <c r="J184" s="4"/>
      <c r="K184" s="4"/>
      <c r="L184" s="4"/>
      <c r="M184" s="4"/>
      <c r="N184" s="4"/>
    </row>
    <row r="185" spans="8:14" ht="12.75">
      <c r="H185" s="4"/>
      <c r="I185" s="4"/>
      <c r="J185" s="4"/>
      <c r="K185" s="4"/>
      <c r="L185" s="4"/>
      <c r="M185" s="4"/>
      <c r="N185" s="4"/>
    </row>
    <row r="186" spans="8:14" ht="12.75">
      <c r="H186" s="4"/>
      <c r="I186" s="4"/>
      <c r="J186" s="4"/>
      <c r="K186" s="4"/>
      <c r="L186" s="4"/>
      <c r="M186" s="4"/>
      <c r="N186" s="4"/>
    </row>
    <row r="187" spans="8:14" ht="12.75">
      <c r="H187" s="4"/>
      <c r="I187" s="4"/>
      <c r="J187" s="4"/>
      <c r="K187" s="4"/>
      <c r="L187" s="4"/>
      <c r="M187" s="4"/>
      <c r="N187" s="4"/>
    </row>
    <row r="188" spans="8:14" ht="12.75">
      <c r="H188" s="4"/>
      <c r="I188" s="4"/>
      <c r="J188" s="4"/>
      <c r="K188" s="4"/>
      <c r="L188" s="4"/>
      <c r="M188" s="4"/>
      <c r="N188" s="4"/>
    </row>
    <row r="189" spans="8:14" ht="12.75">
      <c r="H189" s="4"/>
      <c r="I189" s="4"/>
      <c r="J189" s="4"/>
      <c r="K189" s="4"/>
      <c r="L189" s="4"/>
      <c r="M189" s="4"/>
      <c r="N189" s="4"/>
    </row>
    <row r="190" spans="8:14" ht="12.75">
      <c r="H190" s="4"/>
      <c r="I190" s="4"/>
      <c r="J190" s="4"/>
      <c r="K190" s="4"/>
      <c r="L190" s="4"/>
      <c r="M190" s="4"/>
      <c r="N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2.75">
      <c r="H196" s="4"/>
      <c r="I196" s="4"/>
      <c r="J196" s="4"/>
      <c r="K196" s="4"/>
      <c r="L196" s="4"/>
      <c r="M196" s="4"/>
      <c r="N196" s="4"/>
    </row>
    <row r="197" spans="8:14" ht="12.75">
      <c r="H197" s="4"/>
      <c r="I197" s="4"/>
      <c r="J197" s="4"/>
      <c r="K197" s="4"/>
      <c r="L197" s="4"/>
      <c r="M197" s="4"/>
      <c r="N197" s="4"/>
    </row>
    <row r="198" spans="8:14" ht="12.75">
      <c r="H198" s="4"/>
      <c r="I198" s="4"/>
      <c r="J198" s="4"/>
      <c r="K198" s="4"/>
      <c r="L198" s="4"/>
      <c r="M198" s="4"/>
      <c r="N198" s="4"/>
    </row>
    <row r="199" spans="8:14" ht="12.75">
      <c r="H199" s="4"/>
      <c r="I199" s="4"/>
      <c r="J199" s="4"/>
      <c r="K199" s="4"/>
      <c r="L199" s="4"/>
      <c r="M199" s="4"/>
      <c r="N199" s="4"/>
    </row>
    <row r="200" spans="8:14" ht="12.75">
      <c r="H200" s="4"/>
      <c r="I200" s="4"/>
      <c r="J200" s="4"/>
      <c r="K200" s="4"/>
      <c r="L200" s="4"/>
      <c r="M200" s="4"/>
      <c r="N200" s="4"/>
    </row>
    <row r="201" spans="8:14" ht="12.75">
      <c r="H201" s="4"/>
      <c r="I201" s="4"/>
      <c r="J201" s="4"/>
      <c r="K201" s="4"/>
      <c r="L201" s="4"/>
      <c r="M201" s="4"/>
      <c r="N201" s="4"/>
    </row>
    <row r="202" spans="8:14" ht="12.75">
      <c r="H202" s="4"/>
      <c r="I202" s="4"/>
      <c r="J202" s="4"/>
      <c r="K202" s="4"/>
      <c r="L202" s="4"/>
      <c r="M202" s="4"/>
      <c r="N202" s="4"/>
    </row>
    <row r="203" spans="8:14" ht="12.75">
      <c r="H203" s="4"/>
      <c r="I203" s="4"/>
      <c r="J203" s="4"/>
      <c r="K203" s="4"/>
      <c r="L203" s="4"/>
      <c r="M203" s="4"/>
      <c r="N203" s="4"/>
    </row>
    <row r="204" spans="8:14" ht="12.75">
      <c r="H204" s="4"/>
      <c r="I204" s="4"/>
      <c r="J204" s="4"/>
      <c r="K204" s="4"/>
      <c r="L204" s="4"/>
      <c r="M204" s="4"/>
      <c r="N204" s="4"/>
    </row>
    <row r="205" spans="8:14" ht="12.75">
      <c r="H205" s="4"/>
      <c r="I205" s="4"/>
      <c r="J205" s="4"/>
      <c r="K205" s="4"/>
      <c r="L205" s="4"/>
      <c r="M205" s="4"/>
      <c r="N205" s="4"/>
    </row>
    <row r="206" spans="8:14" ht="12.75">
      <c r="H206" s="4"/>
      <c r="I206" s="4"/>
      <c r="J206" s="4"/>
      <c r="K206" s="4"/>
      <c r="L206" s="4"/>
      <c r="M206" s="4"/>
      <c r="N206" s="4"/>
    </row>
    <row r="207" spans="8:14" ht="12.75">
      <c r="H207" s="4"/>
      <c r="I207" s="4"/>
      <c r="J207" s="4"/>
      <c r="K207" s="4"/>
      <c r="L207" s="4"/>
      <c r="M207" s="4"/>
      <c r="N207" s="4"/>
    </row>
    <row r="208" spans="8:14" ht="12.75">
      <c r="H208" s="4"/>
      <c r="I208" s="4"/>
      <c r="J208" s="4"/>
      <c r="K208" s="4"/>
      <c r="L208" s="4"/>
      <c r="M208" s="4"/>
      <c r="N208" s="4"/>
    </row>
    <row r="209" spans="8:14" ht="12.75">
      <c r="H209" s="4"/>
      <c r="I209" s="4"/>
      <c r="J209" s="4"/>
      <c r="K209" s="4"/>
      <c r="L209" s="4"/>
      <c r="M209" s="4"/>
      <c r="N209" s="4"/>
    </row>
    <row r="210" spans="8:14" ht="12.75">
      <c r="H210" s="4"/>
      <c r="I210" s="4"/>
      <c r="J210" s="4"/>
      <c r="K210" s="4"/>
      <c r="L210" s="4"/>
      <c r="M210" s="4"/>
      <c r="N210" s="4"/>
    </row>
    <row r="211" spans="8:14" ht="12.75">
      <c r="H211" s="4"/>
      <c r="I211" s="4"/>
      <c r="J211" s="4"/>
      <c r="K211" s="4"/>
      <c r="L211" s="4"/>
      <c r="M211" s="4"/>
      <c r="N211" s="4"/>
    </row>
    <row r="212" spans="8:14" ht="12.75"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H267" s="4"/>
      <c r="I267" s="4"/>
      <c r="J267" s="4"/>
      <c r="K267" s="4"/>
      <c r="L267" s="4"/>
      <c r="M267" s="4"/>
      <c r="N267" s="4"/>
    </row>
  </sheetData>
  <mergeCells count="1">
    <mergeCell ref="H133:N133"/>
  </mergeCells>
  <printOptions/>
  <pageMargins left="0.75" right="0.19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131"/>
  <sheetViews>
    <sheetView workbookViewId="0" topLeftCell="A1">
      <selection activeCell="A6" sqref="A6"/>
    </sheetView>
  </sheetViews>
  <sheetFormatPr defaultColWidth="9.140625" defaultRowHeight="17.25" customHeight="1"/>
  <cols>
    <col min="1" max="1" width="46.7109375" style="494" customWidth="1"/>
    <col min="2" max="2" width="8.8515625" style="494" customWidth="1"/>
    <col min="3" max="3" width="10.140625" style="494" customWidth="1"/>
    <col min="4" max="4" width="10.7109375" style="494" customWidth="1"/>
    <col min="5" max="5" width="10.421875" style="494" customWidth="1"/>
    <col min="6" max="16384" width="9.140625" style="494" customWidth="1"/>
  </cols>
  <sheetData>
    <row r="1" spans="2:5" ht="17.25" customHeight="1">
      <c r="B1" s="1"/>
      <c r="C1" s="1"/>
      <c r="D1" s="1"/>
      <c r="E1" s="646" t="s">
        <v>570</v>
      </c>
    </row>
    <row r="2" spans="1:5" ht="17.25" customHeight="1">
      <c r="A2" s="760" t="s">
        <v>34</v>
      </c>
      <c r="B2" s="760"/>
      <c r="C2" s="760"/>
      <c r="D2" s="760"/>
      <c r="E2" s="760"/>
    </row>
    <row r="3" spans="1:5" ht="17.25" customHeight="1">
      <c r="A3" s="5"/>
      <c r="B3" s="5"/>
      <c r="C3" s="5"/>
      <c r="D3" s="5"/>
      <c r="E3" s="5"/>
    </row>
    <row r="4" spans="1:5" ht="31.5" customHeight="1">
      <c r="A4" s="647" t="s">
        <v>571</v>
      </c>
      <c r="B4" s="302"/>
      <c r="C4" s="1"/>
      <c r="D4" s="1"/>
      <c r="E4" s="1"/>
    </row>
    <row r="5" spans="1:5" ht="17.25" customHeight="1">
      <c r="A5" s="747" t="s">
        <v>793</v>
      </c>
      <c r="B5" s="747"/>
      <c r="C5" s="747"/>
      <c r="D5" s="747"/>
      <c r="E5" s="747"/>
    </row>
    <row r="6" spans="1:5" ht="17.25" customHeight="1">
      <c r="A6" s="648"/>
      <c r="B6" s="648"/>
      <c r="C6" s="649"/>
      <c r="D6" s="497"/>
      <c r="E6" s="517" t="s">
        <v>747</v>
      </c>
    </row>
    <row r="7" spans="1:5" ht="33.75">
      <c r="A7" s="11" t="s">
        <v>748</v>
      </c>
      <c r="B7" s="11" t="s">
        <v>398</v>
      </c>
      <c r="C7" s="11" t="s">
        <v>751</v>
      </c>
      <c r="D7" s="11" t="s">
        <v>162</v>
      </c>
      <c r="E7" s="11" t="s">
        <v>797</v>
      </c>
    </row>
    <row r="8" spans="1:5" s="495" customFormat="1" ht="11.25">
      <c r="A8" s="11">
        <v>1</v>
      </c>
      <c r="B8" s="11">
        <v>2</v>
      </c>
      <c r="C8" s="11">
        <v>3</v>
      </c>
      <c r="D8" s="11">
        <v>4</v>
      </c>
      <c r="E8" s="11">
        <v>5</v>
      </c>
    </row>
    <row r="9" spans="1:5" ht="17.25" customHeight="1">
      <c r="A9" s="117" t="s">
        <v>572</v>
      </c>
      <c r="B9" s="140"/>
      <c r="C9" s="140">
        <f>C17+C21</f>
        <v>107571</v>
      </c>
      <c r="D9" s="650"/>
      <c r="E9" s="140">
        <f>E17+E21</f>
        <v>38987</v>
      </c>
    </row>
    <row r="10" spans="1:5" ht="17.25" customHeight="1">
      <c r="A10" s="118" t="s">
        <v>573</v>
      </c>
      <c r="B10" s="140"/>
      <c r="C10" s="140">
        <f>SUM(C11:C14)</f>
        <v>109203</v>
      </c>
      <c r="D10" s="650"/>
      <c r="E10" s="140">
        <f>SUM(E11:E14)</f>
        <v>40567</v>
      </c>
    </row>
    <row r="11" spans="1:5" ht="12.75">
      <c r="A11" s="109" t="s">
        <v>574</v>
      </c>
      <c r="B11" s="140"/>
      <c r="C11" s="140">
        <f>'[18]Marts'!$H$11</f>
        <v>61270</v>
      </c>
      <c r="D11" s="650"/>
      <c r="E11" s="140">
        <f>C11-'[21]Februāris'!C11</f>
        <v>23744</v>
      </c>
    </row>
    <row r="12" spans="1:5" ht="12.75">
      <c r="A12" s="109" t="s">
        <v>575</v>
      </c>
      <c r="B12" s="140"/>
      <c r="C12" s="140">
        <f>'[18]Marts'!$H$22</f>
        <v>4619</v>
      </c>
      <c r="D12" s="650"/>
      <c r="E12" s="140">
        <f>C12-'[21]Februāris'!C12</f>
        <v>1620</v>
      </c>
    </row>
    <row r="13" spans="1:5" ht="12.75">
      <c r="A13" s="109" t="s">
        <v>576</v>
      </c>
      <c r="B13" s="140"/>
      <c r="C13" s="140">
        <f>'[18]Marts'!$H$29</f>
        <v>6566</v>
      </c>
      <c r="D13" s="650"/>
      <c r="E13" s="140">
        <f>C13-'[21]Februāris'!C13</f>
        <v>2577</v>
      </c>
    </row>
    <row r="14" spans="1:5" ht="12.75">
      <c r="A14" s="109" t="s">
        <v>577</v>
      </c>
      <c r="B14" s="140"/>
      <c r="C14" s="140">
        <f>'[18]Marts'!$H$30</f>
        <v>36748</v>
      </c>
      <c r="D14" s="650"/>
      <c r="E14" s="140">
        <f>C14-'[21]Februāris'!C14</f>
        <v>12626</v>
      </c>
    </row>
    <row r="15" spans="1:5" ht="25.5">
      <c r="A15" s="651" t="s">
        <v>578</v>
      </c>
      <c r="B15" s="140"/>
      <c r="C15" s="140">
        <f>'[18]Marts'!$H$31</f>
        <v>1594</v>
      </c>
      <c r="D15" s="650"/>
      <c r="E15" s="140">
        <f>C15-'[21]Februāris'!C15</f>
        <v>793</v>
      </c>
    </row>
    <row r="16" spans="1:5" ht="25.5">
      <c r="A16" s="652" t="s">
        <v>579</v>
      </c>
      <c r="B16" s="140"/>
      <c r="C16" s="140">
        <f>'[20]Marts'!$H$34</f>
        <v>6694</v>
      </c>
      <c r="D16" s="650"/>
      <c r="E16" s="140">
        <f>C16-'[21]Februāris'!C16</f>
        <v>2232</v>
      </c>
    </row>
    <row r="17" spans="1:5" ht="12.75">
      <c r="A17" s="117" t="s">
        <v>580</v>
      </c>
      <c r="B17" s="140"/>
      <c r="C17" s="140">
        <f>C10-C15-C16</f>
        <v>100915</v>
      </c>
      <c r="D17" s="650"/>
      <c r="E17" s="140">
        <f>E10-E15-E16</f>
        <v>37542</v>
      </c>
    </row>
    <row r="18" spans="1:5" ht="25.5">
      <c r="A18" s="117" t="s">
        <v>581</v>
      </c>
      <c r="B18" s="140"/>
      <c r="C18" s="140">
        <f>C19</f>
        <v>9351</v>
      </c>
      <c r="D18" s="650"/>
      <c r="E18" s="140">
        <f>C18-'[21]Februāris'!C18</f>
        <v>2639</v>
      </c>
    </row>
    <row r="19" spans="1:5" ht="25.5">
      <c r="A19" s="101" t="s">
        <v>582</v>
      </c>
      <c r="B19" s="140"/>
      <c r="C19" s="140">
        <f>'[17]Marts'!$C$9</f>
        <v>9351</v>
      </c>
      <c r="D19" s="650"/>
      <c r="E19" s="140">
        <f>C19-'[21]Februāris'!C19</f>
        <v>2641</v>
      </c>
    </row>
    <row r="20" spans="1:5" ht="25.5">
      <c r="A20" s="652" t="s">
        <v>583</v>
      </c>
      <c r="B20" s="140"/>
      <c r="C20" s="140">
        <f>'[17]Marts'!$C$10</f>
        <v>2695</v>
      </c>
      <c r="D20" s="650"/>
      <c r="E20" s="140">
        <f>C20-'[21]Februāris'!C20</f>
        <v>1196</v>
      </c>
    </row>
    <row r="21" spans="1:5" ht="17.25" customHeight="1">
      <c r="A21" s="117" t="s">
        <v>584</v>
      </c>
      <c r="B21" s="140"/>
      <c r="C21" s="140">
        <f>C18-C20</f>
        <v>6656</v>
      </c>
      <c r="D21" s="650"/>
      <c r="E21" s="140">
        <f>E18-E20+2</f>
        <v>1445</v>
      </c>
    </row>
    <row r="22" spans="1:5" ht="25.5">
      <c r="A22" s="653" t="s">
        <v>585</v>
      </c>
      <c r="B22" s="654"/>
      <c r="C22" s="654">
        <f>SUM(C23:C25)</f>
        <v>102956</v>
      </c>
      <c r="D22" s="650"/>
      <c r="E22" s="654">
        <f>SUM(E23:E25)</f>
        <v>39345</v>
      </c>
    </row>
    <row r="23" spans="1:5" ht="25.5">
      <c r="A23" s="655" t="s">
        <v>586</v>
      </c>
      <c r="B23" s="654"/>
      <c r="C23" s="654">
        <f>C39+C48</f>
        <v>90501</v>
      </c>
      <c r="D23" s="654"/>
      <c r="E23" s="654">
        <f>E39+E48</f>
        <v>34273</v>
      </c>
    </row>
    <row r="24" spans="1:5" ht="25.5">
      <c r="A24" s="655" t="s">
        <v>587</v>
      </c>
      <c r="B24" s="654"/>
      <c r="C24" s="654">
        <f>C40+C49</f>
        <v>4510</v>
      </c>
      <c r="D24" s="654"/>
      <c r="E24" s="654">
        <f>E40+E49</f>
        <v>1842</v>
      </c>
    </row>
    <row r="25" spans="1:5" ht="25.5">
      <c r="A25" s="655" t="s">
        <v>588</v>
      </c>
      <c r="B25" s="654"/>
      <c r="C25" s="654">
        <f>C41+C50</f>
        <v>7945</v>
      </c>
      <c r="D25" s="654"/>
      <c r="E25" s="654">
        <f>E41+E50</f>
        <v>3230</v>
      </c>
    </row>
    <row r="26" spans="1:5" ht="25.5">
      <c r="A26" s="653" t="s">
        <v>589</v>
      </c>
      <c r="B26" s="654"/>
      <c r="C26" s="654">
        <f>C9-C22</f>
        <v>4615</v>
      </c>
      <c r="D26" s="650"/>
      <c r="E26" s="654">
        <f>E9-E22</f>
        <v>-358</v>
      </c>
    </row>
    <row r="27" spans="1:5" ht="25.5">
      <c r="A27" s="653" t="s">
        <v>590</v>
      </c>
      <c r="B27" s="654"/>
      <c r="C27" s="654">
        <f>C43+C52</f>
        <v>-934</v>
      </c>
      <c r="D27" s="650"/>
      <c r="E27" s="654">
        <f>E43+E52</f>
        <v>-5</v>
      </c>
    </row>
    <row r="28" spans="1:5" ht="25.5">
      <c r="A28" s="653" t="s">
        <v>591</v>
      </c>
      <c r="B28" s="654"/>
      <c r="C28" s="654">
        <f>C22+C27</f>
        <v>102022</v>
      </c>
      <c r="D28" s="650"/>
      <c r="E28" s="654">
        <f>E22+E27</f>
        <v>39340</v>
      </c>
    </row>
    <row r="29" spans="1:5" ht="25.5">
      <c r="A29" s="653" t="s">
        <v>592</v>
      </c>
      <c r="B29" s="654"/>
      <c r="C29" s="654">
        <f>C9-C28</f>
        <v>5549</v>
      </c>
      <c r="D29" s="650"/>
      <c r="E29" s="654">
        <f>E9-E28</f>
        <v>-353</v>
      </c>
    </row>
    <row r="30" spans="1:47" s="659" customFormat="1" ht="12.75">
      <c r="A30" s="656" t="s">
        <v>593</v>
      </c>
      <c r="B30" s="657"/>
      <c r="C30" s="657"/>
      <c r="D30" s="650"/>
      <c r="E30" s="140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8"/>
      <c r="AS30" s="658"/>
      <c r="AT30" s="658"/>
      <c r="AU30" s="658"/>
    </row>
    <row r="31" spans="1:47" s="659" customFormat="1" ht="25.5">
      <c r="A31" s="660" t="s">
        <v>594</v>
      </c>
      <c r="B31" s="657"/>
      <c r="C31" s="657">
        <f>C20</f>
        <v>2695</v>
      </c>
      <c r="D31" s="650"/>
      <c r="E31" s="140">
        <f>C31-'[21]Februāris'!C31</f>
        <v>1196</v>
      </c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8"/>
      <c r="AU31" s="658"/>
    </row>
    <row r="32" spans="1:47" s="659" customFormat="1" ht="12.75">
      <c r="A32" s="656" t="s">
        <v>595</v>
      </c>
      <c r="B32" s="661"/>
      <c r="C32" s="657">
        <v>-607</v>
      </c>
      <c r="D32" s="650"/>
      <c r="E32" s="140">
        <f>C32-'[21]Februāris'!C32</f>
        <v>-445</v>
      </c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8"/>
      <c r="AU32" s="658"/>
    </row>
    <row r="33" spans="1:47" s="662" customFormat="1" ht="12.75">
      <c r="A33" s="656" t="s">
        <v>596</v>
      </c>
      <c r="B33" s="661"/>
      <c r="C33" s="657">
        <v>3461</v>
      </c>
      <c r="D33" s="650"/>
      <c r="E33" s="140">
        <f>C33-'[21]Februāris'!C33</f>
        <v>9435</v>
      </c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658"/>
      <c r="AL33" s="658"/>
      <c r="AM33" s="658"/>
      <c r="AN33" s="658"/>
      <c r="AO33" s="658"/>
      <c r="AP33" s="658"/>
      <c r="AQ33" s="658"/>
      <c r="AR33" s="658"/>
      <c r="AS33" s="658"/>
      <c r="AT33" s="658"/>
      <c r="AU33" s="658"/>
    </row>
    <row r="34" spans="1:5" ht="17.25" customHeight="1">
      <c r="A34" s="653" t="s">
        <v>597</v>
      </c>
      <c r="B34" s="654"/>
      <c r="C34" s="654">
        <f>SUM(C37,C40,C41)</f>
        <v>104237</v>
      </c>
      <c r="D34" s="650"/>
      <c r="E34" s="654">
        <f>SUM(E37,E40,E41)</f>
        <v>39320</v>
      </c>
    </row>
    <row r="35" spans="1:5" ht="25.5">
      <c r="A35" s="663" t="s">
        <v>598</v>
      </c>
      <c r="B35" s="654"/>
      <c r="C35" s="654">
        <f>C38</f>
        <v>8394</v>
      </c>
      <c r="D35" s="650"/>
      <c r="E35" s="140">
        <f>C35-'[21]Februāris'!C35</f>
        <v>3077</v>
      </c>
    </row>
    <row r="36" spans="1:47" s="664" customFormat="1" ht="17.25" customHeight="1">
      <c r="A36" s="653" t="s">
        <v>599</v>
      </c>
      <c r="B36" s="654"/>
      <c r="C36" s="654">
        <f>C34-C35</f>
        <v>95843</v>
      </c>
      <c r="D36" s="654"/>
      <c r="E36" s="654">
        <f>E34-E35</f>
        <v>36243</v>
      </c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</row>
    <row r="37" spans="1:5" ht="25.5">
      <c r="A37" s="653" t="s">
        <v>600</v>
      </c>
      <c r="B37" s="654"/>
      <c r="C37" s="654">
        <f>'[19]Marts'!$H$11</f>
        <v>93489</v>
      </c>
      <c r="D37" s="665"/>
      <c r="E37" s="654">
        <f>C37-'[21]Februāris'!C37</f>
        <v>35091</v>
      </c>
    </row>
    <row r="38" spans="1:5" ht="25.5">
      <c r="A38" s="652" t="s">
        <v>601</v>
      </c>
      <c r="B38" s="140"/>
      <c r="C38" s="654">
        <f>'[20]Marts'!$H$29</f>
        <v>8394</v>
      </c>
      <c r="D38" s="665"/>
      <c r="E38" s="654">
        <f>C38-'[21]Februāris'!C38</f>
        <v>3077</v>
      </c>
    </row>
    <row r="39" spans="1:5" ht="25.5">
      <c r="A39" s="101" t="s">
        <v>602</v>
      </c>
      <c r="B39" s="140"/>
      <c r="C39" s="654">
        <f>C37-C38</f>
        <v>85095</v>
      </c>
      <c r="D39" s="654"/>
      <c r="E39" s="654">
        <f>E37-E38</f>
        <v>32014</v>
      </c>
    </row>
    <row r="40" spans="1:5" ht="17.25" customHeight="1">
      <c r="A40" s="101" t="s">
        <v>603</v>
      </c>
      <c r="B40" s="140"/>
      <c r="C40" s="140">
        <f>'[19]Marts'!$H$27</f>
        <v>3276</v>
      </c>
      <c r="D40" s="650"/>
      <c r="E40" s="140">
        <f>C40-'[21]Februāris'!C40</f>
        <v>1389</v>
      </c>
    </row>
    <row r="41" spans="1:47" s="664" customFormat="1" ht="17.25" customHeight="1">
      <c r="A41" s="211" t="s">
        <v>604</v>
      </c>
      <c r="B41" s="140"/>
      <c r="C41" s="140">
        <f>'[19]Marts'!$H$28</f>
        <v>7472</v>
      </c>
      <c r="D41" s="650"/>
      <c r="E41" s="140">
        <f>C41-'[21]Februāris'!C41</f>
        <v>2840</v>
      </c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</row>
    <row r="42" spans="1:47" s="664" customFormat="1" ht="38.25">
      <c r="A42" s="117" t="s">
        <v>605</v>
      </c>
      <c r="B42" s="654"/>
      <c r="C42" s="654">
        <f>C17-C36</f>
        <v>5072</v>
      </c>
      <c r="D42" s="650"/>
      <c r="E42" s="654">
        <f>E17-E36</f>
        <v>1299</v>
      </c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</row>
    <row r="43" spans="1:47" s="664" customFormat="1" ht="12.75">
      <c r="A43" s="117" t="s">
        <v>606</v>
      </c>
      <c r="B43" s="140"/>
      <c r="C43" s="140">
        <f>C44-C45</f>
        <v>-75</v>
      </c>
      <c r="D43" s="650"/>
      <c r="E43" s="140">
        <f>E44-E45</f>
        <v>-22</v>
      </c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</row>
    <row r="44" spans="1:47" s="666" customFormat="1" ht="12.75">
      <c r="A44" s="101" t="s">
        <v>607</v>
      </c>
      <c r="B44" s="140"/>
      <c r="C44" s="140">
        <f>'[19]Marts'!$H$30</f>
        <v>49</v>
      </c>
      <c r="D44" s="650"/>
      <c r="E44" s="140">
        <f>C44-'[21]Februāris'!C44</f>
        <v>21</v>
      </c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</row>
    <row r="45" spans="1:5" ht="12.75">
      <c r="A45" s="101" t="s">
        <v>608</v>
      </c>
      <c r="B45" s="140"/>
      <c r="C45" s="140">
        <f>'[19]Marts'!$H$31</f>
        <v>124</v>
      </c>
      <c r="D45" s="650"/>
      <c r="E45" s="140">
        <f>C45-'[21]Februāris'!C45</f>
        <v>43</v>
      </c>
    </row>
    <row r="46" spans="1:47" s="666" customFormat="1" ht="25.5">
      <c r="A46" s="117" t="s">
        <v>609</v>
      </c>
      <c r="B46" s="654"/>
      <c r="C46" s="654">
        <f>C42-C43</f>
        <v>5147</v>
      </c>
      <c r="D46" s="650"/>
      <c r="E46" s="654">
        <f>E42-E43</f>
        <v>1321</v>
      </c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4"/>
      <c r="AU46" s="494"/>
    </row>
    <row r="47" spans="1:47" s="666" customFormat="1" ht="25.5">
      <c r="A47" s="117" t="s">
        <v>610</v>
      </c>
      <c r="B47" s="140"/>
      <c r="C47" s="140">
        <f>C48+C49+C50</f>
        <v>7113</v>
      </c>
      <c r="D47" s="650"/>
      <c r="E47" s="140">
        <f>E48+E49+E50</f>
        <v>3102</v>
      </c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</row>
    <row r="48" spans="1:47" s="667" customFormat="1" ht="24.75" customHeight="1">
      <c r="A48" s="101" t="s">
        <v>611</v>
      </c>
      <c r="B48" s="140"/>
      <c r="C48" s="140">
        <f>'[16]Marts'!$C$12</f>
        <v>5406</v>
      </c>
      <c r="D48" s="650"/>
      <c r="E48" s="140">
        <f>C48-'[21]Februāris'!C48</f>
        <v>2259</v>
      </c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</row>
    <row r="49" spans="1:5" ht="17.25" customHeight="1">
      <c r="A49" s="101" t="s">
        <v>612</v>
      </c>
      <c r="B49" s="140"/>
      <c r="C49" s="140">
        <f>'[16]Marts'!$C$28</f>
        <v>1234</v>
      </c>
      <c r="D49" s="650"/>
      <c r="E49" s="140">
        <f>C49-'[21]Februāris'!C49</f>
        <v>453</v>
      </c>
    </row>
    <row r="50" spans="1:47" s="664" customFormat="1" ht="12.75">
      <c r="A50" s="211" t="s">
        <v>613</v>
      </c>
      <c r="B50" s="140"/>
      <c r="C50" s="140">
        <f>'[16]Marts'!$C$29</f>
        <v>473</v>
      </c>
      <c r="D50" s="650"/>
      <c r="E50" s="140">
        <f>C50-'[21]Februāris'!C50</f>
        <v>390</v>
      </c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</row>
    <row r="51" spans="1:47" s="664" customFormat="1" ht="25.5">
      <c r="A51" s="117" t="s">
        <v>614</v>
      </c>
      <c r="B51" s="140"/>
      <c r="C51" s="140">
        <f>C21-C47</f>
        <v>-457</v>
      </c>
      <c r="D51" s="650"/>
      <c r="E51" s="140">
        <f>E21-E47</f>
        <v>-1657</v>
      </c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</row>
    <row r="52" spans="1:47" s="664" customFormat="1" ht="17.25" customHeight="1">
      <c r="A52" s="117" t="s">
        <v>615</v>
      </c>
      <c r="B52" s="140"/>
      <c r="C52" s="140">
        <f>C53-C54</f>
        <v>-859</v>
      </c>
      <c r="D52" s="650"/>
      <c r="E52" s="140">
        <f>E53-E54</f>
        <v>17</v>
      </c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</row>
    <row r="53" spans="1:47" s="667" customFormat="1" ht="12.75">
      <c r="A53" s="101" t="s">
        <v>616</v>
      </c>
      <c r="B53" s="140"/>
      <c r="C53" s="140">
        <f>'[16]Marts'!$C$31</f>
        <v>269</v>
      </c>
      <c r="D53" s="650"/>
      <c r="E53" s="140">
        <f>C53-'[21]Februāris'!C53</f>
        <v>137</v>
      </c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</row>
    <row r="54" spans="1:5" ht="12.75">
      <c r="A54" s="101" t="s">
        <v>617</v>
      </c>
      <c r="B54" s="140"/>
      <c r="C54" s="140">
        <f>'[16]Marts'!$C$32</f>
        <v>1128</v>
      </c>
      <c r="D54" s="650"/>
      <c r="E54" s="140">
        <f>C54-'[21]Februāris'!C54</f>
        <v>120</v>
      </c>
    </row>
    <row r="55" spans="1:40" s="666" customFormat="1" ht="25.5">
      <c r="A55" s="117" t="s">
        <v>618</v>
      </c>
      <c r="B55" s="140"/>
      <c r="C55" s="140">
        <f>C51-C52</f>
        <v>402</v>
      </c>
      <c r="D55" s="650"/>
      <c r="E55" s="140">
        <f>E51-E52</f>
        <v>-1674</v>
      </c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668"/>
    </row>
    <row r="56" spans="2:39" s="669" customFormat="1" ht="17.25" customHeight="1">
      <c r="B56" s="670"/>
      <c r="C56" s="670"/>
      <c r="D56" s="625"/>
      <c r="E56" s="670"/>
      <c r="F56" s="548"/>
      <c r="G56" s="548"/>
      <c r="H56" s="548"/>
      <c r="I56" s="548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</row>
    <row r="57" spans="1:40" s="672" customFormat="1" ht="17.25" customHeight="1">
      <c r="A57" s="256"/>
      <c r="B57" s="514"/>
      <c r="C57" s="514"/>
      <c r="D57" s="626"/>
      <c r="E57" s="514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671"/>
    </row>
    <row r="58" s="5" customFormat="1" ht="17.25" customHeight="1">
      <c r="E58" s="4"/>
    </row>
    <row r="59" s="5" customFormat="1" ht="17.25" customHeight="1">
      <c r="A59" s="256"/>
    </row>
    <row r="60" s="5" customFormat="1" ht="17.25" customHeight="1">
      <c r="A60" s="256"/>
    </row>
    <row r="61" spans="1:4" s="5" customFormat="1" ht="17.25" customHeight="1">
      <c r="A61" s="80" t="s">
        <v>444</v>
      </c>
      <c r="B61" s="9"/>
      <c r="C61" s="9"/>
      <c r="D61" s="9" t="s">
        <v>830</v>
      </c>
    </row>
    <row r="62" s="5" customFormat="1" ht="17.25" customHeight="1">
      <c r="A62" s="256"/>
    </row>
    <row r="63" s="5" customFormat="1" ht="17.25" customHeight="1">
      <c r="A63" s="571"/>
    </row>
    <row r="64" spans="1:3" s="5" customFormat="1" ht="17.25" customHeight="1">
      <c r="A64" s="571"/>
      <c r="B64" s="673"/>
      <c r="C64" s="516"/>
    </row>
    <row r="65" s="5" customFormat="1" ht="17.25" customHeight="1"/>
    <row r="66" s="5" customFormat="1" ht="17.25" customHeight="1">
      <c r="A66" s="266" t="s">
        <v>915</v>
      </c>
    </row>
    <row r="67" s="5" customFormat="1" ht="17.25" customHeight="1">
      <c r="A67" s="266" t="s">
        <v>832</v>
      </c>
    </row>
    <row r="68" s="5" customFormat="1" ht="17.25" customHeight="1">
      <c r="A68" s="256"/>
    </row>
    <row r="69" s="5" customFormat="1" ht="17.25" customHeight="1">
      <c r="A69" s="256"/>
    </row>
    <row r="70" s="5" customFormat="1" ht="17.25" customHeight="1">
      <c r="A70" s="256"/>
    </row>
    <row r="71" s="5" customFormat="1" ht="17.25" customHeight="1"/>
    <row r="72" s="5" customFormat="1" ht="17.25" customHeight="1"/>
    <row r="73" s="5" customFormat="1" ht="17.25" customHeight="1"/>
    <row r="74" s="5" customFormat="1" ht="17.25" customHeight="1">
      <c r="A74" s="256"/>
    </row>
    <row r="75" s="5" customFormat="1" ht="17.25" customHeight="1">
      <c r="A75" s="571"/>
    </row>
    <row r="76" s="5" customFormat="1" ht="17.25" customHeight="1">
      <c r="A76" s="494"/>
    </row>
    <row r="79" s="5" customFormat="1" ht="17.25" customHeight="1"/>
    <row r="80" s="5" customFormat="1" ht="17.25" customHeight="1">
      <c r="A80" s="256"/>
    </row>
    <row r="81" s="5" customFormat="1" ht="17.25" customHeight="1"/>
    <row r="82" s="5" customFormat="1" ht="17.25" customHeight="1"/>
    <row r="83" s="5" customFormat="1" ht="17.25" customHeight="1">
      <c r="A83" s="256"/>
    </row>
    <row r="84" s="5" customFormat="1" ht="17.25" customHeight="1">
      <c r="A84" s="256"/>
    </row>
    <row r="85" s="5" customFormat="1" ht="17.25" customHeight="1">
      <c r="A85" s="565"/>
    </row>
    <row r="86" ht="17.25" customHeight="1">
      <c r="A86" s="565"/>
    </row>
    <row r="87" ht="17.25" customHeight="1">
      <c r="A87" s="565"/>
    </row>
    <row r="88" ht="17.25" customHeight="1">
      <c r="A88" s="565"/>
    </row>
    <row r="89" ht="17.25" customHeight="1">
      <c r="A89" s="565"/>
    </row>
    <row r="90" ht="17.25" customHeight="1">
      <c r="A90" s="565"/>
    </row>
    <row r="91" ht="17.25" customHeight="1">
      <c r="A91" s="565"/>
    </row>
    <row r="97" ht="17.25" customHeight="1">
      <c r="A97" s="565"/>
    </row>
    <row r="98" ht="17.25" customHeight="1">
      <c r="A98" s="565"/>
    </row>
    <row r="99" ht="17.25" customHeight="1">
      <c r="A99" s="565"/>
    </row>
    <row r="100" ht="17.25" customHeight="1">
      <c r="A100" s="565"/>
    </row>
    <row r="103" ht="17.25" customHeight="1">
      <c r="A103" s="565"/>
    </row>
    <row r="104" ht="17.25" customHeight="1">
      <c r="A104" s="565"/>
    </row>
    <row r="107" ht="17.25" customHeight="1">
      <c r="A107" s="565"/>
    </row>
    <row r="108" ht="17.25" customHeight="1">
      <c r="A108" s="565"/>
    </row>
    <row r="109" ht="17.25" customHeight="1">
      <c r="A109" s="565"/>
    </row>
    <row r="110" ht="17.25" customHeight="1">
      <c r="A110" s="565"/>
    </row>
    <row r="111" ht="17.25" customHeight="1">
      <c r="A111" s="565"/>
    </row>
    <row r="112" ht="17.25" customHeight="1">
      <c r="A112" s="565"/>
    </row>
    <row r="113" ht="17.25" customHeight="1">
      <c r="A113" s="565"/>
    </row>
    <row r="114" ht="17.25" customHeight="1">
      <c r="A114" s="565"/>
    </row>
    <row r="115" ht="17.25" customHeight="1">
      <c r="A115" s="565"/>
    </row>
    <row r="116" ht="17.25" customHeight="1">
      <c r="A116" s="565"/>
    </row>
    <row r="117" ht="17.25" customHeight="1">
      <c r="A117" s="565"/>
    </row>
    <row r="118" ht="17.25" customHeight="1">
      <c r="A118" s="565"/>
    </row>
    <row r="119" ht="17.25" customHeight="1">
      <c r="A119" s="565"/>
    </row>
    <row r="120" ht="17.25" customHeight="1">
      <c r="A120" s="565"/>
    </row>
    <row r="121" ht="17.25" customHeight="1">
      <c r="A121" s="565"/>
    </row>
    <row r="122" ht="17.25" customHeight="1">
      <c r="A122" s="565"/>
    </row>
    <row r="123" ht="17.25" customHeight="1">
      <c r="A123" s="565"/>
    </row>
    <row r="124" ht="17.25" customHeight="1">
      <c r="A124" s="565"/>
    </row>
    <row r="125" ht="17.25" customHeight="1">
      <c r="A125" s="565"/>
    </row>
    <row r="126" ht="17.25" customHeight="1">
      <c r="A126" s="565"/>
    </row>
    <row r="127" ht="17.25" customHeight="1">
      <c r="A127" s="565"/>
    </row>
    <row r="128" ht="17.25" customHeight="1">
      <c r="A128" s="565"/>
    </row>
    <row r="129" ht="17.25" customHeight="1">
      <c r="A129" s="565"/>
    </row>
    <row r="130" ht="17.25" customHeight="1">
      <c r="A130" s="565"/>
    </row>
    <row r="131" ht="17.25" customHeight="1">
      <c r="A131" s="565"/>
    </row>
  </sheetData>
  <mergeCells count="2">
    <mergeCell ref="A2:E2"/>
    <mergeCell ref="A5:E5"/>
  </mergeCells>
  <printOptions/>
  <pageMargins left="0.75" right="0.24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F1">
      <selection activeCell="F2" sqref="F2"/>
    </sheetView>
  </sheetViews>
  <sheetFormatPr defaultColWidth="9.140625" defaultRowHeight="17.25" customHeight="1"/>
  <cols>
    <col min="1" max="1" width="39.7109375" style="527" hidden="1" customWidth="1"/>
    <col min="2" max="2" width="8.8515625" style="494" hidden="1" customWidth="1"/>
    <col min="3" max="3" width="11.28125" style="494" hidden="1" customWidth="1"/>
    <col min="4" max="4" width="12.140625" style="494" hidden="1" customWidth="1"/>
    <col min="5" max="5" width="11.57421875" style="494" hidden="1" customWidth="1"/>
    <col min="6" max="6" width="39.7109375" style="527" customWidth="1"/>
    <col min="7" max="7" width="8.8515625" style="494" customWidth="1"/>
    <col min="8" max="8" width="11.28125" style="494" customWidth="1"/>
    <col min="9" max="9" width="12.140625" style="494" customWidth="1"/>
    <col min="10" max="10" width="11.57421875" style="494" customWidth="1"/>
    <col min="11" max="16384" width="7.421875" style="494" customWidth="1"/>
  </cols>
  <sheetData>
    <row r="1" spans="2:10" ht="17.25" customHeight="1">
      <c r="B1" s="528"/>
      <c r="C1" s="1"/>
      <c r="D1" s="1"/>
      <c r="E1" s="1" t="s">
        <v>530</v>
      </c>
      <c r="G1" s="528"/>
      <c r="H1" s="1"/>
      <c r="I1" s="1"/>
      <c r="J1" s="1" t="s">
        <v>530</v>
      </c>
    </row>
    <row r="2" spans="1:10" s="1" customFormat="1" ht="17.25" customHeight="1">
      <c r="A2" s="528" t="s">
        <v>531</v>
      </c>
      <c r="B2" s="528"/>
      <c r="E2" s="80"/>
      <c r="F2" s="528" t="s">
        <v>531</v>
      </c>
      <c r="G2" s="528"/>
      <c r="J2" s="80"/>
    </row>
    <row r="4" spans="1:10" s="532" customFormat="1" ht="17.25" customHeight="1">
      <c r="A4" s="576" t="s">
        <v>532</v>
      </c>
      <c r="B4" s="631"/>
      <c r="C4" s="7"/>
      <c r="D4" s="7"/>
      <c r="E4" s="7"/>
      <c r="F4" s="576" t="s">
        <v>532</v>
      </c>
      <c r="G4" s="631"/>
      <c r="H4" s="7"/>
      <c r="I4" s="7"/>
      <c r="J4" s="7"/>
    </row>
    <row r="5" spans="1:10" s="532" customFormat="1" ht="13.5" customHeight="1">
      <c r="A5" s="576" t="s">
        <v>533</v>
      </c>
      <c r="B5" s="631"/>
      <c r="C5" s="632"/>
      <c r="D5" s="632"/>
      <c r="E5" s="632"/>
      <c r="F5" s="633" t="s">
        <v>793</v>
      </c>
      <c r="G5" s="631"/>
      <c r="H5" s="7"/>
      <c r="I5" s="7"/>
      <c r="J5" s="7"/>
    </row>
    <row r="6" spans="1:10" s="3" customFormat="1" ht="17.25" customHeight="1">
      <c r="A6" s="546"/>
      <c r="B6" s="566"/>
      <c r="C6" s="634"/>
      <c r="D6" s="634"/>
      <c r="E6" s="635" t="s">
        <v>902</v>
      </c>
      <c r="F6" s="546"/>
      <c r="G6" s="566"/>
      <c r="H6" s="634"/>
      <c r="I6" s="634"/>
      <c r="J6" s="635" t="s">
        <v>113</v>
      </c>
    </row>
    <row r="7" spans="1:10" s="3" customFormat="1" ht="33.75">
      <c r="A7" s="636" t="s">
        <v>748</v>
      </c>
      <c r="B7" s="535" t="s">
        <v>398</v>
      </c>
      <c r="C7" s="535" t="s">
        <v>751</v>
      </c>
      <c r="D7" s="535" t="s">
        <v>399</v>
      </c>
      <c r="E7" s="11" t="s">
        <v>40</v>
      </c>
      <c r="F7" s="636" t="s">
        <v>748</v>
      </c>
      <c r="G7" s="535" t="s">
        <v>398</v>
      </c>
      <c r="H7" s="535" t="s">
        <v>751</v>
      </c>
      <c r="I7" s="535" t="s">
        <v>399</v>
      </c>
      <c r="J7" s="11" t="s">
        <v>797</v>
      </c>
    </row>
    <row r="8" spans="1:10" s="3" customFormat="1" ht="12.75">
      <c r="A8" s="536" t="s">
        <v>400</v>
      </c>
      <c r="B8" s="537">
        <v>2</v>
      </c>
      <c r="C8" s="537">
        <v>3</v>
      </c>
      <c r="D8" s="537">
        <v>4</v>
      </c>
      <c r="E8" s="537" t="s">
        <v>404</v>
      </c>
      <c r="F8" s="536" t="s">
        <v>400</v>
      </c>
      <c r="G8" s="537">
        <v>2</v>
      </c>
      <c r="H8" s="537">
        <v>3</v>
      </c>
      <c r="I8" s="537">
        <v>4</v>
      </c>
      <c r="J8" s="537" t="s">
        <v>404</v>
      </c>
    </row>
    <row r="9" spans="1:10" s="5" customFormat="1" ht="17.25" customHeight="1">
      <c r="A9" s="637" t="s">
        <v>534</v>
      </c>
      <c r="B9" s="446"/>
      <c r="C9" s="441">
        <f>SUM(C10,C30)</f>
        <v>0</v>
      </c>
      <c r="D9" s="441"/>
      <c r="E9" s="441">
        <f>SUM(E10,E30)</f>
        <v>-68635906</v>
      </c>
      <c r="F9" s="637" t="s">
        <v>534</v>
      </c>
      <c r="G9" s="446"/>
      <c r="H9" s="446">
        <f>SUM(H10,H30)</f>
        <v>109203</v>
      </c>
      <c r="I9" s="448"/>
      <c r="J9" s="446">
        <f>SUM(J10,J30)</f>
        <v>40567</v>
      </c>
    </row>
    <row r="10" spans="1:10" ht="25.5">
      <c r="A10" s="538" t="s">
        <v>535</v>
      </c>
      <c r="B10" s="446"/>
      <c r="C10" s="441">
        <f>C11+C22+C29</f>
        <v>0</v>
      </c>
      <c r="D10" s="441"/>
      <c r="E10" s="441">
        <f>E11+E22+E29</f>
        <v>-44513642</v>
      </c>
      <c r="F10" s="538" t="s">
        <v>535</v>
      </c>
      <c r="G10" s="446"/>
      <c r="H10" s="446">
        <f>H11+H22+H29</f>
        <v>72455</v>
      </c>
      <c r="I10" s="448"/>
      <c r="J10" s="446">
        <f>J11+J22+J29</f>
        <v>27941</v>
      </c>
    </row>
    <row r="11" spans="1:10" s="5" customFormat="1" ht="17.25" customHeight="1">
      <c r="A11" s="638" t="s">
        <v>536</v>
      </c>
      <c r="B11" s="446"/>
      <c r="C11" s="441">
        <f>SUM(C12,C20,)</f>
        <v>0</v>
      </c>
      <c r="D11" s="441"/>
      <c r="E11" s="441">
        <f>SUM(E12,E20,)</f>
        <v>-37525267</v>
      </c>
      <c r="F11" s="638" t="s">
        <v>536</v>
      </c>
      <c r="G11" s="446"/>
      <c r="H11" s="446">
        <f>SUM(H12,H20,)</f>
        <v>61270</v>
      </c>
      <c r="I11" s="448"/>
      <c r="J11" s="446">
        <f>SUM(J12,J20,)</f>
        <v>23744</v>
      </c>
    </row>
    <row r="12" spans="1:10" s="5" customFormat="1" ht="17.25" customHeight="1">
      <c r="A12" s="638" t="s">
        <v>247</v>
      </c>
      <c r="B12" s="446"/>
      <c r="C12" s="441">
        <f>SUM(C13,C15,C18,C19)</f>
        <v>0</v>
      </c>
      <c r="D12" s="441"/>
      <c r="E12" s="441">
        <f>SUM(E13,E15,E18,E19)</f>
        <v>-37318995</v>
      </c>
      <c r="F12" s="638" t="s">
        <v>247</v>
      </c>
      <c r="G12" s="446"/>
      <c r="H12" s="446">
        <f>SUM(H13,H15,H18,H19)</f>
        <v>60958</v>
      </c>
      <c r="I12" s="448"/>
      <c r="J12" s="446">
        <f>SUM(J13,J15,J18,J19)</f>
        <v>23638</v>
      </c>
    </row>
    <row r="13" spans="1:10" s="3" customFormat="1" ht="12.75">
      <c r="A13" s="239" t="s">
        <v>537</v>
      </c>
      <c r="B13" s="446"/>
      <c r="C13" s="446"/>
      <c r="D13" s="448"/>
      <c r="E13" s="446">
        <f>C13-'[18]Februāris'!C13</f>
        <v>-31218822</v>
      </c>
      <c r="F13" s="239" t="s">
        <v>538</v>
      </c>
      <c r="G13" s="446"/>
      <c r="H13" s="446">
        <f>47364+1168</f>
        <v>48532</v>
      </c>
      <c r="I13" s="448"/>
      <c r="J13" s="446">
        <f>H13-'[18]Februāris'!H13</f>
        <v>17313</v>
      </c>
    </row>
    <row r="14" spans="1:10" s="3" customFormat="1" ht="12.75">
      <c r="A14" s="251" t="s">
        <v>539</v>
      </c>
      <c r="B14" s="446"/>
      <c r="C14" s="446"/>
      <c r="D14" s="448"/>
      <c r="E14" s="446"/>
      <c r="F14" s="251" t="s">
        <v>539</v>
      </c>
      <c r="G14" s="446"/>
      <c r="H14" s="446">
        <v>1055</v>
      </c>
      <c r="I14" s="448"/>
      <c r="J14" s="446">
        <f>H14-'[18]Februāris'!H14</f>
        <v>0</v>
      </c>
    </row>
    <row r="15" spans="1:10" s="3" customFormat="1" ht="12.75">
      <c r="A15" s="239" t="s">
        <v>540</v>
      </c>
      <c r="B15" s="446"/>
      <c r="C15" s="446">
        <f>SUM(C16:C17)</f>
        <v>0</v>
      </c>
      <c r="D15" s="448"/>
      <c r="E15" s="446">
        <f>C15-'[18]Februāris'!C15</f>
        <v>-5218757</v>
      </c>
      <c r="F15" s="239" t="s">
        <v>540</v>
      </c>
      <c r="G15" s="446"/>
      <c r="H15" s="446">
        <f>SUM(H16:H17)</f>
        <v>11261</v>
      </c>
      <c r="I15" s="448"/>
      <c r="J15" s="446">
        <f>H15-'[18]Februāris'!H15</f>
        <v>6042</v>
      </c>
    </row>
    <row r="16" spans="1:10" s="3" customFormat="1" ht="25.5">
      <c r="A16" s="639" t="s">
        <v>541</v>
      </c>
      <c r="B16" s="446"/>
      <c r="C16" s="446"/>
      <c r="D16" s="448"/>
      <c r="E16" s="446">
        <f>C16-'[18]Februāris'!C16</f>
        <v>-1825834</v>
      </c>
      <c r="F16" s="639" t="s">
        <v>541</v>
      </c>
      <c r="G16" s="446"/>
      <c r="H16" s="446">
        <v>5434</v>
      </c>
      <c r="I16" s="448"/>
      <c r="J16" s="446">
        <f>H16-'[18]Februāris'!H16</f>
        <v>3608</v>
      </c>
    </row>
    <row r="17" spans="1:10" s="3" customFormat="1" ht="26.25" customHeight="1">
      <c r="A17" s="639" t="s">
        <v>542</v>
      </c>
      <c r="B17" s="446"/>
      <c r="C17" s="446"/>
      <c r="D17" s="448"/>
      <c r="E17" s="446">
        <f>C17-'[18]Februāris'!C17</f>
        <v>-3392923</v>
      </c>
      <c r="F17" s="639" t="s">
        <v>542</v>
      </c>
      <c r="G17" s="446"/>
      <c r="H17" s="446">
        <v>5827</v>
      </c>
      <c r="I17" s="448"/>
      <c r="J17" s="446">
        <f>H17-'[18]Februāris'!H17</f>
        <v>2434</v>
      </c>
    </row>
    <row r="18" spans="1:10" s="3" customFormat="1" ht="12.75">
      <c r="A18" s="239" t="s">
        <v>543</v>
      </c>
      <c r="B18" s="446"/>
      <c r="C18" s="446"/>
      <c r="D18" s="448"/>
      <c r="E18" s="446">
        <f>C18-'[18]Februāris'!C18</f>
        <v>-672808</v>
      </c>
      <c r="F18" s="239" t="s">
        <v>543</v>
      </c>
      <c r="G18" s="446"/>
      <c r="H18" s="446">
        <v>827</v>
      </c>
      <c r="I18" s="448"/>
      <c r="J18" s="446">
        <f>H18-'[18]Februāris'!H18</f>
        <v>154</v>
      </c>
    </row>
    <row r="19" spans="1:10" s="3" customFormat="1" ht="12.75">
      <c r="A19" s="239" t="s">
        <v>544</v>
      </c>
      <c r="B19" s="446"/>
      <c r="C19" s="446"/>
      <c r="D19" s="448"/>
      <c r="E19" s="446">
        <f>C19-'[18]Februāris'!C19</f>
        <v>-208608</v>
      </c>
      <c r="F19" s="239" t="s">
        <v>544</v>
      </c>
      <c r="G19" s="446"/>
      <c r="H19" s="446">
        <v>338</v>
      </c>
      <c r="I19" s="448"/>
      <c r="J19" s="446">
        <f>H19-'[18]Februāris'!H19</f>
        <v>129</v>
      </c>
    </row>
    <row r="20" spans="1:10" s="5" customFormat="1" ht="12.75">
      <c r="A20" s="638" t="s">
        <v>249</v>
      </c>
      <c r="B20" s="446"/>
      <c r="C20" s="441">
        <f>C21</f>
        <v>0</v>
      </c>
      <c r="D20" s="458"/>
      <c r="E20" s="441">
        <f>E21</f>
        <v>-206272</v>
      </c>
      <c r="F20" s="638" t="s">
        <v>249</v>
      </c>
      <c r="G20" s="446"/>
      <c r="H20" s="446">
        <f>H21</f>
        <v>312</v>
      </c>
      <c r="I20" s="448"/>
      <c r="J20" s="446">
        <f>J21</f>
        <v>106</v>
      </c>
    </row>
    <row r="21" spans="1:10" ht="22.5" customHeight="1">
      <c r="A21" s="640" t="s">
        <v>545</v>
      </c>
      <c r="B21" s="446"/>
      <c r="C21" s="446"/>
      <c r="D21" s="448"/>
      <c r="E21" s="446">
        <f>C21-'[18]Februāris'!C21</f>
        <v>-206272</v>
      </c>
      <c r="F21" s="640" t="s">
        <v>545</v>
      </c>
      <c r="G21" s="446"/>
      <c r="H21" s="446">
        <v>312</v>
      </c>
      <c r="I21" s="448"/>
      <c r="J21" s="446">
        <f>H21-'[18]Februāris'!H21</f>
        <v>106</v>
      </c>
    </row>
    <row r="22" spans="1:10" s="5" customFormat="1" ht="12.75">
      <c r="A22" s="638" t="s">
        <v>546</v>
      </c>
      <c r="B22" s="446"/>
      <c r="C22" s="441">
        <f>SUM(C23:C28)</f>
        <v>0</v>
      </c>
      <c r="D22" s="458"/>
      <c r="E22" s="441">
        <f>SUM(E23:E28)</f>
        <v>-2999356</v>
      </c>
      <c r="F22" s="638" t="s">
        <v>546</v>
      </c>
      <c r="G22" s="446"/>
      <c r="H22" s="446">
        <f>SUM(H23:H28)</f>
        <v>4619</v>
      </c>
      <c r="I22" s="448"/>
      <c r="J22" s="446">
        <f>SUM(J23:J28)</f>
        <v>1620</v>
      </c>
    </row>
    <row r="23" spans="1:10" ht="12.75">
      <c r="A23" s="239" t="s">
        <v>547</v>
      </c>
      <c r="B23" s="446"/>
      <c r="C23" s="446"/>
      <c r="D23" s="448"/>
      <c r="E23" s="446">
        <f>C23-'[18]Februāris'!C23</f>
        <v>-85153</v>
      </c>
      <c r="F23" s="239" t="s">
        <v>547</v>
      </c>
      <c r="G23" s="446"/>
      <c r="H23" s="446">
        <v>112</v>
      </c>
      <c r="I23" s="448"/>
      <c r="J23" s="446">
        <f>H23-'[18]Februāris'!H23</f>
        <v>27</v>
      </c>
    </row>
    <row r="24" spans="1:10" ht="12.75">
      <c r="A24" s="239" t="s">
        <v>548</v>
      </c>
      <c r="B24" s="446"/>
      <c r="C24" s="446"/>
      <c r="D24" s="448"/>
      <c r="E24" s="446">
        <f>C24-'[18]Februāris'!C24</f>
        <v>-485187</v>
      </c>
      <c r="F24" s="239" t="s">
        <v>548</v>
      </c>
      <c r="G24" s="446"/>
      <c r="H24" s="446">
        <v>744</v>
      </c>
      <c r="I24" s="448"/>
      <c r="J24" s="446">
        <f>H24-'[18]Februāris'!H24</f>
        <v>259</v>
      </c>
    </row>
    <row r="25" spans="1:10" ht="12.75">
      <c r="A25" s="239" t="s">
        <v>549</v>
      </c>
      <c r="B25" s="446"/>
      <c r="C25" s="446"/>
      <c r="D25" s="448"/>
      <c r="E25" s="446">
        <f>C25-'[18]Februāris'!C25</f>
        <v>-49859</v>
      </c>
      <c r="F25" s="239" t="s">
        <v>549</v>
      </c>
      <c r="G25" s="446"/>
      <c r="H25" s="446">
        <v>55</v>
      </c>
      <c r="I25" s="448"/>
      <c r="J25" s="446">
        <f>H25-'[18]Februāris'!H25</f>
        <v>5</v>
      </c>
    </row>
    <row r="26" spans="1:10" ht="12.75">
      <c r="A26" s="239" t="s">
        <v>550</v>
      </c>
      <c r="B26" s="446"/>
      <c r="C26" s="446"/>
      <c r="D26" s="448"/>
      <c r="E26" s="446">
        <f>C26-'[18]Februāris'!C26</f>
        <v>-2161764</v>
      </c>
      <c r="F26" s="239" t="s">
        <v>550</v>
      </c>
      <c r="G26" s="446"/>
      <c r="H26" s="446">
        <v>3431</v>
      </c>
      <c r="I26" s="448"/>
      <c r="J26" s="446">
        <f>H26-'[18]Februāris'!H26</f>
        <v>1269</v>
      </c>
    </row>
    <row r="27" spans="1:10" ht="25.5">
      <c r="A27" s="540" t="s">
        <v>551</v>
      </c>
      <c r="B27" s="446"/>
      <c r="C27" s="446"/>
      <c r="D27" s="448"/>
      <c r="E27" s="446">
        <f>C27-'[18]Februāris'!C27</f>
        <v>-179835</v>
      </c>
      <c r="F27" s="540" t="s">
        <v>551</v>
      </c>
      <c r="G27" s="446"/>
      <c r="H27" s="446">
        <v>215</v>
      </c>
      <c r="I27" s="448"/>
      <c r="J27" s="446">
        <f>H27-'[18]Februāris'!H27</f>
        <v>35</v>
      </c>
    </row>
    <row r="28" spans="1:10" ht="12.75">
      <c r="A28" s="239" t="s">
        <v>552</v>
      </c>
      <c r="B28" s="446"/>
      <c r="C28" s="446"/>
      <c r="D28" s="448"/>
      <c r="E28" s="446">
        <f>C28-'[18]Februāris'!C28</f>
        <v>-37558</v>
      </c>
      <c r="F28" s="239" t="s">
        <v>552</v>
      </c>
      <c r="G28" s="446"/>
      <c r="H28" s="446">
        <v>62</v>
      </c>
      <c r="I28" s="448"/>
      <c r="J28" s="446">
        <f>H28-'[18]Februāris'!H28</f>
        <v>25</v>
      </c>
    </row>
    <row r="29" spans="1:10" ht="38.25">
      <c r="A29" s="641" t="s">
        <v>553</v>
      </c>
      <c r="B29" s="446"/>
      <c r="C29" s="441"/>
      <c r="D29" s="458"/>
      <c r="E29" s="441">
        <f>C29-'[18]Februāris'!C29</f>
        <v>-3989019</v>
      </c>
      <c r="F29" s="641" t="s">
        <v>553</v>
      </c>
      <c r="G29" s="446"/>
      <c r="H29" s="446">
        <f>6567-1</f>
        <v>6566</v>
      </c>
      <c r="I29" s="448"/>
      <c r="J29" s="446">
        <f>H29-'[18]Februāris'!H29</f>
        <v>2577</v>
      </c>
    </row>
    <row r="30" spans="1:10" ht="12.75">
      <c r="A30" s="638" t="s">
        <v>554</v>
      </c>
      <c r="B30" s="446"/>
      <c r="C30" s="441">
        <f>SUM(C31,C35,C39,C43)</f>
        <v>0</v>
      </c>
      <c r="D30" s="458"/>
      <c r="E30" s="441">
        <f>SUM(E31,E35,E39,E43)</f>
        <v>-24122264</v>
      </c>
      <c r="F30" s="638" t="s">
        <v>554</v>
      </c>
      <c r="G30" s="446"/>
      <c r="H30" s="446">
        <f>SUM(H31,H35,H39,H43)</f>
        <v>36748</v>
      </c>
      <c r="I30" s="448"/>
      <c r="J30" s="446">
        <f>SUM(J31,J35,J39,J43)</f>
        <v>12626</v>
      </c>
    </row>
    <row r="31" spans="1:10" ht="12.75">
      <c r="A31" s="637" t="s">
        <v>413</v>
      </c>
      <c r="B31" s="446"/>
      <c r="C31" s="441">
        <f>SUM(C32:C34)</f>
        <v>0</v>
      </c>
      <c r="D31" s="458"/>
      <c r="E31" s="441">
        <f>SUM(E32:E34)</f>
        <v>-800556</v>
      </c>
      <c r="F31" s="637" t="s">
        <v>413</v>
      </c>
      <c r="G31" s="446"/>
      <c r="H31" s="446">
        <f>SUM(H32:H34)</f>
        <v>1594</v>
      </c>
      <c r="I31" s="448"/>
      <c r="J31" s="446">
        <f>SUM(J32:J34)</f>
        <v>793</v>
      </c>
    </row>
    <row r="32" spans="1:10" ht="25.5">
      <c r="A32" s="540" t="s">
        <v>555</v>
      </c>
      <c r="B32" s="446"/>
      <c r="C32" s="446"/>
      <c r="D32" s="448"/>
      <c r="E32" s="446">
        <f>C32-'[18]Februāris'!C32</f>
        <v>-594228</v>
      </c>
      <c r="F32" s="540" t="s">
        <v>555</v>
      </c>
      <c r="G32" s="446"/>
      <c r="H32" s="446">
        <v>1177</v>
      </c>
      <c r="I32" s="448"/>
      <c r="J32" s="446">
        <f>H32-'[18]Februāris'!H32</f>
        <v>583</v>
      </c>
    </row>
    <row r="33" spans="1:10" ht="38.25">
      <c r="A33" s="540" t="s">
        <v>556</v>
      </c>
      <c r="B33" s="446"/>
      <c r="C33" s="446"/>
      <c r="D33" s="448"/>
      <c r="E33" s="446">
        <f>C33-'[18]Februāris'!C33</f>
        <v>-66647</v>
      </c>
      <c r="F33" s="540" t="s">
        <v>556</v>
      </c>
      <c r="G33" s="446"/>
      <c r="H33" s="446">
        <v>116</v>
      </c>
      <c r="I33" s="448"/>
      <c r="J33" s="446">
        <f>H33-'[18]Februāris'!H33</f>
        <v>49</v>
      </c>
    </row>
    <row r="34" spans="1:10" ht="12.75">
      <c r="A34" s="239" t="s">
        <v>525</v>
      </c>
      <c r="B34" s="446"/>
      <c r="C34" s="446"/>
      <c r="D34" s="448"/>
      <c r="E34" s="446">
        <f>C34-'[18]Februāris'!C34</f>
        <v>-139681</v>
      </c>
      <c r="F34" s="239" t="s">
        <v>525</v>
      </c>
      <c r="G34" s="446"/>
      <c r="H34" s="446">
        <v>301</v>
      </c>
      <c r="I34" s="448"/>
      <c r="J34" s="446">
        <f>H34-'[18]Februāris'!H34</f>
        <v>161</v>
      </c>
    </row>
    <row r="35" spans="1:10" ht="12.75">
      <c r="A35" s="637" t="s">
        <v>557</v>
      </c>
      <c r="B35" s="446"/>
      <c r="C35" s="441">
        <f>SUM(C36:C38)</f>
        <v>0</v>
      </c>
      <c r="D35" s="458"/>
      <c r="E35" s="441">
        <f>SUM(E36:E38)</f>
        <v>-17344226</v>
      </c>
      <c r="F35" s="637" t="s">
        <v>557</v>
      </c>
      <c r="G35" s="446"/>
      <c r="H35" s="446">
        <f>SUM(H36:H38)</f>
        <v>26196</v>
      </c>
      <c r="I35" s="448"/>
      <c r="J35" s="446">
        <f>SUM(J36:J38)</f>
        <v>8852</v>
      </c>
    </row>
    <row r="36" spans="1:10" ht="12.75">
      <c r="A36" s="239" t="s">
        <v>558</v>
      </c>
      <c r="B36" s="446"/>
      <c r="C36" s="446"/>
      <c r="D36" s="448"/>
      <c r="E36" s="446">
        <f>C36-'[18]Februāris'!C36</f>
        <v>-41668</v>
      </c>
      <c r="F36" s="239" t="s">
        <v>558</v>
      </c>
      <c r="G36" s="446"/>
      <c r="H36" s="446">
        <v>63</v>
      </c>
      <c r="I36" s="448"/>
      <c r="J36" s="446">
        <f>H36-'[18]Februāris'!H36</f>
        <v>21</v>
      </c>
    </row>
    <row r="37" spans="1:10" ht="12.75">
      <c r="A37" s="239" t="s">
        <v>559</v>
      </c>
      <c r="B37" s="446"/>
      <c r="C37" s="446"/>
      <c r="D37" s="448"/>
      <c r="E37" s="446">
        <f>C37-'[18]Februāris'!C37</f>
        <v>-17302558</v>
      </c>
      <c r="F37" s="239" t="s">
        <v>559</v>
      </c>
      <c r="G37" s="446"/>
      <c r="H37" s="446">
        <f>26113+20</f>
        <v>26133</v>
      </c>
      <c r="I37" s="448"/>
      <c r="J37" s="446">
        <f>H37-'[18]Februāris'!H37</f>
        <v>8831</v>
      </c>
    </row>
    <row r="38" spans="1:10" ht="38.25">
      <c r="A38" s="640" t="s">
        <v>560</v>
      </c>
      <c r="B38" s="446"/>
      <c r="C38" s="446"/>
      <c r="D38" s="448"/>
      <c r="E38" s="446">
        <f>C38-'[18]Februāris'!C38</f>
        <v>0</v>
      </c>
      <c r="F38" s="640" t="s">
        <v>560</v>
      </c>
      <c r="G38" s="446"/>
      <c r="H38" s="446"/>
      <c r="I38" s="448"/>
      <c r="J38" s="446">
        <f>H38-'[18]Februāris'!H38</f>
        <v>0</v>
      </c>
    </row>
    <row r="39" spans="1:10" ht="38.25">
      <c r="A39" s="538" t="s">
        <v>561</v>
      </c>
      <c r="B39" s="446"/>
      <c r="C39" s="441">
        <f>SUM(C40:C42)</f>
        <v>0</v>
      </c>
      <c r="D39" s="441"/>
      <c r="E39" s="441">
        <f>SUM(E40:E42)</f>
        <v>-5727022</v>
      </c>
      <c r="F39" s="538" t="s">
        <v>561</v>
      </c>
      <c r="G39" s="446"/>
      <c r="H39" s="446">
        <f>SUM(H40:H42)</f>
        <v>8591</v>
      </c>
      <c r="I39" s="448"/>
      <c r="J39" s="446">
        <f>SUM(J40:J42)</f>
        <v>2864</v>
      </c>
    </row>
    <row r="40" spans="1:10" ht="12.75" customHeight="1">
      <c r="A40" s="239" t="s">
        <v>558</v>
      </c>
      <c r="B40" s="446"/>
      <c r="C40" s="446"/>
      <c r="D40" s="448"/>
      <c r="E40" s="446">
        <f>C40-'[18]Februāris'!C40</f>
        <v>-5726020</v>
      </c>
      <c r="F40" s="239" t="s">
        <v>558</v>
      </c>
      <c r="G40" s="446"/>
      <c r="H40" s="446">
        <v>8584</v>
      </c>
      <c r="I40" s="448"/>
      <c r="J40" s="446">
        <f>H40-'[18]Februāris'!H40</f>
        <v>2858</v>
      </c>
    </row>
    <row r="41" spans="1:10" ht="12.75" customHeight="1" hidden="1">
      <c r="A41" s="239" t="s">
        <v>562</v>
      </c>
      <c r="B41" s="446"/>
      <c r="C41" s="446"/>
      <c r="D41" s="448"/>
      <c r="E41" s="446">
        <f>C41-'[18]Februāris'!C41</f>
        <v>0</v>
      </c>
      <c r="F41" s="239" t="s">
        <v>562</v>
      </c>
      <c r="G41" s="446"/>
      <c r="H41" s="446">
        <f>ROUND(C41/1000,0)</f>
        <v>0</v>
      </c>
      <c r="I41" s="448"/>
      <c r="J41" s="446">
        <f>H41-'[18]Februāris'!H41</f>
        <v>0</v>
      </c>
    </row>
    <row r="42" spans="1:10" ht="12.75" customHeight="1">
      <c r="A42" s="239" t="s">
        <v>563</v>
      </c>
      <c r="B42" s="446"/>
      <c r="C42" s="446"/>
      <c r="D42" s="448"/>
      <c r="E42" s="446">
        <f>C42-'[18]Februāris'!C42</f>
        <v>-1002</v>
      </c>
      <c r="F42" s="239" t="s">
        <v>564</v>
      </c>
      <c r="G42" s="446"/>
      <c r="H42" s="446">
        <v>7</v>
      </c>
      <c r="I42" s="448"/>
      <c r="J42" s="446">
        <f>H42-'[18]Februāris'!H42</f>
        <v>6</v>
      </c>
    </row>
    <row r="43" spans="1:10" ht="17.25" customHeight="1">
      <c r="A43" s="637" t="s">
        <v>565</v>
      </c>
      <c r="B43" s="642"/>
      <c r="C43" s="446"/>
      <c r="D43" s="448"/>
      <c r="E43" s="446">
        <f>C43-'[18]Februāris'!C43</f>
        <v>-250460</v>
      </c>
      <c r="F43" s="637" t="s">
        <v>565</v>
      </c>
      <c r="G43" s="446"/>
      <c r="H43" s="446">
        <v>367</v>
      </c>
      <c r="I43" s="448"/>
      <c r="J43" s="446">
        <f>H43-'[18]Februāris'!H43</f>
        <v>117</v>
      </c>
    </row>
    <row r="44" spans="1:10" ht="12.75">
      <c r="A44" s="643" t="s">
        <v>566</v>
      </c>
      <c r="B44" s="644"/>
      <c r="C44" s="12" t="s">
        <v>567</v>
      </c>
      <c r="D44" s="628"/>
      <c r="E44" s="446"/>
      <c r="F44" s="737" t="s">
        <v>568</v>
      </c>
      <c r="G44" s="780"/>
      <c r="H44" s="780"/>
      <c r="I44" s="628"/>
      <c r="J44" s="645"/>
    </row>
    <row r="45" spans="1:10" ht="17.25" customHeight="1">
      <c r="A45" s="643"/>
      <c r="B45" s="527"/>
      <c r="C45" s="527"/>
      <c r="D45" s="527"/>
      <c r="E45" s="645"/>
      <c r="F45" s="781" t="s">
        <v>569</v>
      </c>
      <c r="G45" s="781"/>
      <c r="H45" s="781"/>
      <c r="I45" s="527"/>
      <c r="J45" s="645"/>
    </row>
    <row r="46" spans="1:10" ht="17.25" customHeight="1">
      <c r="A46" s="80" t="s">
        <v>916</v>
      </c>
      <c r="B46" s="9"/>
      <c r="C46" s="9"/>
      <c r="D46" s="9" t="s">
        <v>917</v>
      </c>
      <c r="E46" s="4"/>
      <c r="F46" s="80" t="s">
        <v>829</v>
      </c>
      <c r="G46" s="9"/>
      <c r="H46" s="9"/>
      <c r="I46" s="9" t="s">
        <v>830</v>
      </c>
      <c r="J46" s="4"/>
    </row>
    <row r="47" s="4" customFormat="1" ht="17.25" customHeight="1">
      <c r="A47" s="5"/>
    </row>
    <row r="48" spans="1:9" s="628" customFormat="1" ht="17.25" customHeight="1">
      <c r="A48" s="615"/>
      <c r="B48" s="645"/>
      <c r="C48" s="438"/>
      <c r="D48" s="438"/>
      <c r="F48" s="615"/>
      <c r="G48" s="645"/>
      <c r="H48" s="438"/>
      <c r="I48" s="438"/>
    </row>
    <row r="49" spans="1:10" s="4" customFormat="1" ht="17.25" customHeight="1">
      <c r="A49" s="527"/>
      <c r="B49" s="527"/>
      <c r="C49" s="527"/>
      <c r="D49" s="527"/>
      <c r="E49" s="516"/>
      <c r="F49" s="527"/>
      <c r="G49" s="527"/>
      <c r="H49" s="527"/>
      <c r="I49" s="527"/>
      <c r="J49" s="516"/>
    </row>
    <row r="50" spans="2:9" ht="17.25" customHeight="1">
      <c r="B50" s="527"/>
      <c r="C50" s="527"/>
      <c r="D50" s="527"/>
      <c r="G50" s="527"/>
      <c r="H50" s="527"/>
      <c r="I50" s="527"/>
    </row>
    <row r="51" spans="1:9" s="628" customFormat="1" ht="17.25" customHeight="1">
      <c r="A51" s="615"/>
      <c r="C51" s="289"/>
      <c r="D51" s="494"/>
      <c r="F51" s="615"/>
      <c r="H51" s="289"/>
      <c r="I51" s="494"/>
    </row>
    <row r="52" spans="2:9" ht="17.25" customHeight="1">
      <c r="B52" s="628"/>
      <c r="C52" s="628"/>
      <c r="D52" s="628"/>
      <c r="G52" s="628"/>
      <c r="H52" s="628"/>
      <c r="I52" s="628"/>
    </row>
    <row r="53" spans="1:9" s="628" customFormat="1" ht="17.25" customHeight="1">
      <c r="A53" s="615"/>
      <c r="C53" s="289"/>
      <c r="D53" s="494"/>
      <c r="F53" s="615"/>
      <c r="H53" s="289"/>
      <c r="I53" s="494"/>
    </row>
    <row r="54" spans="2:9" ht="17.25" customHeight="1">
      <c r="B54" s="628"/>
      <c r="C54" s="628"/>
      <c r="D54" s="628"/>
      <c r="G54" s="628"/>
      <c r="H54" s="628"/>
      <c r="I54" s="628"/>
    </row>
    <row r="55" spans="2:8" ht="17.25" customHeight="1">
      <c r="B55" s="551"/>
      <c r="C55" s="289"/>
      <c r="G55" s="551"/>
      <c r="H55" s="289"/>
    </row>
    <row r="56" spans="2:8" ht="17.25" customHeight="1">
      <c r="B56" s="551"/>
      <c r="C56" s="3"/>
      <c r="G56" s="551"/>
      <c r="H56" s="3"/>
    </row>
    <row r="58" spans="2:8" ht="17.25" customHeight="1">
      <c r="B58" s="551"/>
      <c r="C58" s="4"/>
      <c r="G58" s="551"/>
      <c r="H58" s="4"/>
    </row>
    <row r="59" spans="2:8" ht="17.25" customHeight="1">
      <c r="B59" s="551"/>
      <c r="C59" s="4"/>
      <c r="G59" s="551"/>
      <c r="H59" s="4"/>
    </row>
  </sheetData>
  <mergeCells count="2">
    <mergeCell ref="F44:H44"/>
    <mergeCell ref="F45:H45"/>
  </mergeCells>
  <printOptions/>
  <pageMargins left="0.75" right="0.75" top="0.36" bottom="0.16" header="0.19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6" sqref="F6"/>
    </sheetView>
  </sheetViews>
  <sheetFormatPr defaultColWidth="9.140625" defaultRowHeight="17.25" customHeight="1"/>
  <cols>
    <col min="1" max="1" width="45.57421875" style="527" hidden="1" customWidth="1"/>
    <col min="2" max="2" width="10.8515625" style="552" hidden="1" customWidth="1"/>
    <col min="3" max="3" width="11.28125" style="494" hidden="1" customWidth="1"/>
    <col min="4" max="4" width="12.140625" style="494" hidden="1" customWidth="1"/>
    <col min="5" max="5" width="12.8515625" style="494" hidden="1" customWidth="1"/>
    <col min="6" max="6" width="45.57421875" style="527" customWidth="1"/>
    <col min="7" max="7" width="10.8515625" style="552" customWidth="1"/>
    <col min="8" max="8" width="11.28125" style="494" customWidth="1"/>
    <col min="9" max="9" width="12.140625" style="494" customWidth="1"/>
    <col min="10" max="10" width="12.8515625" style="494" customWidth="1"/>
    <col min="11" max="16384" width="9.140625" style="494" customWidth="1"/>
  </cols>
  <sheetData>
    <row r="1" spans="2:10" ht="17.25" customHeight="1">
      <c r="B1" s="528"/>
      <c r="C1" s="1"/>
      <c r="D1" s="1"/>
      <c r="E1" s="1" t="s">
        <v>516</v>
      </c>
      <c r="G1" s="528"/>
      <c r="H1" s="1"/>
      <c r="I1" s="1"/>
      <c r="J1" s="1" t="s">
        <v>516</v>
      </c>
    </row>
    <row r="2" spans="1:10" ht="17.25" customHeight="1">
      <c r="A2" s="783" t="s">
        <v>517</v>
      </c>
      <c r="B2" s="783"/>
      <c r="C2" s="783"/>
      <c r="D2" s="783"/>
      <c r="E2" s="783"/>
      <c r="F2" s="783" t="s">
        <v>791</v>
      </c>
      <c r="G2" s="783"/>
      <c r="H2" s="783"/>
      <c r="I2" s="783"/>
      <c r="J2" s="783"/>
    </row>
    <row r="3" spans="1:10" s="3" customFormat="1" ht="17.25" customHeight="1">
      <c r="A3" s="528"/>
      <c r="B3" s="530"/>
      <c r="C3" s="327"/>
      <c r="D3" s="327"/>
      <c r="E3" s="327"/>
      <c r="F3" s="528"/>
      <c r="G3" s="530"/>
      <c r="H3" s="327"/>
      <c r="I3" s="327"/>
      <c r="J3" s="327"/>
    </row>
    <row r="4" spans="1:10" ht="17.25" customHeight="1">
      <c r="A4" s="782" t="s">
        <v>518</v>
      </c>
      <c r="B4" s="782"/>
      <c r="C4" s="782"/>
      <c r="D4" s="782"/>
      <c r="E4" s="782"/>
      <c r="F4" s="782" t="s">
        <v>518</v>
      </c>
      <c r="G4" s="782"/>
      <c r="H4" s="782"/>
      <c r="I4" s="782"/>
      <c r="J4" s="782"/>
    </row>
    <row r="5" spans="1:10" s="532" customFormat="1" ht="17.25" customHeight="1">
      <c r="A5" s="782" t="s">
        <v>793</v>
      </c>
      <c r="B5" s="782"/>
      <c r="C5" s="782"/>
      <c r="D5" s="782"/>
      <c r="E5" s="782"/>
      <c r="F5" s="783" t="s">
        <v>793</v>
      </c>
      <c r="G5" s="783"/>
      <c r="H5" s="783"/>
      <c r="I5" s="783"/>
      <c r="J5" s="783"/>
    </row>
    <row r="6" spans="2:10" ht="17.25" customHeight="1">
      <c r="B6" s="533"/>
      <c r="C6" s="3"/>
      <c r="D6" s="327"/>
      <c r="E6" s="1" t="s">
        <v>902</v>
      </c>
      <c r="G6" s="533"/>
      <c r="H6" s="3"/>
      <c r="I6" s="327" t="s">
        <v>519</v>
      </c>
      <c r="J6" s="1"/>
    </row>
    <row r="7" spans="1:10" s="3" customFormat="1" ht="33.75">
      <c r="A7" s="534" t="s">
        <v>748</v>
      </c>
      <c r="B7" s="535" t="s">
        <v>398</v>
      </c>
      <c r="C7" s="535" t="s">
        <v>751</v>
      </c>
      <c r="D7" s="535" t="s">
        <v>399</v>
      </c>
      <c r="E7" s="11" t="s">
        <v>40</v>
      </c>
      <c r="F7" s="534" t="s">
        <v>748</v>
      </c>
      <c r="G7" s="535" t="s">
        <v>398</v>
      </c>
      <c r="H7" s="535" t="s">
        <v>751</v>
      </c>
      <c r="I7" s="535" t="s">
        <v>399</v>
      </c>
      <c r="J7" s="11" t="s">
        <v>797</v>
      </c>
    </row>
    <row r="8" spans="1:10" ht="17.25" customHeight="1">
      <c r="A8" s="536" t="s">
        <v>400</v>
      </c>
      <c r="B8" s="537" t="s">
        <v>401</v>
      </c>
      <c r="C8" s="537" t="s">
        <v>402</v>
      </c>
      <c r="D8" s="537" t="s">
        <v>403</v>
      </c>
      <c r="E8" s="537" t="s">
        <v>404</v>
      </c>
      <c r="F8" s="536" t="s">
        <v>400</v>
      </c>
      <c r="G8" s="537" t="s">
        <v>401</v>
      </c>
      <c r="H8" s="537" t="s">
        <v>402</v>
      </c>
      <c r="I8" s="537" t="s">
        <v>403</v>
      </c>
      <c r="J8" s="537" t="s">
        <v>404</v>
      </c>
    </row>
    <row r="9" spans="1:10" ht="17.25" customHeight="1">
      <c r="A9" s="538" t="s">
        <v>520</v>
      </c>
      <c r="B9" s="441">
        <f>SUM(B10,B29)</f>
        <v>0</v>
      </c>
      <c r="C9" s="441">
        <f>SUM(C10,C29)</f>
        <v>0</v>
      </c>
      <c r="D9" s="458"/>
      <c r="E9" s="441">
        <f>SUM(E10,E29)</f>
        <v>-64864726</v>
      </c>
      <c r="F9" s="538" t="s">
        <v>520</v>
      </c>
      <c r="G9" s="441"/>
      <c r="H9" s="441">
        <f>SUM(H10,H29)</f>
        <v>104162</v>
      </c>
      <c r="I9" s="458"/>
      <c r="J9" s="441">
        <f>SUM(J10,J29)</f>
        <v>39298</v>
      </c>
    </row>
    <row r="10" spans="1:10" s="5" customFormat="1" ht="17.25" customHeight="1">
      <c r="A10" s="539" t="s">
        <v>521</v>
      </c>
      <c r="B10" s="441">
        <f>SUM(B11:B27)</f>
        <v>0</v>
      </c>
      <c r="C10" s="441">
        <f>SUM(C11:C27)</f>
        <v>0</v>
      </c>
      <c r="D10" s="458"/>
      <c r="E10" s="441">
        <f>SUM(E11:E27)</f>
        <v>-59546929</v>
      </c>
      <c r="F10" s="539" t="s">
        <v>521</v>
      </c>
      <c r="G10" s="441"/>
      <c r="H10" s="441">
        <f>SUM(H11:H27)</f>
        <v>95768</v>
      </c>
      <c r="I10" s="458"/>
      <c r="J10" s="441">
        <f>SUM(J11:J27)</f>
        <v>36221</v>
      </c>
    </row>
    <row r="11" spans="1:10" s="4" customFormat="1" ht="17.25" customHeight="1">
      <c r="A11" s="540" t="s">
        <v>407</v>
      </c>
      <c r="B11" s="446"/>
      <c r="C11" s="446"/>
      <c r="D11" s="448"/>
      <c r="E11" s="446">
        <f>C11-'[20]Februāris'!C11</f>
        <v>-6694987</v>
      </c>
      <c r="F11" s="540" t="s">
        <v>407</v>
      </c>
      <c r="G11" s="446"/>
      <c r="H11" s="446">
        <v>11672</v>
      </c>
      <c r="I11" s="458"/>
      <c r="J11" s="446">
        <f>H11-'[20]Februāris'!H11</f>
        <v>4977</v>
      </c>
    </row>
    <row r="12" spans="1:10" s="4" customFormat="1" ht="17.25" customHeight="1">
      <c r="A12" s="540" t="s">
        <v>802</v>
      </c>
      <c r="B12" s="446"/>
      <c r="C12" s="446"/>
      <c r="D12" s="448"/>
      <c r="E12" s="446">
        <f>C12-'[20]Februāris'!C12</f>
        <v>-19592</v>
      </c>
      <c r="F12" s="540" t="s">
        <v>802</v>
      </c>
      <c r="G12" s="446"/>
      <c r="H12" s="446">
        <v>28</v>
      </c>
      <c r="I12" s="458"/>
      <c r="J12" s="446">
        <f>H12-'[20]Februāris'!H12</f>
        <v>8</v>
      </c>
    </row>
    <row r="13" spans="1:10" s="4" customFormat="1" ht="17.25" customHeight="1">
      <c r="A13" s="540" t="s">
        <v>804</v>
      </c>
      <c r="B13" s="446"/>
      <c r="C13" s="446"/>
      <c r="D13" s="448"/>
      <c r="E13" s="446">
        <f>C13-'[20]Februāris'!C13</f>
        <v>-969071</v>
      </c>
      <c r="F13" s="540" t="s">
        <v>804</v>
      </c>
      <c r="G13" s="446"/>
      <c r="H13" s="446">
        <v>1360</v>
      </c>
      <c r="I13" s="458"/>
      <c r="J13" s="446">
        <f>H13-'[20]Februāris'!H13</f>
        <v>391</v>
      </c>
    </row>
    <row r="14" spans="1:10" s="4" customFormat="1" ht="17.25" customHeight="1">
      <c r="A14" s="540" t="s">
        <v>806</v>
      </c>
      <c r="B14" s="446"/>
      <c r="C14" s="446"/>
      <c r="D14" s="448"/>
      <c r="E14" s="446">
        <f>C14-'[20]Februāris'!C14</f>
        <v>-30435070</v>
      </c>
      <c r="F14" s="540" t="s">
        <v>806</v>
      </c>
      <c r="G14" s="446"/>
      <c r="H14" s="446">
        <v>47947</v>
      </c>
      <c r="I14" s="458"/>
      <c r="J14" s="446">
        <f>H14-'[20]Februāris'!H14</f>
        <v>17512</v>
      </c>
    </row>
    <row r="15" spans="1:10" s="4" customFormat="1" ht="17.25" customHeight="1">
      <c r="A15" s="540" t="s">
        <v>808</v>
      </c>
      <c r="B15" s="446"/>
      <c r="C15" s="446"/>
      <c r="D15" s="448"/>
      <c r="E15" s="446">
        <f>C15-'[20]Februāris'!C15</f>
        <v>-1044870</v>
      </c>
      <c r="F15" s="540" t="s">
        <v>808</v>
      </c>
      <c r="G15" s="446"/>
      <c r="H15" s="446">
        <v>1717</v>
      </c>
      <c r="I15" s="458"/>
      <c r="J15" s="446">
        <f>H15-'[20]Februāris'!H15</f>
        <v>672</v>
      </c>
    </row>
    <row r="16" spans="1:10" s="4" customFormat="1" ht="17.25" customHeight="1">
      <c r="A16" s="540" t="s">
        <v>810</v>
      </c>
      <c r="B16" s="446"/>
      <c r="C16" s="446"/>
      <c r="D16" s="448"/>
      <c r="E16" s="446">
        <f>C16-'[20]Februāris'!C16</f>
        <v>-5962556</v>
      </c>
      <c r="F16" s="540" t="s">
        <v>810</v>
      </c>
      <c r="G16" s="446"/>
      <c r="H16" s="446">
        <v>9566</v>
      </c>
      <c r="I16" s="458"/>
      <c r="J16" s="446">
        <f>H16-'[20]Februāris'!H16</f>
        <v>3603</v>
      </c>
    </row>
    <row r="17" spans="1:10" s="4" customFormat="1" ht="17.25" customHeight="1">
      <c r="A17" s="540" t="s">
        <v>812</v>
      </c>
      <c r="B17" s="446"/>
      <c r="C17" s="446"/>
      <c r="D17" s="448"/>
      <c r="E17" s="446">
        <f>C17-'[20]Februāris'!C17</f>
        <v>-8107376</v>
      </c>
      <c r="F17" s="540" t="s">
        <v>812</v>
      </c>
      <c r="G17" s="446"/>
      <c r="H17" s="446">
        <v>12465</v>
      </c>
      <c r="I17" s="458"/>
      <c r="J17" s="446">
        <f>H17-'[20]Februāris'!H17</f>
        <v>4358</v>
      </c>
    </row>
    <row r="18" spans="1:10" s="4" customFormat="1" ht="17.25" customHeight="1">
      <c r="A18" s="540" t="s">
        <v>814</v>
      </c>
      <c r="B18" s="446"/>
      <c r="C18" s="446"/>
      <c r="D18" s="448"/>
      <c r="E18" s="446">
        <f>C18-'[20]Februāris'!C18</f>
        <v>-3566861</v>
      </c>
      <c r="F18" s="540" t="s">
        <v>814</v>
      </c>
      <c r="G18" s="446"/>
      <c r="H18" s="446">
        <v>6909</v>
      </c>
      <c r="I18" s="458"/>
      <c r="J18" s="446">
        <f>H18-'[20]Februāris'!H18</f>
        <v>3342</v>
      </c>
    </row>
    <row r="19" spans="1:10" s="4" customFormat="1" ht="17.25" customHeight="1">
      <c r="A19" s="540" t="s">
        <v>816</v>
      </c>
      <c r="B19" s="446"/>
      <c r="C19" s="446"/>
      <c r="D19" s="448"/>
      <c r="E19" s="446">
        <f>C19-'[20]Februāris'!C19</f>
        <v>-132453</v>
      </c>
      <c r="F19" s="540" t="s">
        <v>816</v>
      </c>
      <c r="G19" s="446"/>
      <c r="H19" s="446">
        <v>160</v>
      </c>
      <c r="I19" s="458"/>
      <c r="J19" s="446">
        <f>H19-'[20]Februāris'!H19</f>
        <v>27</v>
      </c>
    </row>
    <row r="20" spans="1:10" s="4" customFormat="1" ht="25.5">
      <c r="A20" s="540" t="s">
        <v>818</v>
      </c>
      <c r="B20" s="446"/>
      <c r="C20" s="446"/>
      <c r="D20" s="448"/>
      <c r="E20" s="446">
        <f>C20-'[20]Februāris'!C20</f>
        <v>-149306</v>
      </c>
      <c r="F20" s="540" t="s">
        <v>818</v>
      </c>
      <c r="G20" s="446"/>
      <c r="H20" s="446">
        <v>310</v>
      </c>
      <c r="I20" s="458"/>
      <c r="J20" s="446">
        <f>H20-'[20]Februāris'!H20</f>
        <v>161</v>
      </c>
    </row>
    <row r="21" spans="1:10" s="4" customFormat="1" ht="25.5">
      <c r="A21" s="540" t="s">
        <v>820</v>
      </c>
      <c r="B21" s="446"/>
      <c r="C21" s="446"/>
      <c r="D21" s="448"/>
      <c r="E21" s="446">
        <f>C21-'[20]Februāris'!C21</f>
        <v>-45461</v>
      </c>
      <c r="F21" s="540" t="s">
        <v>820</v>
      </c>
      <c r="G21" s="446"/>
      <c r="H21" s="446">
        <v>6</v>
      </c>
      <c r="I21" s="458"/>
      <c r="J21" s="446">
        <f>H21-'[20]Februāris'!H21</f>
        <v>-39</v>
      </c>
    </row>
    <row r="22" spans="1:10" s="4" customFormat="1" ht="17.25" customHeight="1">
      <c r="A22" s="540" t="s">
        <v>408</v>
      </c>
      <c r="B22" s="32"/>
      <c r="C22" s="446"/>
      <c r="D22" s="448"/>
      <c r="E22" s="446">
        <f>C22-'[20]Februāris'!C22</f>
        <v>-1297797</v>
      </c>
      <c r="F22" s="540" t="s">
        <v>408</v>
      </c>
      <c r="G22" s="32"/>
      <c r="H22" s="446">
        <v>2130</v>
      </c>
      <c r="I22" s="458"/>
      <c r="J22" s="446">
        <f>H22-'[20]Februāris'!H22</f>
        <v>832</v>
      </c>
    </row>
    <row r="23" spans="1:10" s="4" customFormat="1" ht="17.25" customHeight="1">
      <c r="A23" s="540" t="s">
        <v>824</v>
      </c>
      <c r="B23" s="446"/>
      <c r="C23" s="446"/>
      <c r="D23" s="448"/>
      <c r="E23" s="446">
        <f>C23-'[20]Februāris'!C23</f>
        <v>-152248</v>
      </c>
      <c r="F23" s="540" t="s">
        <v>824</v>
      </c>
      <c r="G23" s="446"/>
      <c r="H23" s="446">
        <v>284</v>
      </c>
      <c r="I23" s="458"/>
      <c r="J23" s="446">
        <f>H23-'[20]Februāris'!H23</f>
        <v>132</v>
      </c>
    </row>
    <row r="24" spans="1:10" s="4" customFormat="1" ht="17.25" customHeight="1">
      <c r="A24" s="540" t="s">
        <v>409</v>
      </c>
      <c r="B24" s="446"/>
      <c r="C24" s="446"/>
      <c r="D24" s="448"/>
      <c r="E24" s="446">
        <f>C24-'[20]Februāris'!C24</f>
        <v>-713989</v>
      </c>
      <c r="F24" s="540" t="s">
        <v>409</v>
      </c>
      <c r="G24" s="446"/>
      <c r="H24" s="446">
        <v>757</v>
      </c>
      <c r="I24" s="458"/>
      <c r="J24" s="446">
        <f>H24-'[20]Februāris'!H24</f>
        <v>43</v>
      </c>
    </row>
    <row r="25" spans="1:10" s="4" customFormat="1" ht="17.25" customHeight="1">
      <c r="A25" s="540" t="s">
        <v>410</v>
      </c>
      <c r="B25" s="446"/>
      <c r="C25" s="446"/>
      <c r="D25" s="448"/>
      <c r="E25" s="446">
        <f>C25-'[20]Februāris'!C25</f>
        <v>-46809</v>
      </c>
      <c r="F25" s="540" t="s">
        <v>410</v>
      </c>
      <c r="G25" s="446"/>
      <c r="H25" s="446">
        <v>72</v>
      </c>
      <c r="I25" s="458"/>
      <c r="J25" s="446">
        <f>H25-'[20]Februāris'!H25</f>
        <v>25</v>
      </c>
    </row>
    <row r="26" spans="1:10" s="4" customFormat="1" ht="17.25" customHeight="1">
      <c r="A26" s="540" t="s">
        <v>411</v>
      </c>
      <c r="B26" s="446"/>
      <c r="C26" s="446"/>
      <c r="D26" s="448"/>
      <c r="E26" s="446">
        <f>C26-'[20]Februāris'!C26</f>
        <v>-3012</v>
      </c>
      <c r="F26" s="540" t="s">
        <v>411</v>
      </c>
      <c r="G26" s="446"/>
      <c r="H26" s="446">
        <v>6</v>
      </c>
      <c r="I26" s="458"/>
      <c r="J26" s="446">
        <f>H26-'[20]Februāris'!H26</f>
        <v>3</v>
      </c>
    </row>
    <row r="27" spans="1:10" s="4" customFormat="1" ht="18.75" customHeight="1">
      <c r="A27" s="101" t="s">
        <v>334</v>
      </c>
      <c r="B27" s="151"/>
      <c r="C27" s="239"/>
      <c r="D27" s="239"/>
      <c r="E27" s="446">
        <f>C27-'[20]Februāris'!C27</f>
        <v>-205471</v>
      </c>
      <c r="F27" s="101" t="s">
        <v>334</v>
      </c>
      <c r="G27" s="446"/>
      <c r="H27" s="446">
        <f>360-1+20</f>
        <v>379</v>
      </c>
      <c r="I27" s="458"/>
      <c r="J27" s="446">
        <f>H27-'[20]Februāris'!H27</f>
        <v>174</v>
      </c>
    </row>
    <row r="28" spans="1:10" s="4" customFormat="1" ht="17.25" customHeight="1" hidden="1">
      <c r="A28" s="29" t="s">
        <v>45</v>
      </c>
      <c r="B28" s="147"/>
      <c r="C28" s="211"/>
      <c r="D28" s="211"/>
      <c r="E28" s="446">
        <f>C28-'[20]Februāris'!C28</f>
        <v>0</v>
      </c>
      <c r="F28" s="29" t="s">
        <v>45</v>
      </c>
      <c r="G28" s="147"/>
      <c r="H28" s="211"/>
      <c r="I28" s="458"/>
      <c r="J28" s="446">
        <f>H28-'[20]Februāris'!H28</f>
        <v>0</v>
      </c>
    </row>
    <row r="29" spans="1:10" s="4" customFormat="1" ht="12.75">
      <c r="A29" s="539" t="s">
        <v>522</v>
      </c>
      <c r="B29" s="441">
        <f>SUM(B30,B34)</f>
        <v>0</v>
      </c>
      <c r="C29" s="441">
        <f>SUM(C30,C34)</f>
        <v>0</v>
      </c>
      <c r="D29" s="458"/>
      <c r="E29" s="446">
        <f>SUM(E30,E34)</f>
        <v>-5317797</v>
      </c>
      <c r="F29" s="539" t="s">
        <v>522</v>
      </c>
      <c r="G29" s="441"/>
      <c r="H29" s="441">
        <f>SUM(H30,H34)</f>
        <v>8394</v>
      </c>
      <c r="I29" s="458"/>
      <c r="J29" s="441">
        <f>SUM(J30,J34)</f>
        <v>3077</v>
      </c>
    </row>
    <row r="30" spans="1:10" s="4" customFormat="1" ht="12.75">
      <c r="A30" s="538" t="s">
        <v>413</v>
      </c>
      <c r="B30" s="446">
        <f>SUM(B31:B33)</f>
        <v>0</v>
      </c>
      <c r="C30" s="446">
        <f>SUM(C31:C33)</f>
        <v>0</v>
      </c>
      <c r="D30" s="448"/>
      <c r="E30" s="446">
        <f>SUM(E31:E33)</f>
        <v>-855345</v>
      </c>
      <c r="F30" s="538" t="s">
        <v>413</v>
      </c>
      <c r="G30" s="441"/>
      <c r="H30" s="441">
        <f>SUM(H31:H33)</f>
        <v>1700</v>
      </c>
      <c r="I30" s="458"/>
      <c r="J30" s="441">
        <f>SUM(J31:J33)</f>
        <v>845</v>
      </c>
    </row>
    <row r="31" spans="1:10" s="4" customFormat="1" ht="25.5">
      <c r="A31" s="555" t="s">
        <v>523</v>
      </c>
      <c r="B31" s="446"/>
      <c r="C31" s="446"/>
      <c r="D31" s="448"/>
      <c r="E31" s="446">
        <f>C31-'[20]Februāris'!C31</f>
        <v>-667852</v>
      </c>
      <c r="F31" s="555" t="s">
        <v>523</v>
      </c>
      <c r="G31" s="446"/>
      <c r="H31" s="446">
        <v>1337</v>
      </c>
      <c r="I31" s="458"/>
      <c r="J31" s="446">
        <f>H31-'[20]Februāris'!H31</f>
        <v>669</v>
      </c>
    </row>
    <row r="32" spans="1:10" s="4" customFormat="1" ht="25.5">
      <c r="A32" s="555" t="s">
        <v>524</v>
      </c>
      <c r="B32" s="446"/>
      <c r="C32" s="446"/>
      <c r="D32" s="448"/>
      <c r="E32" s="446">
        <f>C32-'[20]Februāris'!C32</f>
        <v>-91623</v>
      </c>
      <c r="F32" s="555" t="s">
        <v>524</v>
      </c>
      <c r="G32" s="446"/>
      <c r="H32" s="446">
        <v>158</v>
      </c>
      <c r="I32" s="458"/>
      <c r="J32" s="446">
        <f>H32-'[20]Februāris'!H32</f>
        <v>67</v>
      </c>
    </row>
    <row r="33" spans="1:10" s="4" customFormat="1" ht="12.75">
      <c r="A33" s="555" t="s">
        <v>525</v>
      </c>
      <c r="B33" s="446"/>
      <c r="C33" s="446"/>
      <c r="D33" s="448"/>
      <c r="E33" s="446">
        <f>C33-'[20]Februāris'!C33</f>
        <v>-95870</v>
      </c>
      <c r="F33" s="555" t="s">
        <v>525</v>
      </c>
      <c r="G33" s="446"/>
      <c r="H33" s="446">
        <v>205</v>
      </c>
      <c r="I33" s="458"/>
      <c r="J33" s="446">
        <f>H33-'[20]Februāris'!H33</f>
        <v>109</v>
      </c>
    </row>
    <row r="34" spans="1:10" s="4" customFormat="1" ht="25.5">
      <c r="A34" s="538" t="s">
        <v>526</v>
      </c>
      <c r="B34" s="441">
        <f>SUM(B35:B36)</f>
        <v>0</v>
      </c>
      <c r="C34" s="441">
        <f>SUM(C35:C36)</f>
        <v>0</v>
      </c>
      <c r="D34" s="458"/>
      <c r="E34" s="441">
        <f>SUM(E35:E36)</f>
        <v>-4462452</v>
      </c>
      <c r="F34" s="538" t="s">
        <v>526</v>
      </c>
      <c r="G34" s="441"/>
      <c r="H34" s="441">
        <f>SUM(H35:H36)</f>
        <v>6694</v>
      </c>
      <c r="I34" s="458"/>
      <c r="J34" s="441">
        <f>SUM(J35:J36)</f>
        <v>2232</v>
      </c>
    </row>
    <row r="35" spans="1:10" s="4" customFormat="1" ht="12.75">
      <c r="A35" s="540" t="s">
        <v>527</v>
      </c>
      <c r="B35" s="446"/>
      <c r="C35" s="446"/>
      <c r="D35" s="448"/>
      <c r="E35" s="446">
        <f>C35-'[20]Februāris'!C35</f>
        <v>-4462452</v>
      </c>
      <c r="F35" s="540" t="s">
        <v>527</v>
      </c>
      <c r="G35" s="446"/>
      <c r="H35" s="446">
        <v>6694</v>
      </c>
      <c r="I35" s="458"/>
      <c r="J35" s="446">
        <f>H35-'[20]Februāris'!H35</f>
        <v>2232</v>
      </c>
    </row>
    <row r="36" spans="1:10" s="326" customFormat="1" ht="12.75">
      <c r="A36" s="555" t="s">
        <v>528</v>
      </c>
      <c r="B36" s="468"/>
      <c r="C36" s="629"/>
      <c r="D36" s="503"/>
      <c r="E36" s="446">
        <f>C36-'[20]Februāris'!C36</f>
        <v>0</v>
      </c>
      <c r="F36" s="555" t="s">
        <v>528</v>
      </c>
      <c r="G36" s="468"/>
      <c r="H36" s="446">
        <f>ROUND(C36/1000,0)</f>
        <v>0</v>
      </c>
      <c r="I36" s="458"/>
      <c r="J36" s="446">
        <f>H36-'[20]Februāris'!H36</f>
        <v>0</v>
      </c>
    </row>
    <row r="37" spans="1:10" s="326" customFormat="1" ht="17.25" customHeight="1">
      <c r="A37" s="541"/>
      <c r="B37" s="542"/>
      <c r="C37" s="542"/>
      <c r="D37" s="542"/>
      <c r="E37" s="542"/>
      <c r="F37" s="541"/>
      <c r="G37" s="542"/>
      <c r="H37" s="542"/>
      <c r="I37" s="542"/>
      <c r="J37" s="542"/>
    </row>
    <row r="38" spans="1:10" s="4" customFormat="1" ht="17.25" customHeight="1">
      <c r="A38" s="5"/>
      <c r="C38" s="545"/>
      <c r="E38" s="494"/>
      <c r="F38" s="5"/>
      <c r="H38" s="545"/>
      <c r="J38" s="494"/>
    </row>
    <row r="39" spans="1:10" s="4" customFormat="1" ht="17.25" customHeight="1">
      <c r="A39" s="543"/>
      <c r="B39" s="544"/>
      <c r="C39" s="545"/>
      <c r="D39" s="542"/>
      <c r="E39" s="494"/>
      <c r="F39" s="543"/>
      <c r="G39" s="544"/>
      <c r="H39" s="545"/>
      <c r="I39" s="542"/>
      <c r="J39" s="494"/>
    </row>
    <row r="40" spans="1:10" s="4" customFormat="1" ht="17.25" customHeight="1">
      <c r="A40" s="543"/>
      <c r="B40" s="544"/>
      <c r="C40" s="545"/>
      <c r="D40" s="542"/>
      <c r="E40" s="494"/>
      <c r="F40" s="543"/>
      <c r="G40" s="544"/>
      <c r="H40" s="545"/>
      <c r="I40" s="542"/>
      <c r="J40" s="494"/>
    </row>
    <row r="41" spans="1:10" s="4" customFormat="1" ht="17.25" customHeight="1">
      <c r="A41" s="527"/>
      <c r="B41" s="545"/>
      <c r="C41" s="542"/>
      <c r="E41" s="494"/>
      <c r="F41" s="527"/>
      <c r="G41" s="545"/>
      <c r="H41" s="542"/>
      <c r="J41" s="494"/>
    </row>
    <row r="42" spans="1:9" s="4" customFormat="1" ht="17.25" customHeight="1">
      <c r="A42" s="80" t="s">
        <v>916</v>
      </c>
      <c r="B42" s="9"/>
      <c r="C42" s="9"/>
      <c r="D42" s="9" t="s">
        <v>917</v>
      </c>
      <c r="F42" s="80" t="s">
        <v>529</v>
      </c>
      <c r="G42" s="9"/>
      <c r="H42" s="9"/>
      <c r="I42" s="9" t="s">
        <v>830</v>
      </c>
    </row>
    <row r="43" spans="1:10" s="4" customFormat="1" ht="17.25" customHeight="1">
      <c r="A43" s="527"/>
      <c r="B43" s="630"/>
      <c r="C43" s="86"/>
      <c r="D43" s="86"/>
      <c r="E43" s="494"/>
      <c r="F43" s="527"/>
      <c r="G43" s="630"/>
      <c r="H43" s="86"/>
      <c r="I43" s="86"/>
      <c r="J43" s="494"/>
    </row>
    <row r="44" spans="1:10" s="4" customFormat="1" ht="17.25" customHeight="1">
      <c r="A44" s="527"/>
      <c r="B44" s="545"/>
      <c r="E44" s="494"/>
      <c r="F44" s="527"/>
      <c r="G44" s="545"/>
      <c r="J44" s="494"/>
    </row>
    <row r="45" spans="1:10" s="4" customFormat="1" ht="17.25" customHeight="1">
      <c r="A45" s="527"/>
      <c r="B45" s="630"/>
      <c r="C45" s="86"/>
      <c r="D45" s="86"/>
      <c r="E45" s="494"/>
      <c r="F45" s="527"/>
      <c r="G45" s="630"/>
      <c r="H45" s="86"/>
      <c r="I45" s="86"/>
      <c r="J45" s="494"/>
    </row>
    <row r="46" spans="1:10" s="4" customFormat="1" ht="17.25" customHeight="1">
      <c r="A46" s="527"/>
      <c r="B46" s="630"/>
      <c r="C46" s="86"/>
      <c r="E46" s="494"/>
      <c r="F46" s="527"/>
      <c r="G46" s="630"/>
      <c r="H46" s="86"/>
      <c r="J46" s="494"/>
    </row>
    <row r="47" spans="2:9" ht="17.25" customHeight="1">
      <c r="B47" s="550"/>
      <c r="C47" s="551"/>
      <c r="D47" s="86"/>
      <c r="G47" s="550"/>
      <c r="H47" s="551"/>
      <c r="I47" s="86"/>
    </row>
  </sheetData>
  <mergeCells count="6">
    <mergeCell ref="A5:E5"/>
    <mergeCell ref="F5:J5"/>
    <mergeCell ref="A2:E2"/>
    <mergeCell ref="F2:J2"/>
    <mergeCell ref="A4:E4"/>
    <mergeCell ref="F4:J4"/>
  </mergeCells>
  <printOptions/>
  <pageMargins left="0.75" right="0.19" top="1" bottom="0.32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F2" sqref="F2"/>
    </sheetView>
  </sheetViews>
  <sheetFormatPr defaultColWidth="9.140625" defaultRowHeight="17.25" customHeight="1"/>
  <cols>
    <col min="1" max="1" width="40.28125" style="527" hidden="1" customWidth="1"/>
    <col min="2" max="2" width="8.8515625" style="494" hidden="1" customWidth="1"/>
    <col min="3" max="3" width="12.28125" style="494" hidden="1" customWidth="1"/>
    <col min="4" max="4" width="10.7109375" style="494" hidden="1" customWidth="1"/>
    <col min="5" max="5" width="11.57421875" style="494" hidden="1" customWidth="1"/>
    <col min="6" max="6" width="40.28125" style="527" customWidth="1"/>
    <col min="7" max="7" width="8.8515625" style="494" customWidth="1"/>
    <col min="8" max="8" width="12.28125" style="494" customWidth="1"/>
    <col min="9" max="9" width="10.7109375" style="494" customWidth="1"/>
    <col min="10" max="10" width="11.57421875" style="494" customWidth="1"/>
    <col min="11" max="16384" width="9.140625" style="494" customWidth="1"/>
  </cols>
  <sheetData>
    <row r="1" spans="1:10" s="3" customFormat="1" ht="17.25" customHeight="1">
      <c r="A1" s="5"/>
      <c r="B1" s="1"/>
      <c r="C1" s="1"/>
      <c r="D1" s="1"/>
      <c r="E1" s="125" t="s">
        <v>507</v>
      </c>
      <c r="F1" s="5"/>
      <c r="G1" s="1"/>
      <c r="H1" s="1"/>
      <c r="I1" s="1"/>
      <c r="J1" s="125" t="s">
        <v>507</v>
      </c>
    </row>
    <row r="2" spans="1:10" s="5" customFormat="1" ht="17.25" customHeight="1">
      <c r="A2" s="528" t="s">
        <v>508</v>
      </c>
      <c r="B2" s="1"/>
      <c r="C2" s="1"/>
      <c r="D2" s="1"/>
      <c r="E2" s="627"/>
      <c r="F2" s="528" t="s">
        <v>508</v>
      </c>
      <c r="G2" s="1"/>
      <c r="H2" s="1"/>
      <c r="I2" s="1"/>
      <c r="J2" s="627"/>
    </row>
    <row r="3" spans="1:10" s="3" customFormat="1" ht="17.25" customHeight="1">
      <c r="A3" s="527"/>
      <c r="D3" s="327"/>
      <c r="E3" s="327"/>
      <c r="F3" s="527"/>
      <c r="I3" s="327"/>
      <c r="J3" s="327"/>
    </row>
    <row r="4" spans="1:10" s="532" customFormat="1" ht="17.25" customHeight="1">
      <c r="A4" s="782" t="s">
        <v>509</v>
      </c>
      <c r="B4" s="782"/>
      <c r="C4" s="782"/>
      <c r="D4" s="782"/>
      <c r="E4" s="782"/>
      <c r="F4" s="782" t="s">
        <v>509</v>
      </c>
      <c r="G4" s="782"/>
      <c r="H4" s="782"/>
      <c r="I4" s="782"/>
      <c r="J4" s="782"/>
    </row>
    <row r="5" spans="1:10" s="532" customFormat="1" ht="17.25" customHeight="1">
      <c r="A5" s="782" t="s">
        <v>510</v>
      </c>
      <c r="B5" s="782"/>
      <c r="C5" s="782"/>
      <c r="D5" s="782"/>
      <c r="E5" s="782"/>
      <c r="F5" s="783" t="s">
        <v>511</v>
      </c>
      <c r="G5" s="783"/>
      <c r="H5" s="783"/>
      <c r="I5" s="783"/>
      <c r="J5" s="783"/>
    </row>
    <row r="6" spans="1:10" s="3" customFormat="1" ht="17.25" customHeight="1">
      <c r="A6" s="527"/>
      <c r="C6" s="327" t="s">
        <v>512</v>
      </c>
      <c r="D6" s="327"/>
      <c r="E6" s="1" t="s">
        <v>902</v>
      </c>
      <c r="F6" s="527"/>
      <c r="I6" s="327"/>
      <c r="J6" s="10" t="s">
        <v>837</v>
      </c>
    </row>
    <row r="7" spans="1:10" s="3" customFormat="1" ht="33.75">
      <c r="A7" s="534" t="s">
        <v>748</v>
      </c>
      <c r="B7" s="535" t="s">
        <v>398</v>
      </c>
      <c r="C7" s="535" t="s">
        <v>751</v>
      </c>
      <c r="D7" s="535" t="s">
        <v>399</v>
      </c>
      <c r="E7" s="11" t="s">
        <v>513</v>
      </c>
      <c r="F7" s="534" t="s">
        <v>748</v>
      </c>
      <c r="G7" s="535" t="s">
        <v>398</v>
      </c>
      <c r="H7" s="535" t="s">
        <v>751</v>
      </c>
      <c r="I7" s="535" t="s">
        <v>399</v>
      </c>
      <c r="J7" s="11" t="s">
        <v>797</v>
      </c>
    </row>
    <row r="8" spans="1:10" s="5" customFormat="1" ht="17.25" customHeight="1">
      <c r="A8" s="536" t="s">
        <v>400</v>
      </c>
      <c r="B8" s="537" t="s">
        <v>401</v>
      </c>
      <c r="C8" s="537" t="s">
        <v>402</v>
      </c>
      <c r="D8" s="537" t="s">
        <v>403</v>
      </c>
      <c r="E8" s="537" t="s">
        <v>404</v>
      </c>
      <c r="F8" s="536" t="s">
        <v>400</v>
      </c>
      <c r="G8" s="537" t="s">
        <v>401</v>
      </c>
      <c r="H8" s="537" t="s">
        <v>402</v>
      </c>
      <c r="I8" s="537" t="s">
        <v>403</v>
      </c>
      <c r="J8" s="537" t="s">
        <v>404</v>
      </c>
    </row>
    <row r="9" spans="1:10" s="5" customFormat="1" ht="17.25" customHeight="1">
      <c r="A9" s="538" t="s">
        <v>295</v>
      </c>
      <c r="B9" s="446"/>
      <c r="C9" s="441">
        <f>'[18]Marts'!$C$9</f>
        <v>0</v>
      </c>
      <c r="D9" s="448"/>
      <c r="E9" s="441">
        <f>C9-'[19]Februāris'!C9</f>
        <v>-68635906</v>
      </c>
      <c r="F9" s="538" t="s">
        <v>295</v>
      </c>
      <c r="G9" s="441"/>
      <c r="H9" s="441">
        <f>108015+20</f>
        <v>108035</v>
      </c>
      <c r="I9" s="458"/>
      <c r="J9" s="441">
        <f>H9-'[19]Februāris'!H9</f>
        <v>39399</v>
      </c>
    </row>
    <row r="10" spans="1:10" s="5" customFormat="1" ht="17.25" customHeight="1">
      <c r="A10" s="538" t="s">
        <v>479</v>
      </c>
      <c r="B10" s="446"/>
      <c r="C10" s="441">
        <f>SUM(C11,C26)</f>
        <v>0</v>
      </c>
      <c r="D10" s="458"/>
      <c r="E10" s="441">
        <f>SUM(E11,E26)</f>
        <v>-64062239</v>
      </c>
      <c r="F10" s="538" t="s">
        <v>479</v>
      </c>
      <c r="G10" s="441"/>
      <c r="H10" s="441">
        <f>SUM(H11,H26)</f>
        <v>104237</v>
      </c>
      <c r="I10" s="458"/>
      <c r="J10" s="441">
        <f>SUM(J11,J26)</f>
        <v>39320</v>
      </c>
    </row>
    <row r="11" spans="1:10" s="628" customFormat="1" ht="17.25" customHeight="1">
      <c r="A11" s="539" t="s">
        <v>299</v>
      </c>
      <c r="B11" s="446"/>
      <c r="C11" s="441">
        <f>SUM(C12,C18,C19)</f>
        <v>0</v>
      </c>
      <c r="D11" s="458"/>
      <c r="E11" s="441">
        <f>SUM(E12,E18,E19)</f>
        <v>-57542797</v>
      </c>
      <c r="F11" s="539" t="s">
        <v>299</v>
      </c>
      <c r="G11" s="441"/>
      <c r="H11" s="441">
        <f>SUM(H12,H18,H19)</f>
        <v>93489</v>
      </c>
      <c r="I11" s="458"/>
      <c r="J11" s="441">
        <f>SUM(J12,J18,J19)</f>
        <v>35091</v>
      </c>
    </row>
    <row r="12" spans="1:10" s="628" customFormat="1" ht="17.25" customHeight="1">
      <c r="A12" s="539" t="s">
        <v>845</v>
      </c>
      <c r="B12" s="446"/>
      <c r="C12" s="441">
        <f>SUM(C13,C14,C15)</f>
        <v>0</v>
      </c>
      <c r="D12" s="458"/>
      <c r="E12" s="441">
        <f>SUM(E13,E14,E15)</f>
        <v>-45490695</v>
      </c>
      <c r="F12" s="539" t="s">
        <v>845</v>
      </c>
      <c r="G12" s="441"/>
      <c r="H12" s="441">
        <f>SUM(H13,H14,H15)</f>
        <v>73139</v>
      </c>
      <c r="I12" s="458"/>
      <c r="J12" s="441">
        <f>SUM(J13,J14,J15)</f>
        <v>27648</v>
      </c>
    </row>
    <row r="13" spans="1:10" ht="12.75">
      <c r="A13" s="555" t="s">
        <v>480</v>
      </c>
      <c r="B13" s="446"/>
      <c r="C13" s="446"/>
      <c r="D13" s="448"/>
      <c r="E13" s="446">
        <f>C13-'[19]Februāris'!C13</f>
        <v>-23554221</v>
      </c>
      <c r="F13" s="555" t="s">
        <v>480</v>
      </c>
      <c r="G13" s="446"/>
      <c r="H13" s="446">
        <v>37218</v>
      </c>
      <c r="I13" s="448"/>
      <c r="J13" s="446">
        <f>H13-'[19]Februāris'!H13</f>
        <v>13664</v>
      </c>
    </row>
    <row r="14" spans="1:10" ht="25.5">
      <c r="A14" s="555" t="s">
        <v>481</v>
      </c>
      <c r="B14" s="446"/>
      <c r="C14" s="446"/>
      <c r="D14" s="448"/>
      <c r="E14" s="446">
        <f>C14-'[19]Februāris'!C14</f>
        <v>-5991894</v>
      </c>
      <c r="F14" s="555" t="s">
        <v>481</v>
      </c>
      <c r="G14" s="446"/>
      <c r="H14" s="446">
        <v>9403</v>
      </c>
      <c r="I14" s="448"/>
      <c r="J14" s="446">
        <f>H14-'[19]Februāris'!H14</f>
        <v>3411</v>
      </c>
    </row>
    <row r="15" spans="1:10" ht="17.25" customHeight="1">
      <c r="A15" s="555" t="s">
        <v>482</v>
      </c>
      <c r="B15" s="446"/>
      <c r="C15" s="446">
        <f>SUM(C16:C17)</f>
        <v>0</v>
      </c>
      <c r="D15" s="448"/>
      <c r="E15" s="446">
        <f>SUM(E16:E17)</f>
        <v>-15944580</v>
      </c>
      <c r="F15" s="555" t="s">
        <v>482</v>
      </c>
      <c r="G15" s="446"/>
      <c r="H15" s="446">
        <f>SUM(H16:H17)</f>
        <v>26518</v>
      </c>
      <c r="I15" s="448"/>
      <c r="J15" s="446">
        <f>H15-'[19]Februāris'!H15</f>
        <v>10573</v>
      </c>
    </row>
    <row r="16" spans="1:10" ht="25.5">
      <c r="A16" s="614" t="s">
        <v>483</v>
      </c>
      <c r="B16" s="446"/>
      <c r="C16" s="446"/>
      <c r="D16" s="448"/>
      <c r="E16" s="446">
        <f>C16-'[19]Februāris'!C16</f>
        <v>-15603111</v>
      </c>
      <c r="F16" s="614" t="s">
        <v>483</v>
      </c>
      <c r="G16" s="446"/>
      <c r="H16" s="446">
        <f>10508+15324</f>
        <v>25832</v>
      </c>
      <c r="I16" s="448"/>
      <c r="J16" s="446">
        <f>H16-'[19]Februāris'!H16</f>
        <v>10229</v>
      </c>
    </row>
    <row r="17" spans="1:10" ht="12.75">
      <c r="A17" s="614" t="s">
        <v>514</v>
      </c>
      <c r="B17" s="446"/>
      <c r="C17" s="446"/>
      <c r="D17" s="448"/>
      <c r="E17" s="446">
        <f>C17-'[19]Februāris'!C17</f>
        <v>-341469</v>
      </c>
      <c r="F17" s="614" t="s">
        <v>514</v>
      </c>
      <c r="G17" s="446"/>
      <c r="H17" s="446">
        <f>685+1</f>
        <v>686</v>
      </c>
      <c r="I17" s="448"/>
      <c r="J17" s="446">
        <f>H17-'[19]Februāris'!H17</f>
        <v>344</v>
      </c>
    </row>
    <row r="18" spans="1:10" ht="25.5">
      <c r="A18" s="539" t="s">
        <v>485</v>
      </c>
      <c r="B18" s="446"/>
      <c r="C18" s="441"/>
      <c r="D18" s="448"/>
      <c r="E18" s="446">
        <f>C18-'[19]Februāris'!C18</f>
        <v>-771900</v>
      </c>
      <c r="F18" s="539" t="s">
        <v>485</v>
      </c>
      <c r="G18" s="441"/>
      <c r="H18" s="441">
        <v>932</v>
      </c>
      <c r="I18" s="458"/>
      <c r="J18" s="441">
        <f>H18-'[19]Februāris'!H18</f>
        <v>160</v>
      </c>
    </row>
    <row r="19" spans="1:10" ht="12.75">
      <c r="A19" s="539" t="s">
        <v>857</v>
      </c>
      <c r="B19" s="446"/>
      <c r="C19" s="441">
        <f>SUM(C20:C25)</f>
        <v>0</v>
      </c>
      <c r="D19" s="448"/>
      <c r="E19" s="446">
        <f>SUM(E20:E24)</f>
        <v>-11280202</v>
      </c>
      <c r="F19" s="539" t="s">
        <v>857</v>
      </c>
      <c r="G19" s="441"/>
      <c r="H19" s="441">
        <f>SUM(H20:H25)</f>
        <v>19418</v>
      </c>
      <c r="I19" s="458"/>
      <c r="J19" s="441">
        <f>SUM(J20:J25)</f>
        <v>7283</v>
      </c>
    </row>
    <row r="20" spans="1:10" ht="12.75">
      <c r="A20" s="555" t="s">
        <v>486</v>
      </c>
      <c r="B20" s="446"/>
      <c r="C20" s="446"/>
      <c r="D20" s="448"/>
      <c r="E20" s="446">
        <f>C20-'[19]Februāris'!C20</f>
        <v>-38125</v>
      </c>
      <c r="F20" s="555" t="s">
        <v>486</v>
      </c>
      <c r="G20" s="446"/>
      <c r="H20" s="446">
        <v>48</v>
      </c>
      <c r="I20" s="448"/>
      <c r="J20" s="446">
        <f>H20-'[19]Februāris'!H20</f>
        <v>10</v>
      </c>
    </row>
    <row r="21" spans="1:10" ht="12.75">
      <c r="A21" s="555" t="s">
        <v>487</v>
      </c>
      <c r="B21" s="446"/>
      <c r="C21" s="446"/>
      <c r="D21" s="448"/>
      <c r="E21" s="446">
        <f>C21-'[19]Februāris'!C21</f>
        <v>-829807</v>
      </c>
      <c r="F21" s="555" t="s">
        <v>487</v>
      </c>
      <c r="G21" s="446"/>
      <c r="H21" s="446">
        <v>1195</v>
      </c>
      <c r="I21" s="448"/>
      <c r="J21" s="446">
        <f>H21-'[19]Februāris'!H21</f>
        <v>365</v>
      </c>
    </row>
    <row r="22" spans="1:10" ht="12.75">
      <c r="A22" s="555" t="s">
        <v>488</v>
      </c>
      <c r="B22" s="446"/>
      <c r="C22" s="446"/>
      <c r="D22" s="448"/>
      <c r="E22" s="446">
        <f>C22-'[19]Februāris'!C22</f>
        <v>-4462452</v>
      </c>
      <c r="F22" s="555" t="s">
        <v>488</v>
      </c>
      <c r="G22" s="446"/>
      <c r="H22" s="446">
        <v>6694</v>
      </c>
      <c r="I22" s="448"/>
      <c r="J22" s="446">
        <f>H22-'[19]Februāris'!H22</f>
        <v>2232</v>
      </c>
    </row>
    <row r="23" spans="1:10" ht="25.5">
      <c r="A23" s="555" t="s">
        <v>489</v>
      </c>
      <c r="B23" s="446"/>
      <c r="C23" s="446"/>
      <c r="D23" s="448"/>
      <c r="E23" s="446">
        <f>C23-'[19]Februāris'!C23</f>
        <v>-2911111</v>
      </c>
      <c r="F23" s="555" t="s">
        <v>489</v>
      </c>
      <c r="G23" s="446"/>
      <c r="H23" s="446">
        <v>4909</v>
      </c>
      <c r="I23" s="448"/>
      <c r="J23" s="446">
        <f>H23-'[19]Februāris'!H23</f>
        <v>1998</v>
      </c>
    </row>
    <row r="24" spans="1:10" ht="12.75">
      <c r="A24" s="555" t="s">
        <v>490</v>
      </c>
      <c r="B24" s="446"/>
      <c r="C24" s="446"/>
      <c r="D24" s="448"/>
      <c r="E24" s="446">
        <f>C24-'[19]Februāris'!C24</f>
        <v>-3038707</v>
      </c>
      <c r="F24" s="555" t="s">
        <v>490</v>
      </c>
      <c r="G24" s="446"/>
      <c r="H24" s="446">
        <f>4876-4</f>
        <v>4872</v>
      </c>
      <c r="I24" s="448"/>
      <c r="J24" s="446">
        <f>H24-'[19]Februāris'!H24</f>
        <v>1833</v>
      </c>
    </row>
    <row r="25" spans="1:10" ht="15.75" customHeight="1">
      <c r="A25" s="555" t="s">
        <v>515</v>
      </c>
      <c r="B25" s="446"/>
      <c r="C25" s="446"/>
      <c r="D25" s="448"/>
      <c r="E25" s="446">
        <f>C25-'[19]Februāris'!C25</f>
        <v>-855345</v>
      </c>
      <c r="F25" s="555" t="s">
        <v>515</v>
      </c>
      <c r="G25" s="446"/>
      <c r="H25" s="446">
        <v>1700</v>
      </c>
      <c r="I25" s="448"/>
      <c r="J25" s="446">
        <f>H25-'[19]Februāris'!H25</f>
        <v>845</v>
      </c>
    </row>
    <row r="26" spans="1:10" s="628" customFormat="1" ht="12.75">
      <c r="A26" s="539" t="s">
        <v>314</v>
      </c>
      <c r="B26" s="446"/>
      <c r="C26" s="441">
        <f>SUM(C27:C28)</f>
        <v>0</v>
      </c>
      <c r="D26" s="448"/>
      <c r="E26" s="446">
        <f>SUM(E27:E28)</f>
        <v>-6519442</v>
      </c>
      <c r="F26" s="539" t="s">
        <v>314</v>
      </c>
      <c r="G26" s="441"/>
      <c r="H26" s="441">
        <f>SUM(H27:H28)</f>
        <v>10748</v>
      </c>
      <c r="I26" s="448"/>
      <c r="J26" s="441">
        <f>SUM(J27:J28)</f>
        <v>4229</v>
      </c>
    </row>
    <row r="27" spans="1:10" s="628" customFormat="1" ht="12.75">
      <c r="A27" s="555" t="s">
        <v>492</v>
      </c>
      <c r="B27" s="446"/>
      <c r="C27" s="446"/>
      <c r="D27" s="448"/>
      <c r="E27" s="446">
        <f>C27-'[19]Februāris'!C27</f>
        <v>-1887416</v>
      </c>
      <c r="F27" s="555" t="s">
        <v>492</v>
      </c>
      <c r="G27" s="446"/>
      <c r="H27" s="446">
        <f>3254+22</f>
        <v>3276</v>
      </c>
      <c r="I27" s="448"/>
      <c r="J27" s="446">
        <f>H27-'[19]Februāris'!H27</f>
        <v>1389</v>
      </c>
    </row>
    <row r="28" spans="1:10" ht="17.25" customHeight="1">
      <c r="A28" s="555" t="s">
        <v>865</v>
      </c>
      <c r="B28" s="446"/>
      <c r="C28" s="446"/>
      <c r="D28" s="448"/>
      <c r="E28" s="446">
        <f>C28-'[19]Februāris'!C28</f>
        <v>-4632026</v>
      </c>
      <c r="F28" s="555" t="s">
        <v>865</v>
      </c>
      <c r="G28" s="446"/>
      <c r="H28" s="446">
        <f>7452+20</f>
        <v>7472</v>
      </c>
      <c r="I28" s="448"/>
      <c r="J28" s="446">
        <f>H28-'[19]Februāris'!H28</f>
        <v>2840</v>
      </c>
    </row>
    <row r="29" spans="1:10" s="628" customFormat="1" ht="12.75">
      <c r="A29" s="539" t="s">
        <v>418</v>
      </c>
      <c r="B29" s="446"/>
      <c r="C29" s="441">
        <f>C30-C31</f>
        <v>0</v>
      </c>
      <c r="D29" s="448"/>
      <c r="E29" s="446">
        <f>E30-E31</f>
        <v>52858</v>
      </c>
      <c r="F29" s="539" t="s">
        <v>418</v>
      </c>
      <c r="G29" s="441"/>
      <c r="H29" s="441">
        <f>H30-H31</f>
        <v>-75</v>
      </c>
      <c r="I29" s="448"/>
      <c r="J29" s="441">
        <f>J30-J31</f>
        <v>-22</v>
      </c>
    </row>
    <row r="30" spans="1:10" ht="12.75">
      <c r="A30" s="555" t="s">
        <v>419</v>
      </c>
      <c r="B30" s="446"/>
      <c r="C30" s="446"/>
      <c r="D30" s="448"/>
      <c r="E30" s="446">
        <f>C30-'[19]Februāris'!C30</f>
        <v>-27735</v>
      </c>
      <c r="F30" s="555" t="s">
        <v>419</v>
      </c>
      <c r="G30" s="446"/>
      <c r="H30" s="446">
        <v>49</v>
      </c>
      <c r="I30" s="448"/>
      <c r="J30" s="446">
        <f>H30-'[19]Februāris'!H30</f>
        <v>21</v>
      </c>
    </row>
    <row r="31" spans="1:10" ht="12.75">
      <c r="A31" s="555" t="s">
        <v>420</v>
      </c>
      <c r="B31" s="446"/>
      <c r="C31" s="446"/>
      <c r="D31" s="448"/>
      <c r="E31" s="446">
        <f>C31-'[19]Februāris'!C31</f>
        <v>-80593</v>
      </c>
      <c r="F31" s="555" t="s">
        <v>420</v>
      </c>
      <c r="G31" s="446"/>
      <c r="H31" s="446">
        <v>124</v>
      </c>
      <c r="I31" s="448"/>
      <c r="J31" s="446">
        <f>H31-'[19]Februāris'!H31</f>
        <v>43</v>
      </c>
    </row>
    <row r="32" spans="1:10" ht="12.75">
      <c r="A32" s="539" t="s">
        <v>23</v>
      </c>
      <c r="B32" s="446"/>
      <c r="C32" s="446">
        <f>C9-C10-C25-C29</f>
        <v>0</v>
      </c>
      <c r="D32" s="448"/>
      <c r="E32" s="446">
        <f>C32-'[19]Februāris'!C32</f>
        <v>-2915835</v>
      </c>
      <c r="F32" s="539" t="s">
        <v>23</v>
      </c>
      <c r="G32" s="441"/>
      <c r="H32" s="441">
        <f>H9-H10-H29</f>
        <v>3873</v>
      </c>
      <c r="I32" s="448"/>
      <c r="J32" s="441">
        <f>H32-'[19]Februāris'!H32</f>
        <v>101</v>
      </c>
    </row>
    <row r="33" spans="1:10" s="4" customFormat="1" ht="17.25" customHeight="1">
      <c r="A33" s="615"/>
      <c r="B33" s="545"/>
      <c r="C33"/>
      <c r="D33" s="545"/>
      <c r="E33" s="545"/>
      <c r="F33" s="615"/>
      <c r="G33" s="545"/>
      <c r="H33"/>
      <c r="I33" s="545"/>
      <c r="J33" s="545"/>
    </row>
    <row r="34" spans="1:10" s="4" customFormat="1" ht="17.25" customHeight="1">
      <c r="A34" s="615"/>
      <c r="B34" s="545"/>
      <c r="C34"/>
      <c r="D34" s="545"/>
      <c r="E34" s="545"/>
      <c r="F34" s="615"/>
      <c r="G34" s="545"/>
      <c r="H34"/>
      <c r="I34" s="545"/>
      <c r="J34" s="545"/>
    </row>
    <row r="35" spans="1:10" ht="17.25" customHeight="1">
      <c r="A35" s="529"/>
      <c r="B35" s="545"/>
      <c r="C35"/>
      <c r="D35" s="545"/>
      <c r="E35" s="545"/>
      <c r="F35" s="529"/>
      <c r="G35" s="545"/>
      <c r="H35"/>
      <c r="I35" s="545"/>
      <c r="J35" s="545"/>
    </row>
    <row r="36" spans="1:10" s="4" customFormat="1" ht="17.25" customHeight="1">
      <c r="A36" s="80" t="s">
        <v>916</v>
      </c>
      <c r="B36" s="9"/>
      <c r="C36"/>
      <c r="D36" s="9" t="s">
        <v>917</v>
      </c>
      <c r="E36" s="529"/>
      <c r="F36" s="80" t="s">
        <v>895</v>
      </c>
      <c r="G36" s="9"/>
      <c r="H36"/>
      <c r="I36" s="9" t="s">
        <v>830</v>
      </c>
      <c r="J36" s="529"/>
    </row>
    <row r="37" spans="1:10" s="4" customFormat="1" ht="17.25" customHeight="1">
      <c r="A37" s="5"/>
      <c r="C37"/>
      <c r="D37" s="545"/>
      <c r="E37" s="545"/>
      <c r="F37" s="5"/>
      <c r="H37"/>
      <c r="I37" s="545"/>
      <c r="J37" s="545"/>
    </row>
    <row r="38" spans="1:10" s="4" customFormat="1" ht="17.25" customHeight="1">
      <c r="A38" s="529"/>
      <c r="B38" s="86"/>
      <c r="C38"/>
      <c r="D38" s="545"/>
      <c r="E38" s="545"/>
      <c r="F38" s="529"/>
      <c r="G38" s="86"/>
      <c r="H38"/>
      <c r="I38" s="545"/>
      <c r="J38" s="545"/>
    </row>
    <row r="39" spans="1:10" s="4" customFormat="1" ht="17.25" customHeight="1">
      <c r="A39" s="529"/>
      <c r="B39" s="86"/>
      <c r="C39"/>
      <c r="D39" s="545"/>
      <c r="E39" s="545"/>
      <c r="F39" s="529"/>
      <c r="G39" s="86"/>
      <c r="H39"/>
      <c r="I39" s="545"/>
      <c r="J39" s="545"/>
    </row>
    <row r="40" spans="1:10" ht="17.25" customHeight="1">
      <c r="A40" s="529"/>
      <c r="B40" s="551"/>
      <c r="C40"/>
      <c r="D40" s="545"/>
      <c r="E40" s="545"/>
      <c r="F40" s="529"/>
      <c r="G40" s="551"/>
      <c r="H40"/>
      <c r="I40" s="545"/>
      <c r="J40" s="545"/>
    </row>
    <row r="41" spans="3:10" ht="17.25" customHeight="1">
      <c r="C41"/>
      <c r="D41" s="545"/>
      <c r="E41" s="545"/>
      <c r="H41"/>
      <c r="I41" s="545"/>
      <c r="J41" s="545"/>
    </row>
    <row r="42" spans="3:10" ht="17.25" customHeight="1">
      <c r="C42"/>
      <c r="D42" s="545"/>
      <c r="E42" s="545"/>
      <c r="F42" s="527" t="s">
        <v>915</v>
      </c>
      <c r="H42"/>
      <c r="I42" s="545"/>
      <c r="J42" s="545"/>
    </row>
    <row r="43" spans="3:8" ht="17.25" customHeight="1">
      <c r="C43"/>
      <c r="F43" s="527" t="s">
        <v>832</v>
      </c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75" right="0.48" top="1" bottom="0.77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0" sqref="A10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5"/>
      <c r="B1" s="1"/>
      <c r="C1" s="1"/>
      <c r="D1" s="1"/>
      <c r="E1" s="125" t="s">
        <v>493</v>
      </c>
    </row>
    <row r="2" spans="1:5" ht="12.75">
      <c r="A2" s="760" t="s">
        <v>740</v>
      </c>
      <c r="B2" s="760"/>
      <c r="C2" s="760"/>
      <c r="D2" s="760"/>
      <c r="E2" s="760"/>
    </row>
    <row r="3" spans="1:5" ht="12.75">
      <c r="A3" s="5"/>
      <c r="B3" s="494"/>
      <c r="C3" s="494"/>
      <c r="D3" s="557"/>
      <c r="E3" s="557"/>
    </row>
    <row r="4" spans="1:5" ht="12.75">
      <c r="A4" s="782" t="s">
        <v>494</v>
      </c>
      <c r="B4" s="782"/>
      <c r="C4" s="782"/>
      <c r="D4" s="782"/>
      <c r="E4" s="782"/>
    </row>
    <row r="5" spans="1:5" ht="12.75">
      <c r="A5" s="783" t="s">
        <v>793</v>
      </c>
      <c r="B5" s="783"/>
      <c r="C5" s="783"/>
      <c r="D5" s="783"/>
      <c r="E5" s="783"/>
    </row>
    <row r="6" spans="1:5" ht="12.75">
      <c r="A6" s="5"/>
      <c r="B6" s="327"/>
      <c r="C6" s="327"/>
      <c r="D6" s="3"/>
      <c r="E6" s="497" t="s">
        <v>37</v>
      </c>
    </row>
    <row r="7" spans="1:5" ht="33.75">
      <c r="A7" s="610" t="s">
        <v>748</v>
      </c>
      <c r="B7" s="535" t="s">
        <v>398</v>
      </c>
      <c r="C7" s="535" t="s">
        <v>751</v>
      </c>
      <c r="D7" s="535" t="s">
        <v>399</v>
      </c>
      <c r="E7" s="11" t="s">
        <v>797</v>
      </c>
    </row>
    <row r="8" spans="1:5" ht="12.75">
      <c r="A8" s="147">
        <v>1</v>
      </c>
      <c r="B8" s="611">
        <v>2</v>
      </c>
      <c r="C8" s="611">
        <v>3</v>
      </c>
      <c r="D8" s="612">
        <v>4</v>
      </c>
      <c r="E8" s="612">
        <v>5</v>
      </c>
    </row>
    <row r="9" spans="1:5" ht="24.75" customHeight="1">
      <c r="A9" s="617" t="s">
        <v>495</v>
      </c>
      <c r="B9" s="441"/>
      <c r="C9" s="441">
        <f>SUM(C10:C14)</f>
        <v>9351</v>
      </c>
      <c r="D9" s="618"/>
      <c r="E9" s="441">
        <f>C9-'[17]Februāris'!C9</f>
        <v>2639</v>
      </c>
    </row>
    <row r="10" spans="1:5" ht="24.75" customHeight="1">
      <c r="A10" s="619" t="s">
        <v>496</v>
      </c>
      <c r="B10" s="446"/>
      <c r="C10" s="446">
        <v>2695</v>
      </c>
      <c r="D10" s="613"/>
      <c r="E10" s="446">
        <f>C10-'[17]Februāris'!C10</f>
        <v>1196</v>
      </c>
    </row>
    <row r="11" spans="1:5" ht="21.75" customHeight="1">
      <c r="A11" s="619" t="s">
        <v>497</v>
      </c>
      <c r="B11" s="446"/>
      <c r="C11" s="446">
        <v>368</v>
      </c>
      <c r="D11" s="613"/>
      <c r="E11" s="446">
        <f>C11-'[17]Februāris'!C11</f>
        <v>107</v>
      </c>
    </row>
    <row r="12" spans="1:5" ht="30" customHeight="1">
      <c r="A12" s="620" t="s">
        <v>498</v>
      </c>
      <c r="B12" s="446"/>
      <c r="C12" s="446">
        <v>2833</v>
      </c>
      <c r="D12" s="613"/>
      <c r="E12" s="446">
        <f>C12-'[17]Februāris'!C12</f>
        <v>815</v>
      </c>
    </row>
    <row r="13" spans="1:5" ht="39" customHeight="1">
      <c r="A13" s="620" t="s">
        <v>499</v>
      </c>
      <c r="B13" s="446"/>
      <c r="C13" s="446">
        <v>533</v>
      </c>
      <c r="D13" s="613"/>
      <c r="E13" s="446">
        <f>C13-'[17]Februāris'!C13</f>
        <v>-21</v>
      </c>
    </row>
    <row r="14" spans="1:5" ht="19.5" customHeight="1">
      <c r="A14" s="619" t="s">
        <v>500</v>
      </c>
      <c r="B14" s="446"/>
      <c r="C14" s="446">
        <f>53+2874-5</f>
        <v>2922</v>
      </c>
      <c r="D14" s="613"/>
      <c r="E14" s="446">
        <f>C14-'[17]Februāris'!C14</f>
        <v>542</v>
      </c>
    </row>
    <row r="15" spans="1:5" ht="19.5" customHeight="1">
      <c r="A15" s="621" t="s">
        <v>501</v>
      </c>
      <c r="B15" s="441"/>
      <c r="C15" s="441">
        <f>SUM(C16:C20)</f>
        <v>6254</v>
      </c>
      <c r="D15" s="618"/>
      <c r="E15" s="441">
        <f>SUM(E16:E20)</f>
        <v>3119</v>
      </c>
    </row>
    <row r="16" spans="1:5" ht="19.5" customHeight="1">
      <c r="A16" s="619" t="s">
        <v>502</v>
      </c>
      <c r="B16" s="446"/>
      <c r="C16" s="446">
        <v>1698</v>
      </c>
      <c r="D16" s="613"/>
      <c r="E16" s="446">
        <f>C16-'[17]Februāris'!C16</f>
        <v>1261</v>
      </c>
    </row>
    <row r="17" spans="1:5" ht="19.5" customHeight="1">
      <c r="A17" s="619" t="s">
        <v>497</v>
      </c>
      <c r="B17" s="446"/>
      <c r="C17" s="446">
        <v>315</v>
      </c>
      <c r="D17" s="613"/>
      <c r="E17" s="446">
        <f>C17-'[17]Februāris'!C17</f>
        <v>192</v>
      </c>
    </row>
    <row r="18" spans="1:5" ht="19.5" customHeight="1">
      <c r="A18" s="619" t="s">
        <v>503</v>
      </c>
      <c r="B18" s="446"/>
      <c r="C18" s="446">
        <v>1878</v>
      </c>
      <c r="D18" s="613"/>
      <c r="E18" s="446">
        <f>C18-'[17]Februāris'!C18</f>
        <v>675</v>
      </c>
    </row>
    <row r="19" spans="1:5" ht="19.5" customHeight="1">
      <c r="A19" s="622" t="s">
        <v>504</v>
      </c>
      <c r="B19" s="446"/>
      <c r="C19" s="446">
        <v>635</v>
      </c>
      <c r="D19" s="613"/>
      <c r="E19" s="446">
        <f>C19-'[17]Februāris'!C19</f>
        <v>275</v>
      </c>
    </row>
    <row r="20" spans="1:5" ht="19.5" customHeight="1">
      <c r="A20" s="622" t="s">
        <v>505</v>
      </c>
      <c r="B20" s="446"/>
      <c r="C20" s="446">
        <f>119+1618-9</f>
        <v>1728</v>
      </c>
      <c r="D20" s="613"/>
      <c r="E20" s="446">
        <f>C20-'[17]Februāris'!C20</f>
        <v>716</v>
      </c>
    </row>
    <row r="21" spans="1:5" ht="12.75">
      <c r="A21" s="623"/>
      <c r="B21" s="624"/>
      <c r="C21" s="624"/>
      <c r="D21" s="625"/>
      <c r="E21" s="624"/>
    </row>
    <row r="22" spans="1:5" ht="12.75">
      <c r="A22" s="249"/>
      <c r="B22" s="249"/>
      <c r="C22" s="249"/>
      <c r="D22" s="249"/>
      <c r="E22" s="249"/>
    </row>
    <row r="23" spans="1:6" ht="12.75">
      <c r="A23" s="541"/>
      <c r="B23" s="542"/>
      <c r="C23" s="542"/>
      <c r="D23" s="626"/>
      <c r="E23" s="542"/>
      <c r="F23" s="249"/>
    </row>
    <row r="24" spans="1:6" ht="15">
      <c r="A24" s="532" t="s">
        <v>506</v>
      </c>
      <c r="D24" s="532" t="s">
        <v>830</v>
      </c>
      <c r="F24" s="249"/>
    </row>
    <row r="25" ht="12.75">
      <c r="F25" s="249"/>
    </row>
    <row r="26" ht="12.75">
      <c r="F26" s="249"/>
    </row>
    <row r="27" ht="12.75">
      <c r="F27" s="249"/>
    </row>
    <row r="28" ht="12.75">
      <c r="F28" s="249"/>
    </row>
    <row r="29" ht="12.75">
      <c r="F29" s="249"/>
    </row>
    <row r="30" ht="12.75">
      <c r="F30" s="249"/>
    </row>
    <row r="31" ht="12.75">
      <c r="F31" s="249"/>
    </row>
    <row r="32" spans="1:6" ht="12.75">
      <c r="A32" s="4" t="s">
        <v>279</v>
      </c>
      <c r="F32" s="249"/>
    </row>
    <row r="33" spans="1:6" ht="12.75">
      <c r="A33" s="4" t="s">
        <v>832</v>
      </c>
      <c r="F33" s="249"/>
    </row>
  </sheetData>
  <mergeCells count="3">
    <mergeCell ref="A2:E2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8" sqref="A8"/>
    </sheetView>
  </sheetViews>
  <sheetFormatPr defaultColWidth="9.140625" defaultRowHeight="17.25" customHeight="1"/>
  <cols>
    <col min="1" max="1" width="40.00390625" style="5" customWidth="1"/>
    <col min="2" max="2" width="8.8515625" style="494" customWidth="1"/>
    <col min="3" max="3" width="11.28125" style="494" customWidth="1"/>
    <col min="4" max="4" width="12.57421875" style="494" customWidth="1"/>
    <col min="5" max="5" width="11.57421875" style="494" customWidth="1"/>
  </cols>
  <sheetData>
    <row r="1" spans="2:5" ht="17.25" customHeight="1">
      <c r="B1" s="1"/>
      <c r="C1" s="1"/>
      <c r="D1" s="1"/>
      <c r="E1" s="125" t="s">
        <v>476</v>
      </c>
    </row>
    <row r="2" spans="1:5" ht="17.25" customHeight="1">
      <c r="A2" s="760" t="s">
        <v>477</v>
      </c>
      <c r="B2" s="760"/>
      <c r="C2" s="760"/>
      <c r="D2" s="760"/>
      <c r="E2" s="760"/>
    </row>
    <row r="3" spans="4:5" ht="17.25" customHeight="1">
      <c r="D3" s="557"/>
      <c r="E3" s="557"/>
    </row>
    <row r="4" spans="1:5" ht="17.25" customHeight="1">
      <c r="A4" s="782" t="s">
        <v>478</v>
      </c>
      <c r="B4" s="782"/>
      <c r="C4" s="782"/>
      <c r="D4" s="782"/>
      <c r="E4" s="782"/>
    </row>
    <row r="5" spans="1:5" ht="12.75" customHeight="1">
      <c r="A5" s="783" t="s">
        <v>36</v>
      </c>
      <c r="B5" s="783"/>
      <c r="C5" s="783"/>
      <c r="D5" s="783"/>
      <c r="E5" s="783"/>
    </row>
    <row r="6" spans="1:5" ht="12.75" customHeight="1">
      <c r="A6" s="531"/>
      <c r="B6" s="531"/>
      <c r="C6" s="531"/>
      <c r="D6" s="531"/>
      <c r="E6" s="531"/>
    </row>
    <row r="7" spans="2:5" ht="10.5" customHeight="1">
      <c r="B7" s="327"/>
      <c r="C7" s="327"/>
      <c r="D7" s="3"/>
      <c r="E7" s="497" t="s">
        <v>37</v>
      </c>
    </row>
    <row r="8" spans="1:5" ht="22.5">
      <c r="A8" s="610" t="s">
        <v>748</v>
      </c>
      <c r="B8" s="535" t="s">
        <v>398</v>
      </c>
      <c r="C8" s="535" t="s">
        <v>751</v>
      </c>
      <c r="D8" s="535" t="s">
        <v>399</v>
      </c>
      <c r="E8" s="11" t="s">
        <v>797</v>
      </c>
    </row>
    <row r="9" spans="1:5" ht="12.75">
      <c r="A9" s="147">
        <v>1</v>
      </c>
      <c r="B9" s="611">
        <v>2</v>
      </c>
      <c r="C9" s="611">
        <v>3</v>
      </c>
      <c r="D9" s="612">
        <v>4</v>
      </c>
      <c r="E9" s="612">
        <v>5</v>
      </c>
    </row>
    <row r="10" spans="1:5" ht="12.75">
      <c r="A10" s="538" t="s">
        <v>295</v>
      </c>
      <c r="B10" s="446"/>
      <c r="C10" s="446">
        <v>9351</v>
      </c>
      <c r="D10" s="613"/>
      <c r="E10" s="446">
        <f>C10-'[16]februāris'!C10</f>
        <v>2639</v>
      </c>
    </row>
    <row r="11" spans="1:5" ht="12.75">
      <c r="A11" s="538" t="s">
        <v>479</v>
      </c>
      <c r="B11" s="446"/>
      <c r="C11" s="446">
        <f>SUM(C12,C27)</f>
        <v>7113</v>
      </c>
      <c r="D11" s="613"/>
      <c r="E11" s="446">
        <f>C11-'[16]februāris'!C11</f>
        <v>3102</v>
      </c>
    </row>
    <row r="12" spans="1:5" ht="12.75">
      <c r="A12" s="539" t="s">
        <v>299</v>
      </c>
      <c r="B12" s="446"/>
      <c r="C12" s="446">
        <f>SUM(C13,C19,C20)</f>
        <v>5406</v>
      </c>
      <c r="D12" s="613"/>
      <c r="E12" s="446">
        <f>C12-'[16]februāris'!C12</f>
        <v>2259</v>
      </c>
    </row>
    <row r="13" spans="1:5" ht="12.75">
      <c r="A13" s="539" t="s">
        <v>845</v>
      </c>
      <c r="B13" s="446"/>
      <c r="C13" s="446">
        <f>SUM(C14,C15,C16)</f>
        <v>3403</v>
      </c>
      <c r="D13" s="613"/>
      <c r="E13" s="446">
        <f>C13-'[16]februāris'!C13</f>
        <v>1425</v>
      </c>
    </row>
    <row r="14" spans="1:5" ht="17.25" customHeight="1">
      <c r="A14" s="555" t="s">
        <v>480</v>
      </c>
      <c r="B14" s="446"/>
      <c r="C14" s="446">
        <v>526</v>
      </c>
      <c r="D14" s="613"/>
      <c r="E14" s="446">
        <f>C14-'[16]februāris'!C14</f>
        <v>244</v>
      </c>
    </row>
    <row r="15" spans="1:5" ht="25.5">
      <c r="A15" s="555" t="s">
        <v>481</v>
      </c>
      <c r="B15" s="446"/>
      <c r="C15" s="446">
        <v>129</v>
      </c>
      <c r="D15" s="613"/>
      <c r="E15" s="446">
        <f>C15-'[16]februāris'!C15</f>
        <v>60</v>
      </c>
    </row>
    <row r="16" spans="1:5" ht="12.75">
      <c r="A16" s="555" t="s">
        <v>482</v>
      </c>
      <c r="B16" s="446"/>
      <c r="C16" s="446">
        <f>SUM(C17:C18)</f>
        <v>2748</v>
      </c>
      <c r="D16" s="613"/>
      <c r="E16" s="446">
        <f>C16-'[16]februāris'!C16</f>
        <v>1121</v>
      </c>
    </row>
    <row r="17" spans="1:5" ht="25.5">
      <c r="A17" s="614" t="s">
        <v>483</v>
      </c>
      <c r="B17" s="446"/>
      <c r="C17" s="446">
        <f>2365+356</f>
        <v>2721</v>
      </c>
      <c r="D17" s="613"/>
      <c r="E17" s="446">
        <f>C17-'[16]februāris'!C17</f>
        <v>1119</v>
      </c>
    </row>
    <row r="18" spans="1:5" ht="12.75">
      <c r="A18" s="614" t="s">
        <v>484</v>
      </c>
      <c r="B18" s="446"/>
      <c r="C18" s="446">
        <f>32-5</f>
        <v>27</v>
      </c>
      <c r="D18" s="613"/>
      <c r="E18" s="446">
        <f>C18-'[16]februāris'!C18</f>
        <v>2</v>
      </c>
    </row>
    <row r="19" spans="1:5" ht="25.5">
      <c r="A19" s="539" t="s">
        <v>485</v>
      </c>
      <c r="B19" s="446"/>
      <c r="C19" s="446">
        <v>22</v>
      </c>
      <c r="D19" s="613"/>
      <c r="E19" s="446">
        <f>C19-'[16]februāris'!C19</f>
        <v>17</v>
      </c>
    </row>
    <row r="20" spans="1:5" ht="12.75">
      <c r="A20" s="539" t="s">
        <v>857</v>
      </c>
      <c r="B20" s="446"/>
      <c r="C20" s="446">
        <f>SUM(C21:C26)</f>
        <v>1981</v>
      </c>
      <c r="D20" s="613"/>
      <c r="E20" s="446">
        <f>C20-'[16]februāris'!C20</f>
        <v>817</v>
      </c>
    </row>
    <row r="21" spans="1:5" ht="12.75">
      <c r="A21" s="555" t="s">
        <v>486</v>
      </c>
      <c r="B21" s="446"/>
      <c r="C21" s="446">
        <v>66</v>
      </c>
      <c r="D21" s="613"/>
      <c r="E21" s="446">
        <f>C21-'[16]februāris'!C21</f>
        <v>28</v>
      </c>
    </row>
    <row r="22" spans="1:5" ht="12.75">
      <c r="A22" s="555" t="s">
        <v>487</v>
      </c>
      <c r="B22" s="446"/>
      <c r="C22" s="446">
        <v>135</v>
      </c>
      <c r="D22" s="613"/>
      <c r="E22" s="446">
        <f>C22-'[16]februāris'!C22</f>
        <v>36</v>
      </c>
    </row>
    <row r="23" spans="1:5" ht="12.75">
      <c r="A23" s="555" t="s">
        <v>488</v>
      </c>
      <c r="B23" s="446"/>
      <c r="C23" s="446">
        <v>71</v>
      </c>
      <c r="D23" s="613"/>
      <c r="E23" s="446">
        <f>C23-'[16]februāris'!C23</f>
        <v>-3</v>
      </c>
    </row>
    <row r="24" spans="1:5" ht="25.5">
      <c r="A24" s="555" t="s">
        <v>489</v>
      </c>
      <c r="B24" s="446"/>
      <c r="C24" s="446">
        <v>1027</v>
      </c>
      <c r="D24" s="613"/>
      <c r="E24" s="446">
        <f>C24-'[16]februāris'!C24</f>
        <v>485</v>
      </c>
    </row>
    <row r="25" spans="1:5" ht="12.75">
      <c r="A25" s="555" t="s">
        <v>490</v>
      </c>
      <c r="B25" s="446"/>
      <c r="C25" s="446">
        <v>564</v>
      </c>
      <c r="D25" s="613"/>
      <c r="E25" s="446">
        <f>C25-'[16]februāris'!C25</f>
        <v>193</v>
      </c>
    </row>
    <row r="26" spans="1:5" ht="12.75">
      <c r="A26" s="555" t="s">
        <v>491</v>
      </c>
      <c r="B26" s="446"/>
      <c r="C26" s="446">
        <v>118</v>
      </c>
      <c r="D26" s="613"/>
      <c r="E26" s="446">
        <f>C26-'[16]februāris'!C26</f>
        <v>78</v>
      </c>
    </row>
    <row r="27" spans="1:5" ht="12.75">
      <c r="A27" s="539" t="s">
        <v>314</v>
      </c>
      <c r="B27" s="446"/>
      <c r="C27" s="446">
        <f>SUM(C28:C29)</f>
        <v>1707</v>
      </c>
      <c r="D27" s="613"/>
      <c r="E27" s="446">
        <f>C27-'[16]februāris'!C27</f>
        <v>843</v>
      </c>
    </row>
    <row r="28" spans="1:5" ht="17.25" customHeight="1">
      <c r="A28" s="555" t="s">
        <v>492</v>
      </c>
      <c r="B28" s="446"/>
      <c r="C28" s="446">
        <f>1+1233</f>
        <v>1234</v>
      </c>
      <c r="D28" s="613"/>
      <c r="E28" s="446">
        <f>C28-'[16]februāris'!C28</f>
        <v>453</v>
      </c>
    </row>
    <row r="29" spans="1:5" ht="12.75">
      <c r="A29" s="239" t="s">
        <v>865</v>
      </c>
      <c r="B29" s="446"/>
      <c r="C29" s="446">
        <v>473</v>
      </c>
      <c r="D29" s="613"/>
      <c r="E29" s="446">
        <f>C29-'[16]februāris'!C29</f>
        <v>390</v>
      </c>
    </row>
    <row r="30" spans="1:5" ht="12.75">
      <c r="A30" s="539" t="s">
        <v>418</v>
      </c>
      <c r="B30" s="446"/>
      <c r="C30" s="446">
        <f>C31-C32</f>
        <v>-859</v>
      </c>
      <c r="D30" s="613"/>
      <c r="E30" s="446">
        <f>C30-'[16]februāris'!C30</f>
        <v>17</v>
      </c>
    </row>
    <row r="31" spans="1:5" ht="12.75">
      <c r="A31" s="555" t="s">
        <v>419</v>
      </c>
      <c r="B31" s="446"/>
      <c r="C31" s="446">
        <v>269</v>
      </c>
      <c r="D31" s="613"/>
      <c r="E31" s="446">
        <f>C31-'[16]februāris'!C31</f>
        <v>137</v>
      </c>
    </row>
    <row r="32" spans="1:5" ht="12.75">
      <c r="A32" s="555" t="s">
        <v>420</v>
      </c>
      <c r="B32" s="446"/>
      <c r="C32" s="446">
        <v>1128</v>
      </c>
      <c r="D32" s="613"/>
      <c r="E32" s="446">
        <f>C32-'[16]februāris'!C32</f>
        <v>120</v>
      </c>
    </row>
    <row r="33" spans="1:5" ht="12.75">
      <c r="A33" s="539" t="s">
        <v>23</v>
      </c>
      <c r="B33" s="446"/>
      <c r="C33" s="446">
        <f>C10-C11-C30</f>
        <v>3097</v>
      </c>
      <c r="D33" s="613"/>
      <c r="E33" s="446">
        <f>C33-'[16]februāris'!C33</f>
        <v>-480</v>
      </c>
    </row>
    <row r="34" spans="1:4" ht="17.25" customHeight="1">
      <c r="A34" s="615"/>
      <c r="B34" s="542"/>
      <c r="C34" s="542"/>
      <c r="D34" s="616"/>
    </row>
    <row r="35" ht="17.25" customHeight="1">
      <c r="A35" s="529"/>
    </row>
    <row r="36" ht="17.25" customHeight="1">
      <c r="A36" s="529"/>
    </row>
    <row r="37" ht="17.25" customHeight="1">
      <c r="A37" s="615"/>
    </row>
    <row r="38" spans="1:5" ht="12.75" customHeight="1">
      <c r="A38" s="80" t="s">
        <v>328</v>
      </c>
      <c r="B38" s="9"/>
      <c r="C38" s="9"/>
      <c r="D38" s="9" t="s">
        <v>830</v>
      </c>
      <c r="E38" s="524"/>
    </row>
    <row r="39" spans="1:3" ht="17.25" customHeight="1">
      <c r="A39" s="527"/>
      <c r="B39" s="438"/>
      <c r="C39" s="438"/>
    </row>
    <row r="40" spans="1:3" ht="17.25" customHeight="1">
      <c r="A40" s="529"/>
      <c r="B40" s="81"/>
      <c r="C40" s="81"/>
    </row>
    <row r="41" spans="1:3" ht="17.25" customHeight="1">
      <c r="A41" s="529"/>
      <c r="B41" s="5"/>
      <c r="C41" s="5"/>
    </row>
    <row r="42" spans="1:3" ht="17.25" customHeight="1">
      <c r="A42" s="527"/>
      <c r="B42" s="527"/>
      <c r="C42" s="527"/>
    </row>
    <row r="44" ht="12.75" customHeight="1">
      <c r="A44" s="4" t="s">
        <v>915</v>
      </c>
    </row>
    <row r="45" ht="12.75" customHeight="1">
      <c r="A45" s="4" t="s">
        <v>832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workbookViewId="0" topLeftCell="F1">
      <selection activeCell="J6" sqref="J6"/>
    </sheetView>
  </sheetViews>
  <sheetFormatPr defaultColWidth="9.140625" defaultRowHeight="12.75"/>
  <cols>
    <col min="1" max="1" width="33.8515625" style="5" hidden="1" customWidth="1"/>
    <col min="2" max="2" width="12.7109375" style="300" hidden="1" customWidth="1"/>
    <col min="3" max="3" width="2.57421875" style="5" hidden="1" customWidth="1"/>
    <col min="4" max="4" width="3.57421875" style="5" hidden="1" customWidth="1"/>
    <col min="5" max="5" width="2.8515625" style="5" hidden="1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</cols>
  <sheetData>
    <row r="1" spans="1:10" ht="18.75" customHeight="1">
      <c r="A1" s="299"/>
      <c r="B1" s="299"/>
      <c r="C1" s="299"/>
      <c r="D1" s="299"/>
      <c r="E1" s="299"/>
      <c r="F1" s="5"/>
      <c r="G1" s="300"/>
      <c r="H1" s="5"/>
      <c r="I1" s="5"/>
      <c r="J1" s="5" t="s">
        <v>160</v>
      </c>
    </row>
    <row r="2" spans="1:10" ht="18.75" customHeight="1">
      <c r="A2" s="299"/>
      <c r="B2" s="299"/>
      <c r="C2" s="299"/>
      <c r="D2" s="299"/>
      <c r="E2" s="299"/>
      <c r="F2" s="1" t="s">
        <v>34</v>
      </c>
      <c r="G2" s="301"/>
      <c r="H2" s="1"/>
      <c r="I2" s="1"/>
      <c r="J2" s="1"/>
    </row>
    <row r="3" spans="1:10" ht="14.25" customHeight="1">
      <c r="A3" s="299"/>
      <c r="B3" s="299"/>
      <c r="C3" s="299"/>
      <c r="D3" s="299"/>
      <c r="E3" s="299"/>
      <c r="F3" s="5"/>
      <c r="G3" s="300"/>
      <c r="H3" s="5"/>
      <c r="I3" s="5"/>
      <c r="J3" s="5"/>
    </row>
    <row r="4" spans="1:10" ht="18.75" customHeight="1">
      <c r="A4" s="299"/>
      <c r="B4" s="299"/>
      <c r="C4" s="299"/>
      <c r="D4" s="299"/>
      <c r="E4" s="299"/>
      <c r="F4" s="761" t="s">
        <v>161</v>
      </c>
      <c r="G4" s="761"/>
      <c r="H4" s="761"/>
      <c r="I4" s="761"/>
      <c r="J4" s="761"/>
    </row>
    <row r="5" spans="1:10" ht="18.75" customHeight="1">
      <c r="A5" s="299"/>
      <c r="B5" s="299"/>
      <c r="C5" s="299"/>
      <c r="D5" s="299"/>
      <c r="E5" s="299"/>
      <c r="F5" s="759" t="s">
        <v>116</v>
      </c>
      <c r="G5" s="759"/>
      <c r="H5" s="759"/>
      <c r="I5" s="759"/>
      <c r="J5" s="759"/>
    </row>
    <row r="6" spans="1:10" ht="14.2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5.75" customHeight="1">
      <c r="A7" s="302"/>
      <c r="B7" s="301"/>
      <c r="C7" s="1"/>
      <c r="D7" s="3"/>
      <c r="E7" s="3"/>
      <c r="F7" s="302"/>
      <c r="G7" s="301"/>
      <c r="H7" s="1"/>
      <c r="I7" s="3"/>
      <c r="J7" s="10" t="s">
        <v>837</v>
      </c>
    </row>
    <row r="8" spans="1:10" ht="49.5" customHeight="1">
      <c r="A8" s="11" t="s">
        <v>748</v>
      </c>
      <c r="B8" s="303" t="s">
        <v>749</v>
      </c>
      <c r="C8" s="11" t="s">
        <v>751</v>
      </c>
      <c r="D8" s="11" t="s">
        <v>162</v>
      </c>
      <c r="E8" s="11" t="s">
        <v>163</v>
      </c>
      <c r="F8" s="11" t="s">
        <v>748</v>
      </c>
      <c r="G8" s="303" t="s">
        <v>749</v>
      </c>
      <c r="H8" s="11" t="s">
        <v>751</v>
      </c>
      <c r="I8" s="11" t="s">
        <v>162</v>
      </c>
      <c r="J8" s="11" t="s">
        <v>164</v>
      </c>
    </row>
    <row r="9" spans="1:10" ht="12.75">
      <c r="A9" s="11">
        <v>1</v>
      </c>
      <c r="B9" s="303">
        <v>2</v>
      </c>
      <c r="C9" s="11">
        <v>3</v>
      </c>
      <c r="D9" s="11">
        <v>4</v>
      </c>
      <c r="E9" s="11">
        <v>5</v>
      </c>
      <c r="F9" s="11">
        <v>1</v>
      </c>
      <c r="G9" s="303">
        <v>2</v>
      </c>
      <c r="H9" s="11">
        <v>3</v>
      </c>
      <c r="I9" s="11">
        <v>4</v>
      </c>
      <c r="J9" s="11">
        <v>5</v>
      </c>
    </row>
    <row r="10" spans="1:10" ht="12.75">
      <c r="A10" s="118" t="s">
        <v>165</v>
      </c>
      <c r="B10" s="304">
        <f>SUM(B24,B33)</f>
        <v>1455956480</v>
      </c>
      <c r="C10" s="304">
        <f>SUM(C24,C33)</f>
        <v>0</v>
      </c>
      <c r="D10" s="305">
        <f>IF(ISERROR(C10/B10)," ",(C10/B10))</f>
        <v>0</v>
      </c>
      <c r="E10" s="304">
        <f>C10</f>
        <v>0</v>
      </c>
      <c r="F10" s="118" t="s">
        <v>165</v>
      </c>
      <c r="G10" s="306">
        <f>SUM(G24,G33)</f>
        <v>1455956</v>
      </c>
      <c r="H10" s="306">
        <f>SUM(H24,H33)</f>
        <v>317796</v>
      </c>
      <c r="I10" s="26">
        <f>IF(ISERROR(H10/G10)," ",(H10/G10))*100</f>
        <v>21.827307968097937</v>
      </c>
      <c r="J10" s="306">
        <f>H10-'[9]Februaris'!H10</f>
        <v>105374</v>
      </c>
    </row>
    <row r="11" spans="1:10" ht="12.75" customHeight="1">
      <c r="A11" s="40" t="s">
        <v>166</v>
      </c>
      <c r="B11" s="304">
        <f>SUM(B12,B20,B21,B22)</f>
        <v>795383031</v>
      </c>
      <c r="C11" s="304">
        <f>SUM(C12,C20,C21)</f>
        <v>0</v>
      </c>
      <c r="D11" s="305">
        <f aca="true" t="shared" si="0" ref="D11:D74">IF(ISERROR(C11/B11)," ",(C11/B11))</f>
        <v>0</v>
      </c>
      <c r="E11" s="304">
        <f aca="true" t="shared" si="1" ref="E11:E75">C11</f>
        <v>0</v>
      </c>
      <c r="F11" s="40" t="s">
        <v>166</v>
      </c>
      <c r="G11" s="306">
        <f>SUM(G12,G20,G21,G22)</f>
        <v>795383</v>
      </c>
      <c r="H11" s="306">
        <f>SUM(H12,H20,H21,H22)</f>
        <v>168333</v>
      </c>
      <c r="I11" s="26">
        <f>IF(ISERROR(H11/G11)," ",(H11/G11))*100</f>
        <v>21.163766386759587</v>
      </c>
      <c r="J11" s="306">
        <f>H11-'[9]Februaris'!H11</f>
        <v>54247</v>
      </c>
    </row>
    <row r="12" spans="1:10" ht="12.75">
      <c r="A12" s="29" t="s">
        <v>167</v>
      </c>
      <c r="B12" s="307">
        <f>SUM(B13,B15,B19)</f>
        <v>611912797</v>
      </c>
      <c r="C12" s="307">
        <f>SUM(C13,C15,C19)</f>
        <v>0</v>
      </c>
      <c r="D12" s="308">
        <f t="shared" si="0"/>
        <v>0</v>
      </c>
      <c r="E12" s="304">
        <f t="shared" si="1"/>
        <v>0</v>
      </c>
      <c r="F12" s="29" t="s">
        <v>167</v>
      </c>
      <c r="G12" s="309">
        <f>SUM(G13,G15,G19)</f>
        <v>611913</v>
      </c>
      <c r="H12" s="309">
        <f>SUM(H13,H15,H19)</f>
        <v>134492</v>
      </c>
      <c r="I12" s="310">
        <f>IF(ISERROR(H12/G12)," ",(H12/G12))*100</f>
        <v>21.97894145082716</v>
      </c>
      <c r="J12" s="309">
        <f>H12-'[9]Februaris'!H12</f>
        <v>44584</v>
      </c>
    </row>
    <row r="13" spans="1:10" ht="12.75">
      <c r="A13" s="311" t="s">
        <v>168</v>
      </c>
      <c r="B13" s="307">
        <f>SUM(B14)</f>
        <v>98046000</v>
      </c>
      <c r="C13" s="307">
        <f>SUM(C14)</f>
        <v>0</v>
      </c>
      <c r="D13" s="308">
        <f t="shared" si="0"/>
        <v>0</v>
      </c>
      <c r="E13" s="304">
        <f t="shared" si="1"/>
        <v>0</v>
      </c>
      <c r="F13" s="311" t="s">
        <v>168</v>
      </c>
      <c r="G13" s="307">
        <f>SUM(G14)</f>
        <v>98046</v>
      </c>
      <c r="H13" s="307">
        <f>SUM(H14)</f>
        <v>23161</v>
      </c>
      <c r="I13" s="310">
        <f>IF(ISERROR(H13/G13)," ",(H13/G13))*100</f>
        <v>23.622585317096057</v>
      </c>
      <c r="J13" s="307">
        <f>H13-'[9]Februaris'!H13</f>
        <v>9657</v>
      </c>
    </row>
    <row r="14" spans="1:10" ht="12.75">
      <c r="A14" s="32" t="s">
        <v>169</v>
      </c>
      <c r="B14" s="307">
        <v>98046000</v>
      </c>
      <c r="C14" s="307"/>
      <c r="D14" s="308">
        <f t="shared" si="0"/>
        <v>0</v>
      </c>
      <c r="E14" s="304">
        <f t="shared" si="1"/>
        <v>0</v>
      </c>
      <c r="F14" s="32" t="s">
        <v>169</v>
      </c>
      <c r="G14" s="309">
        <f>ROUND(B14/1000,0)</f>
        <v>98046</v>
      </c>
      <c r="H14" s="309">
        <v>23161</v>
      </c>
      <c r="I14" s="310">
        <f>IF(ISERROR(H14/G14)," ",(H14/G14))*100</f>
        <v>23.622585317096057</v>
      </c>
      <c r="J14" s="309">
        <f>H14-'[9]Februaris'!H14</f>
        <v>9657</v>
      </c>
    </row>
    <row r="15" spans="1:10" ht="12.75">
      <c r="A15" s="311" t="s">
        <v>170</v>
      </c>
      <c r="B15" s="307">
        <f>SUM(B16:B18)</f>
        <v>513866797</v>
      </c>
      <c r="C15" s="307">
        <f>SUM(C16:C18)</f>
        <v>0</v>
      </c>
      <c r="D15" s="308">
        <f t="shared" si="0"/>
        <v>0</v>
      </c>
      <c r="E15" s="304">
        <f t="shared" si="1"/>
        <v>0</v>
      </c>
      <c r="F15" s="311" t="s">
        <v>170</v>
      </c>
      <c r="G15" s="307">
        <f>SUM(G16:G18)</f>
        <v>513867</v>
      </c>
      <c r="H15" s="307">
        <f>SUM(H16:H18)</f>
        <v>107947</v>
      </c>
      <c r="I15" s="310">
        <f aca="true" t="shared" si="2" ref="I15:I78">IF(ISERROR(H15/G15)," ",(H15/G15))*100</f>
        <v>21.00679747872504</v>
      </c>
      <c r="J15" s="307">
        <f>H15-'[9]Februaris'!H15</f>
        <v>35038</v>
      </c>
    </row>
    <row r="16" spans="1:10" ht="12.75" customHeight="1">
      <c r="A16" s="312" t="s">
        <v>171</v>
      </c>
      <c r="B16" s="307">
        <v>368947657</v>
      </c>
      <c r="C16" s="307"/>
      <c r="D16" s="308">
        <f t="shared" si="0"/>
        <v>0</v>
      </c>
      <c r="E16" s="304">
        <f t="shared" si="1"/>
        <v>0</v>
      </c>
      <c r="F16" s="312" t="s">
        <v>171</v>
      </c>
      <c r="G16" s="309">
        <f aca="true" t="shared" si="3" ref="G16:G23">ROUND(B16/1000,0)</f>
        <v>368948</v>
      </c>
      <c r="H16" s="309">
        <v>78166</v>
      </c>
      <c r="I16" s="310">
        <f t="shared" si="2"/>
        <v>21.186183418801566</v>
      </c>
      <c r="J16" s="309">
        <f>H16-'[9]Februaris'!H16</f>
        <v>26098</v>
      </c>
    </row>
    <row r="17" spans="1:10" ht="12.75">
      <c r="A17" s="32" t="s">
        <v>172</v>
      </c>
      <c r="B17" s="307">
        <v>132976140</v>
      </c>
      <c r="C17" s="307"/>
      <c r="D17" s="308">
        <f t="shared" si="0"/>
        <v>0</v>
      </c>
      <c r="E17" s="304">
        <f t="shared" si="1"/>
        <v>0</v>
      </c>
      <c r="F17" s="32" t="s">
        <v>172</v>
      </c>
      <c r="G17" s="309">
        <f t="shared" si="3"/>
        <v>132976</v>
      </c>
      <c r="H17" s="309">
        <v>26508</v>
      </c>
      <c r="I17" s="310">
        <f t="shared" si="2"/>
        <v>19.934424257008786</v>
      </c>
      <c r="J17" s="309">
        <f>H17-'[9]Februaris'!H17</f>
        <v>7721</v>
      </c>
    </row>
    <row r="18" spans="1:10" ht="12.75">
      <c r="A18" s="32" t="s">
        <v>173</v>
      </c>
      <c r="B18" s="307">
        <v>11943000</v>
      </c>
      <c r="C18" s="307"/>
      <c r="D18" s="308">
        <f t="shared" si="0"/>
        <v>0</v>
      </c>
      <c r="E18" s="304">
        <f t="shared" si="1"/>
        <v>0</v>
      </c>
      <c r="F18" s="32" t="s">
        <v>173</v>
      </c>
      <c r="G18" s="309">
        <f t="shared" si="3"/>
        <v>11943</v>
      </c>
      <c r="H18" s="309">
        <v>3273</v>
      </c>
      <c r="I18" s="310">
        <f t="shared" si="2"/>
        <v>27.405174579251444</v>
      </c>
      <c r="J18" s="309">
        <f>H18-'[9]Februaris'!H18</f>
        <v>1219</v>
      </c>
    </row>
    <row r="19" spans="1:10" ht="12.75">
      <c r="A19" s="311" t="s">
        <v>174</v>
      </c>
      <c r="B19" s="307"/>
      <c r="C19" s="307"/>
      <c r="D19" s="308" t="str">
        <f t="shared" si="0"/>
        <v> </v>
      </c>
      <c r="E19" s="304">
        <f t="shared" si="1"/>
        <v>0</v>
      </c>
      <c r="F19" s="311" t="s">
        <v>174</v>
      </c>
      <c r="G19" s="313" t="s">
        <v>848</v>
      </c>
      <c r="H19" s="307">
        <v>3384</v>
      </c>
      <c r="I19" s="310"/>
      <c r="J19" s="307">
        <f>H19-'[9]Februaris'!H19</f>
        <v>-111</v>
      </c>
    </row>
    <row r="20" spans="1:10" ht="12.75">
      <c r="A20" s="29" t="s">
        <v>175</v>
      </c>
      <c r="B20" s="307">
        <v>66652153</v>
      </c>
      <c r="C20" s="307"/>
      <c r="D20" s="308">
        <f t="shared" si="0"/>
        <v>0</v>
      </c>
      <c r="E20" s="304">
        <f t="shared" si="1"/>
        <v>0</v>
      </c>
      <c r="F20" s="29" t="s">
        <v>175</v>
      </c>
      <c r="G20" s="309">
        <f t="shared" si="3"/>
        <v>66652</v>
      </c>
      <c r="H20" s="309">
        <v>15574</v>
      </c>
      <c r="I20" s="310">
        <f t="shared" si="2"/>
        <v>23.3661405509212</v>
      </c>
      <c r="J20" s="309">
        <f>H20-'[9]Februaris'!H20</f>
        <v>4715</v>
      </c>
    </row>
    <row r="21" spans="1:10" ht="12.75" customHeight="1">
      <c r="A21" s="101" t="s">
        <v>176</v>
      </c>
      <c r="B21" s="307">
        <v>60659270</v>
      </c>
      <c r="C21" s="307"/>
      <c r="D21" s="308">
        <f t="shared" si="0"/>
        <v>0</v>
      </c>
      <c r="E21" s="304">
        <f t="shared" si="1"/>
        <v>0</v>
      </c>
      <c r="F21" s="101" t="s">
        <v>176</v>
      </c>
      <c r="G21" s="309">
        <f t="shared" si="3"/>
        <v>60659</v>
      </c>
      <c r="H21" s="309">
        <v>15301</v>
      </c>
      <c r="I21" s="310">
        <f t="shared" si="2"/>
        <v>25.224616297663992</v>
      </c>
      <c r="J21" s="309">
        <f>H21-'[9]Februaris'!H21</f>
        <v>4828</v>
      </c>
    </row>
    <row r="22" spans="1:10" ht="12" customHeight="1">
      <c r="A22" s="101" t="s">
        <v>177</v>
      </c>
      <c r="B22" s="307">
        <f>45600095+10558716</f>
        <v>56158811</v>
      </c>
      <c r="C22" s="307"/>
      <c r="D22" s="308"/>
      <c r="E22" s="304"/>
      <c r="F22" s="101" t="s">
        <v>178</v>
      </c>
      <c r="G22" s="309">
        <f t="shared" si="3"/>
        <v>56159</v>
      </c>
      <c r="H22" s="309">
        <v>2966</v>
      </c>
      <c r="I22" s="310">
        <f t="shared" si="2"/>
        <v>5.281433073950747</v>
      </c>
      <c r="J22" s="309">
        <f>H22-'[9]Februaris'!H22</f>
        <v>120</v>
      </c>
    </row>
    <row r="23" spans="1:10" ht="12.75" customHeight="1">
      <c r="A23" s="314" t="s">
        <v>179</v>
      </c>
      <c r="B23" s="307">
        <v>1201200</v>
      </c>
      <c r="C23" s="307"/>
      <c r="D23" s="308">
        <f t="shared" si="0"/>
        <v>0</v>
      </c>
      <c r="E23" s="304">
        <f t="shared" si="1"/>
        <v>0</v>
      </c>
      <c r="F23" s="314" t="s">
        <v>179</v>
      </c>
      <c r="G23" s="315">
        <f t="shared" si="3"/>
        <v>1201</v>
      </c>
      <c r="H23" s="316">
        <v>300</v>
      </c>
      <c r="I23" s="317">
        <f t="shared" si="2"/>
        <v>24.979184013322232</v>
      </c>
      <c r="J23" s="316">
        <f>H23-'[9]Februaris'!H23</f>
        <v>100</v>
      </c>
    </row>
    <row r="24" spans="1:10" ht="12.75" customHeight="1">
      <c r="A24" s="40" t="s">
        <v>180</v>
      </c>
      <c r="B24" s="304">
        <f>SUM(B11-B23)</f>
        <v>794181831</v>
      </c>
      <c r="C24" s="304">
        <f>SUM(C11-C23)</f>
        <v>0</v>
      </c>
      <c r="D24" s="305">
        <f t="shared" si="0"/>
        <v>0</v>
      </c>
      <c r="E24" s="304">
        <f t="shared" si="1"/>
        <v>0</v>
      </c>
      <c r="F24" s="40" t="s">
        <v>180</v>
      </c>
      <c r="G24" s="306">
        <f>SUM(G11-G23)</f>
        <v>794182</v>
      </c>
      <c r="H24" s="306">
        <f>SUM(H11-H23)</f>
        <v>168033</v>
      </c>
      <c r="I24" s="26">
        <f t="shared" si="2"/>
        <v>21.1579965297627</v>
      </c>
      <c r="J24" s="306">
        <f>H24-'[9]Februaris'!H24</f>
        <v>54147</v>
      </c>
    </row>
    <row r="25" spans="1:10" ht="12.75">
      <c r="A25" s="31" t="s">
        <v>181</v>
      </c>
      <c r="B25" s="304">
        <f>SUM(B26)</f>
        <v>725518701</v>
      </c>
      <c r="C25" s="304">
        <f>SUM(C26)</f>
        <v>0</v>
      </c>
      <c r="D25" s="305">
        <f t="shared" si="0"/>
        <v>0</v>
      </c>
      <c r="E25" s="304">
        <f t="shared" si="1"/>
        <v>0</v>
      </c>
      <c r="F25" s="31" t="s">
        <v>181</v>
      </c>
      <c r="G25" s="306">
        <f>SUM(G26)</f>
        <v>725518</v>
      </c>
      <c r="H25" s="306">
        <f>SUM(H26)</f>
        <v>164186</v>
      </c>
      <c r="I25" s="26">
        <f t="shared" si="2"/>
        <v>22.63017595704035</v>
      </c>
      <c r="J25" s="306">
        <f>H25-'[9]Februaris'!H25</f>
        <v>55812</v>
      </c>
    </row>
    <row r="26" spans="1:10" ht="12.75">
      <c r="A26" s="29" t="s">
        <v>182</v>
      </c>
      <c r="B26" s="307">
        <f>SUM(B27:B31)</f>
        <v>725518701</v>
      </c>
      <c r="C26" s="307">
        <f>SUM(C27:C31)</f>
        <v>0</v>
      </c>
      <c r="D26" s="308">
        <f t="shared" si="0"/>
        <v>0</v>
      </c>
      <c r="E26" s="304">
        <f t="shared" si="1"/>
        <v>0</v>
      </c>
      <c r="F26" s="29" t="s">
        <v>182</v>
      </c>
      <c r="G26" s="309">
        <f>SUM(G27:G31)</f>
        <v>725518</v>
      </c>
      <c r="H26" s="309">
        <f>SUM(H27:H31)</f>
        <v>164186</v>
      </c>
      <c r="I26" s="310">
        <f t="shared" si="2"/>
        <v>22.63017595704035</v>
      </c>
      <c r="J26" s="309">
        <f>H26-'[9]Februaris'!H26</f>
        <v>55812</v>
      </c>
    </row>
    <row r="27" spans="1:10" ht="12.75">
      <c r="A27" s="32" t="s">
        <v>183</v>
      </c>
      <c r="B27" s="307">
        <v>495585390</v>
      </c>
      <c r="C27" s="307"/>
      <c r="D27" s="308">
        <f t="shared" si="0"/>
        <v>0</v>
      </c>
      <c r="E27" s="304">
        <f t="shared" si="1"/>
        <v>0</v>
      </c>
      <c r="F27" s="32" t="s">
        <v>183</v>
      </c>
      <c r="G27" s="309">
        <f aca="true" t="shared" si="4" ref="G27:G32">ROUND(B27/1000,0)</f>
        <v>495585</v>
      </c>
      <c r="H27" s="309">
        <v>114217</v>
      </c>
      <c r="I27" s="310">
        <f t="shared" si="2"/>
        <v>23.046904163766055</v>
      </c>
      <c r="J27" s="309">
        <f>H27-'[9]Februaris'!H27</f>
        <v>39515</v>
      </c>
    </row>
    <row r="28" spans="1:10" ht="12.75">
      <c r="A28" s="32" t="s">
        <v>184</v>
      </c>
      <c r="B28" s="307">
        <v>51689860</v>
      </c>
      <c r="C28" s="307"/>
      <c r="D28" s="308">
        <f t="shared" si="0"/>
        <v>0</v>
      </c>
      <c r="E28" s="304">
        <f t="shared" si="1"/>
        <v>0</v>
      </c>
      <c r="F28" s="32" t="s">
        <v>184</v>
      </c>
      <c r="G28" s="309">
        <f t="shared" si="4"/>
        <v>51690</v>
      </c>
      <c r="H28" s="309">
        <f>9007+140+307+148</f>
        <v>9602</v>
      </c>
      <c r="I28" s="310">
        <f t="shared" si="2"/>
        <v>18.576126910427547</v>
      </c>
      <c r="J28" s="309">
        <f>H28-'[9]Februaris'!H28</f>
        <v>2959</v>
      </c>
    </row>
    <row r="29" spans="1:10" ht="12.75">
      <c r="A29" s="32" t="s">
        <v>185</v>
      </c>
      <c r="B29" s="307">
        <v>80619197</v>
      </c>
      <c r="C29" s="307"/>
      <c r="D29" s="308">
        <f t="shared" si="0"/>
        <v>0</v>
      </c>
      <c r="E29" s="304">
        <f t="shared" si="1"/>
        <v>0</v>
      </c>
      <c r="F29" s="32" t="s">
        <v>185</v>
      </c>
      <c r="G29" s="309">
        <f t="shared" si="4"/>
        <v>80619</v>
      </c>
      <c r="H29" s="309">
        <f>18161</f>
        <v>18161</v>
      </c>
      <c r="I29" s="310">
        <f t="shared" si="2"/>
        <v>22.526947741847454</v>
      </c>
      <c r="J29" s="309">
        <f>H29-'[9]Februaris'!H29</f>
        <v>6471</v>
      </c>
    </row>
    <row r="30" spans="1:10" ht="12.75">
      <c r="A30" s="32" t="s">
        <v>186</v>
      </c>
      <c r="B30" s="307">
        <f>1678188+926917</f>
        <v>2605105</v>
      </c>
      <c r="C30" s="307"/>
      <c r="D30" s="308">
        <f t="shared" si="0"/>
        <v>0</v>
      </c>
      <c r="E30" s="304">
        <f t="shared" si="1"/>
        <v>0</v>
      </c>
      <c r="F30" s="32" t="s">
        <v>187</v>
      </c>
      <c r="G30" s="309">
        <f t="shared" si="4"/>
        <v>2605</v>
      </c>
      <c r="H30" s="309">
        <f>576</f>
        <v>576</v>
      </c>
      <c r="I30" s="310">
        <f t="shared" si="2"/>
        <v>22.111324376199615</v>
      </c>
      <c r="J30" s="309">
        <f>H30-'[9]Februaris'!H30</f>
        <v>56</v>
      </c>
    </row>
    <row r="31" spans="1:10" ht="12.75">
      <c r="A31" s="32" t="s">
        <v>188</v>
      </c>
      <c r="B31" s="307">
        <v>95019149</v>
      </c>
      <c r="C31" s="307"/>
      <c r="D31" s="308">
        <f t="shared" si="0"/>
        <v>0</v>
      </c>
      <c r="E31" s="304">
        <f t="shared" si="1"/>
        <v>0</v>
      </c>
      <c r="F31" s="32" t="s">
        <v>188</v>
      </c>
      <c r="G31" s="309">
        <f t="shared" si="4"/>
        <v>95019</v>
      </c>
      <c r="H31" s="309">
        <v>21630</v>
      </c>
      <c r="I31" s="310">
        <f t="shared" si="2"/>
        <v>22.763868278975785</v>
      </c>
      <c r="J31" s="309">
        <f>H31-'[9]Februaris'!H31</f>
        <v>6811</v>
      </c>
    </row>
    <row r="32" spans="1:10" ht="12.75">
      <c r="A32" s="318" t="s">
        <v>189</v>
      </c>
      <c r="B32" s="307">
        <v>63744052</v>
      </c>
      <c r="C32" s="307"/>
      <c r="D32" s="308">
        <f t="shared" si="0"/>
        <v>0</v>
      </c>
      <c r="E32" s="304">
        <f t="shared" si="1"/>
        <v>0</v>
      </c>
      <c r="F32" s="318" t="s">
        <v>189</v>
      </c>
      <c r="G32" s="315">
        <f t="shared" si="4"/>
        <v>63744</v>
      </c>
      <c r="H32" s="315">
        <f>654+304+12055+1410</f>
        <v>14423</v>
      </c>
      <c r="I32" s="317">
        <f t="shared" si="2"/>
        <v>22.62644327309237</v>
      </c>
      <c r="J32" s="315">
        <f>H32-'[9]Februaris'!H32</f>
        <v>4585</v>
      </c>
    </row>
    <row r="33" spans="1:10" ht="12.75" customHeight="1">
      <c r="A33" s="40" t="s">
        <v>190</v>
      </c>
      <c r="B33" s="304">
        <f>SUM(B25-B32)</f>
        <v>661774649</v>
      </c>
      <c r="C33" s="304">
        <f>SUM(C25-C32)</f>
        <v>0</v>
      </c>
      <c r="D33" s="305">
        <f t="shared" si="0"/>
        <v>0</v>
      </c>
      <c r="E33" s="304">
        <f t="shared" si="1"/>
        <v>0</v>
      </c>
      <c r="F33" s="40" t="s">
        <v>190</v>
      </c>
      <c r="G33" s="306">
        <f>SUM(G25-G32)</f>
        <v>661774</v>
      </c>
      <c r="H33" s="306">
        <f>SUM(H25-H32)</f>
        <v>149763</v>
      </c>
      <c r="I33" s="26">
        <f t="shared" si="2"/>
        <v>22.630535500034753</v>
      </c>
      <c r="J33" s="306">
        <f>H33-'[9]Februaris'!H33</f>
        <v>51227</v>
      </c>
    </row>
    <row r="34" spans="1:10" ht="15" customHeight="1">
      <c r="A34" s="117" t="s">
        <v>191</v>
      </c>
      <c r="B34" s="304">
        <f>SUM(B35:B37)</f>
        <v>1522764836</v>
      </c>
      <c r="C34" s="304">
        <f>SUM(C35:C37)</f>
        <v>0</v>
      </c>
      <c r="D34" s="305">
        <f t="shared" si="0"/>
        <v>0</v>
      </c>
      <c r="E34" s="304">
        <f t="shared" si="1"/>
        <v>0</v>
      </c>
      <c r="F34" s="117" t="s">
        <v>191</v>
      </c>
      <c r="G34" s="306">
        <f>SUM(G35:G37)</f>
        <v>1522764</v>
      </c>
      <c r="H34" s="306">
        <f>SUM(H35:H37)</f>
        <v>331732</v>
      </c>
      <c r="I34" s="26">
        <f t="shared" si="2"/>
        <v>21.784859636818314</v>
      </c>
      <c r="J34" s="306">
        <f>H34-'[9]Februaris'!H34</f>
        <v>111914</v>
      </c>
    </row>
    <row r="35" spans="1:10" ht="38.25">
      <c r="A35" s="117" t="s">
        <v>192</v>
      </c>
      <c r="B35" s="304">
        <f>SUM(B52+B69)</f>
        <v>1411058420</v>
      </c>
      <c r="C35" s="304">
        <f>SUM(C52+C69)</f>
        <v>0</v>
      </c>
      <c r="D35" s="305">
        <f t="shared" si="0"/>
        <v>0</v>
      </c>
      <c r="E35" s="304">
        <f t="shared" si="1"/>
        <v>0</v>
      </c>
      <c r="F35" s="117" t="s">
        <v>192</v>
      </c>
      <c r="G35" s="306">
        <f>SUM(G52+G69)</f>
        <v>1411058</v>
      </c>
      <c r="H35" s="306">
        <f>SUM(H52+H69)</f>
        <v>318400</v>
      </c>
      <c r="I35" s="26">
        <f t="shared" si="2"/>
        <v>22.56462881043869</v>
      </c>
      <c r="J35" s="306">
        <f>H35-'[9]Februaris'!H35</f>
        <v>107489</v>
      </c>
    </row>
    <row r="36" spans="1:10" ht="25.5">
      <c r="A36" s="117" t="s">
        <v>193</v>
      </c>
      <c r="B36" s="304">
        <f>SUM(B54+B71)</f>
        <v>37213049</v>
      </c>
      <c r="C36" s="304">
        <f>SUM(C54+C71)</f>
        <v>0</v>
      </c>
      <c r="D36" s="305">
        <f t="shared" si="0"/>
        <v>0</v>
      </c>
      <c r="E36" s="304">
        <f t="shared" si="1"/>
        <v>0</v>
      </c>
      <c r="F36" s="117" t="s">
        <v>193</v>
      </c>
      <c r="G36" s="306">
        <f>SUM(G54+G71)</f>
        <v>37213</v>
      </c>
      <c r="H36" s="306">
        <f>SUM(H54+H71)</f>
        <v>6785</v>
      </c>
      <c r="I36" s="26">
        <f t="shared" si="2"/>
        <v>18.232875607986458</v>
      </c>
      <c r="J36" s="306">
        <f>H36-'[9]Februaris'!H36</f>
        <v>1508</v>
      </c>
    </row>
    <row r="37" spans="1:10" ht="38.25">
      <c r="A37" s="117" t="s">
        <v>194</v>
      </c>
      <c r="B37" s="304">
        <f>SUM(B57+B73)</f>
        <v>74493367</v>
      </c>
      <c r="C37" s="304">
        <f>SUM(C57+C73)</f>
        <v>0</v>
      </c>
      <c r="D37" s="305">
        <f t="shared" si="0"/>
        <v>0</v>
      </c>
      <c r="E37" s="304">
        <f t="shared" si="1"/>
        <v>0</v>
      </c>
      <c r="F37" s="117" t="s">
        <v>194</v>
      </c>
      <c r="G37" s="306">
        <f>SUM(G57+G73)</f>
        <v>74493</v>
      </c>
      <c r="H37" s="306">
        <f>SUM(H57+H73)</f>
        <v>6547</v>
      </c>
      <c r="I37" s="26">
        <f t="shared" si="2"/>
        <v>8.78874525123166</v>
      </c>
      <c r="J37" s="306">
        <f>H37-'[9]Februaris'!H37</f>
        <v>2917</v>
      </c>
    </row>
    <row r="38" spans="1:10" ht="26.25" customHeight="1">
      <c r="A38" s="117" t="s">
        <v>195</v>
      </c>
      <c r="B38" s="304">
        <f>SUM(B10-B34)</f>
        <v>-66808356</v>
      </c>
      <c r="C38" s="304">
        <f>SUM(C10-C34)</f>
        <v>0</v>
      </c>
      <c r="D38" s="305">
        <f t="shared" si="0"/>
        <v>0</v>
      </c>
      <c r="E38" s="304">
        <f t="shared" si="1"/>
        <v>0</v>
      </c>
      <c r="F38" s="117" t="s">
        <v>195</v>
      </c>
      <c r="G38" s="306">
        <f>SUM(G10-G34)</f>
        <v>-66808</v>
      </c>
      <c r="H38" s="306">
        <f>SUM(H10-H34)</f>
        <v>-13936</v>
      </c>
      <c r="I38" s="26">
        <f t="shared" si="2"/>
        <v>20.85977727218297</v>
      </c>
      <c r="J38" s="306">
        <f>H38-'[9]Februaris'!H38</f>
        <v>-6540</v>
      </c>
    </row>
    <row r="39" spans="1:10" ht="15" customHeight="1">
      <c r="A39" s="117" t="s">
        <v>196</v>
      </c>
      <c r="B39" s="304">
        <f>SUM(B59+B75)</f>
        <v>12372983</v>
      </c>
      <c r="C39" s="304">
        <f>SUM(C59+C75)</f>
        <v>0</v>
      </c>
      <c r="D39" s="305">
        <f t="shared" si="0"/>
        <v>0</v>
      </c>
      <c r="E39" s="304">
        <f t="shared" si="1"/>
        <v>0</v>
      </c>
      <c r="F39" s="117" t="s">
        <v>196</v>
      </c>
      <c r="G39" s="306">
        <f>SUM(G59+G75)</f>
        <v>12373</v>
      </c>
      <c r="H39" s="306">
        <f>SUM(H59+H75)</f>
        <v>753</v>
      </c>
      <c r="I39" s="26">
        <f t="shared" si="2"/>
        <v>6.085832053665239</v>
      </c>
      <c r="J39" s="306">
        <f>H39-'[9]Februaris'!H39</f>
        <v>634</v>
      </c>
    </row>
    <row r="40" spans="1:10" ht="27" customHeight="1">
      <c r="A40" s="117" t="s">
        <v>197</v>
      </c>
      <c r="B40" s="304">
        <f>SUM(B34+B39)</f>
        <v>1535137819</v>
      </c>
      <c r="C40" s="304">
        <f>SUM(C34+C39)</f>
        <v>0</v>
      </c>
      <c r="D40" s="305">
        <f t="shared" si="0"/>
        <v>0</v>
      </c>
      <c r="E40" s="304">
        <f t="shared" si="1"/>
        <v>0</v>
      </c>
      <c r="F40" s="117" t="s">
        <v>197</v>
      </c>
      <c r="G40" s="306">
        <f>SUM(G34+G39)</f>
        <v>1535137</v>
      </c>
      <c r="H40" s="306">
        <f>SUM(H34+H39)</f>
        <v>332485</v>
      </c>
      <c r="I40" s="26">
        <f t="shared" si="2"/>
        <v>21.65832756294715</v>
      </c>
      <c r="J40" s="306">
        <f>H40-'[9]Februaris'!H40</f>
        <v>112548</v>
      </c>
    </row>
    <row r="41" spans="1:10" ht="25.5">
      <c r="A41" s="117" t="s">
        <v>198</v>
      </c>
      <c r="B41" s="304">
        <f>IF((B38-B39=B10-B40)=TRUE,B38-B39,9)</f>
        <v>-79181339</v>
      </c>
      <c r="C41" s="306">
        <f>C38-C39</f>
        <v>0</v>
      </c>
      <c r="D41" s="305">
        <f t="shared" si="0"/>
        <v>0</v>
      </c>
      <c r="E41" s="304">
        <f t="shared" si="1"/>
        <v>0</v>
      </c>
      <c r="F41" s="117" t="s">
        <v>198</v>
      </c>
      <c r="G41" s="306">
        <f>IF((G38-G39=G10-G40)=TRUE,G38-G39,9)</f>
        <v>-79181</v>
      </c>
      <c r="H41" s="306">
        <f>IF((H38-H39=H10-H40)=TRUE,H38-H39,9)</f>
        <v>-14689</v>
      </c>
      <c r="I41" s="26">
        <f t="shared" si="2"/>
        <v>18.551167578080598</v>
      </c>
      <c r="J41" s="306">
        <f>H41-'[9]Februaris'!H41</f>
        <v>-7174</v>
      </c>
    </row>
    <row r="42" spans="1:10" ht="12.75">
      <c r="A42" s="117"/>
      <c r="B42" s="304"/>
      <c r="C42" s="306"/>
      <c r="D42" s="305"/>
      <c r="E42" s="304"/>
      <c r="F42" s="181" t="s">
        <v>199</v>
      </c>
      <c r="G42" s="306"/>
      <c r="H42" s="306"/>
      <c r="I42" s="26"/>
      <c r="J42" s="306">
        <f>H42-'[9]Februaris'!H42</f>
        <v>0</v>
      </c>
    </row>
    <row r="43" spans="1:10" ht="25.5">
      <c r="A43" s="117"/>
      <c r="B43" s="304"/>
      <c r="C43" s="306"/>
      <c r="D43" s="305"/>
      <c r="E43" s="304"/>
      <c r="F43" s="181" t="s">
        <v>200</v>
      </c>
      <c r="G43" s="319">
        <v>15000</v>
      </c>
      <c r="H43" s="319">
        <v>3268</v>
      </c>
      <c r="I43" s="320">
        <f t="shared" si="2"/>
        <v>21.786666666666665</v>
      </c>
      <c r="J43" s="319">
        <f>H43-'[9]Februaris'!H43</f>
        <v>3268</v>
      </c>
    </row>
    <row r="44" spans="1:10" ht="12.75">
      <c r="A44" s="117"/>
      <c r="B44" s="304"/>
      <c r="C44" s="306"/>
      <c r="D44" s="305"/>
      <c r="E44" s="304"/>
      <c r="F44" s="181" t="s">
        <v>201</v>
      </c>
      <c r="G44" s="319">
        <v>300</v>
      </c>
      <c r="H44" s="319">
        <v>295</v>
      </c>
      <c r="I44" s="320">
        <f t="shared" si="2"/>
        <v>98.33333333333333</v>
      </c>
      <c r="J44" s="319">
        <f>H44-'[9]Februaris'!H44</f>
        <v>35</v>
      </c>
    </row>
    <row r="45" spans="1:10" ht="12.75">
      <c r="A45" s="117"/>
      <c r="B45" s="304"/>
      <c r="C45" s="306"/>
      <c r="D45" s="305"/>
      <c r="E45" s="304"/>
      <c r="F45" s="181" t="s">
        <v>202</v>
      </c>
      <c r="G45" s="319">
        <v>63881</v>
      </c>
      <c r="H45" s="319">
        <v>45791</v>
      </c>
      <c r="I45" s="320">
        <f t="shared" si="2"/>
        <v>71.6817206994255</v>
      </c>
      <c r="J45" s="319">
        <f>H45-'[9]Februaris'!H45</f>
        <v>-3018</v>
      </c>
    </row>
    <row r="46" spans="1:10" ht="12.75">
      <c r="A46" s="117"/>
      <c r="B46" s="304"/>
      <c r="C46" s="306"/>
      <c r="D46" s="305"/>
      <c r="E46" s="304"/>
      <c r="F46" s="181" t="s">
        <v>203</v>
      </c>
      <c r="G46" s="321" t="s">
        <v>848</v>
      </c>
      <c r="H46" s="319">
        <v>-34665</v>
      </c>
      <c r="I46" s="319"/>
      <c r="J46" s="319">
        <f>H46-'[9]Februaris'!H46</f>
        <v>6889</v>
      </c>
    </row>
    <row r="47" spans="1:10" ht="12.75">
      <c r="A47" s="40" t="s">
        <v>204</v>
      </c>
      <c r="B47" s="304">
        <f>B50+B53+B55</f>
        <v>822563488</v>
      </c>
      <c r="C47" s="304">
        <f>C50+C53+C55</f>
        <v>0</v>
      </c>
      <c r="D47" s="305">
        <f t="shared" si="0"/>
        <v>0</v>
      </c>
      <c r="E47" s="304">
        <f t="shared" si="1"/>
        <v>0</v>
      </c>
      <c r="F47" s="40" t="s">
        <v>204</v>
      </c>
      <c r="G47" s="306">
        <f>G50+G53+G55</f>
        <v>822563</v>
      </c>
      <c r="H47" s="306">
        <f>H50+H53+H55</f>
        <v>174285</v>
      </c>
      <c r="I47" s="26">
        <f t="shared" si="2"/>
        <v>21.188042739583473</v>
      </c>
      <c r="J47" s="306">
        <f>H47-'[9]Februaris'!H47</f>
        <v>62258</v>
      </c>
    </row>
    <row r="48" spans="1:10" ht="12.75">
      <c r="A48" s="322" t="s">
        <v>205</v>
      </c>
      <c r="B48" s="307">
        <f>B51+B56</f>
        <v>63744052</v>
      </c>
      <c r="C48" s="307">
        <f>C51+C56</f>
        <v>0</v>
      </c>
      <c r="D48" s="308">
        <f t="shared" si="0"/>
        <v>0</v>
      </c>
      <c r="E48" s="304">
        <f t="shared" si="1"/>
        <v>0</v>
      </c>
      <c r="F48" s="322" t="s">
        <v>205</v>
      </c>
      <c r="G48" s="315">
        <f>G51+G56</f>
        <v>63744</v>
      </c>
      <c r="H48" s="315">
        <f>H51+H56</f>
        <v>14423</v>
      </c>
      <c r="I48" s="317">
        <f t="shared" si="2"/>
        <v>22.62644327309237</v>
      </c>
      <c r="J48" s="315">
        <f>H48-'[9]Februaris'!H48</f>
        <v>4585</v>
      </c>
    </row>
    <row r="49" spans="1:10" ht="13.5" customHeight="1">
      <c r="A49" s="40" t="s">
        <v>206</v>
      </c>
      <c r="B49" s="304">
        <f>SUM(B47-B48)</f>
        <v>758819436</v>
      </c>
      <c r="C49" s="304">
        <f>SUM(C47-C48)</f>
        <v>0</v>
      </c>
      <c r="D49" s="305">
        <f t="shared" si="0"/>
        <v>0</v>
      </c>
      <c r="E49" s="304">
        <f t="shared" si="1"/>
        <v>0</v>
      </c>
      <c r="F49" s="40" t="s">
        <v>206</v>
      </c>
      <c r="G49" s="306">
        <f>SUM(G47-G48)</f>
        <v>758819</v>
      </c>
      <c r="H49" s="306">
        <f>SUM(H47-H48)</f>
        <v>159862</v>
      </c>
      <c r="I49" s="26">
        <f t="shared" si="2"/>
        <v>21.067211021337105</v>
      </c>
      <c r="J49" s="306">
        <f>H49-'[9]Februaris'!H49</f>
        <v>57673</v>
      </c>
    </row>
    <row r="50" spans="1:10" ht="12.75">
      <c r="A50" s="29" t="s">
        <v>207</v>
      </c>
      <c r="B50" s="307">
        <f>736101793+7241586</f>
        <v>743343379</v>
      </c>
      <c r="C50" s="307"/>
      <c r="D50" s="308">
        <f t="shared" si="0"/>
        <v>0</v>
      </c>
      <c r="E50" s="304">
        <f t="shared" si="1"/>
        <v>0</v>
      </c>
      <c r="F50" s="29" t="s">
        <v>207</v>
      </c>
      <c r="G50" s="307">
        <f>ROUND(B50/1000,0)</f>
        <v>743343</v>
      </c>
      <c r="H50" s="307">
        <v>165471</v>
      </c>
      <c r="I50" s="310">
        <f t="shared" si="2"/>
        <v>22.260383160936474</v>
      </c>
      <c r="J50" s="307">
        <f>H50-'[9]Februaris'!H50</f>
        <v>58366</v>
      </c>
    </row>
    <row r="51" spans="1:10" ht="12.75">
      <c r="A51" s="318" t="s">
        <v>208</v>
      </c>
      <c r="B51" s="307">
        <v>62992652</v>
      </c>
      <c r="C51" s="307"/>
      <c r="D51" s="308">
        <f t="shared" si="0"/>
        <v>0</v>
      </c>
      <c r="E51" s="304">
        <f t="shared" si="1"/>
        <v>0</v>
      </c>
      <c r="F51" s="318" t="s">
        <v>208</v>
      </c>
      <c r="G51" s="315">
        <f>ROUND(B51/1000,0)</f>
        <v>62993</v>
      </c>
      <c r="H51" s="315">
        <v>14176</v>
      </c>
      <c r="I51" s="317">
        <f t="shared" si="2"/>
        <v>22.50408775578239</v>
      </c>
      <c r="J51" s="315">
        <f>H51-'[9]Februaris'!H51</f>
        <v>4510</v>
      </c>
    </row>
    <row r="52" spans="1:10" ht="13.5" customHeight="1">
      <c r="A52" s="40" t="s">
        <v>209</v>
      </c>
      <c r="B52" s="304">
        <f>SUM(B50-B51)</f>
        <v>680350727</v>
      </c>
      <c r="C52" s="304">
        <f>SUM(C50-C51)</f>
        <v>0</v>
      </c>
      <c r="D52" s="305">
        <f t="shared" si="0"/>
        <v>0</v>
      </c>
      <c r="E52" s="304">
        <f t="shared" si="1"/>
        <v>0</v>
      </c>
      <c r="F52" s="40" t="s">
        <v>209</v>
      </c>
      <c r="G52" s="306">
        <f>SUM(G50-G51)</f>
        <v>680350</v>
      </c>
      <c r="H52" s="306">
        <f>SUM(H50-H51)</f>
        <v>151295</v>
      </c>
      <c r="I52" s="26">
        <f t="shared" si="2"/>
        <v>22.237818769750863</v>
      </c>
      <c r="J52" s="306">
        <f>H52-'[9]Februaris'!H52</f>
        <v>53856</v>
      </c>
    </row>
    <row r="53" spans="1:10" ht="12.75">
      <c r="A53" s="29" t="s">
        <v>210</v>
      </c>
      <c r="B53" s="307">
        <f>22316983+2357780</f>
        <v>24674763</v>
      </c>
      <c r="C53" s="307"/>
      <c r="D53" s="308">
        <f t="shared" si="0"/>
        <v>0</v>
      </c>
      <c r="E53" s="304">
        <f t="shared" si="1"/>
        <v>0</v>
      </c>
      <c r="F53" s="29" t="s">
        <v>210</v>
      </c>
      <c r="G53" s="307">
        <f>ROUND(B53/1000,0)</f>
        <v>24675</v>
      </c>
      <c r="H53" s="307">
        <v>2960</v>
      </c>
      <c r="I53" s="310">
        <f t="shared" si="2"/>
        <v>11.995947315096252</v>
      </c>
      <c r="J53" s="307">
        <f>H53-'[9]Februaris'!H53</f>
        <v>1218</v>
      </c>
    </row>
    <row r="54" spans="1:10" ht="15" customHeight="1">
      <c r="A54" s="40" t="s">
        <v>211</v>
      </c>
      <c r="B54" s="304">
        <f>SUM(B53)</f>
        <v>24674763</v>
      </c>
      <c r="C54" s="304">
        <f>SUM(C53)</f>
        <v>0</v>
      </c>
      <c r="D54" s="305">
        <f t="shared" si="0"/>
        <v>0</v>
      </c>
      <c r="E54" s="304">
        <f t="shared" si="1"/>
        <v>0</v>
      </c>
      <c r="F54" s="40" t="s">
        <v>211</v>
      </c>
      <c r="G54" s="306">
        <f>SUM(G53)</f>
        <v>24675</v>
      </c>
      <c r="H54" s="306">
        <f>SUM(H53)</f>
        <v>2960</v>
      </c>
      <c r="I54" s="26">
        <f t="shared" si="2"/>
        <v>11.995947315096252</v>
      </c>
      <c r="J54" s="306">
        <f>H54-'[9]Februaris'!H54</f>
        <v>1218</v>
      </c>
    </row>
    <row r="55" spans="1:10" ht="12.75">
      <c r="A55" s="29" t="s">
        <v>212</v>
      </c>
      <c r="B55" s="307">
        <f>53585996+959350</f>
        <v>54545346</v>
      </c>
      <c r="C55" s="307"/>
      <c r="D55" s="308">
        <f t="shared" si="0"/>
        <v>0</v>
      </c>
      <c r="E55" s="304">
        <f t="shared" si="1"/>
        <v>0</v>
      </c>
      <c r="F55" s="29" t="s">
        <v>212</v>
      </c>
      <c r="G55" s="307">
        <f>ROUND(B55/1000,0)</f>
        <v>54545</v>
      </c>
      <c r="H55" s="307">
        <v>5854</v>
      </c>
      <c r="I55" s="310">
        <f t="shared" si="2"/>
        <v>10.732422770189752</v>
      </c>
      <c r="J55" s="307">
        <f>H55-'[9]Februaris'!H55</f>
        <v>2674</v>
      </c>
    </row>
    <row r="56" spans="1:10" ht="12.75">
      <c r="A56" s="318" t="s">
        <v>213</v>
      </c>
      <c r="B56" s="307">
        <v>751400</v>
      </c>
      <c r="C56" s="307"/>
      <c r="D56" s="308">
        <f t="shared" si="0"/>
        <v>0</v>
      </c>
      <c r="E56" s="304">
        <f t="shared" si="1"/>
        <v>0</v>
      </c>
      <c r="F56" s="318" t="s">
        <v>213</v>
      </c>
      <c r="G56" s="315">
        <f>ROUND(B56/1000,0)</f>
        <v>751</v>
      </c>
      <c r="H56" s="315">
        <v>247</v>
      </c>
      <c r="I56" s="317">
        <f t="shared" si="2"/>
        <v>32.889480692410125</v>
      </c>
      <c r="J56" s="315">
        <f>H56-'[9]Februaris'!H56</f>
        <v>75</v>
      </c>
    </row>
    <row r="57" spans="1:10" ht="14.25" customHeight="1">
      <c r="A57" s="40" t="s">
        <v>214</v>
      </c>
      <c r="B57" s="304">
        <f>SUM(B55-B56)</f>
        <v>53793946</v>
      </c>
      <c r="C57" s="304">
        <f>SUM(C55-C56)</f>
        <v>0</v>
      </c>
      <c r="D57" s="305">
        <f t="shared" si="0"/>
        <v>0</v>
      </c>
      <c r="E57" s="304">
        <f t="shared" si="1"/>
        <v>0</v>
      </c>
      <c r="F57" s="40" t="s">
        <v>214</v>
      </c>
      <c r="G57" s="306">
        <f>SUM(G55-G56)</f>
        <v>53794</v>
      </c>
      <c r="H57" s="306">
        <f>SUM(H55-H56)</f>
        <v>5607</v>
      </c>
      <c r="I57" s="26">
        <f t="shared" si="2"/>
        <v>10.423095512510688</v>
      </c>
      <c r="J57" s="306">
        <f>H57-'[9]Februaris'!H57</f>
        <v>2599</v>
      </c>
    </row>
    <row r="58" spans="1:10" ht="27" customHeight="1">
      <c r="A58" s="117" t="s">
        <v>215</v>
      </c>
      <c r="B58" s="304">
        <f>SUM(B11-B47)</f>
        <v>-27180457</v>
      </c>
      <c r="C58" s="304">
        <f>SUM(C11-C47)</f>
        <v>0</v>
      </c>
      <c r="D58" s="305">
        <f t="shared" si="0"/>
        <v>0</v>
      </c>
      <c r="E58" s="304">
        <f t="shared" si="1"/>
        <v>0</v>
      </c>
      <c r="F58" s="117" t="s">
        <v>215</v>
      </c>
      <c r="G58" s="306">
        <f>SUM(G11-G47)</f>
        <v>-27180</v>
      </c>
      <c r="H58" s="306">
        <f>SUM(H11-H47)</f>
        <v>-5952</v>
      </c>
      <c r="I58" s="26">
        <f t="shared" si="2"/>
        <v>21.898454746136867</v>
      </c>
      <c r="J58" s="306">
        <f>H58-'[9]Februaris'!H58</f>
        <v>-8011</v>
      </c>
    </row>
    <row r="59" spans="1:10" ht="14.25" customHeight="1">
      <c r="A59" s="40" t="s">
        <v>216</v>
      </c>
      <c r="B59" s="304">
        <f>B62</f>
        <v>5673780</v>
      </c>
      <c r="C59" s="304"/>
      <c r="D59" s="305">
        <f t="shared" si="0"/>
        <v>0</v>
      </c>
      <c r="E59" s="304">
        <f t="shared" si="1"/>
        <v>0</v>
      </c>
      <c r="F59" s="40" t="s">
        <v>216</v>
      </c>
      <c r="G59" s="306">
        <f>G62</f>
        <v>5674</v>
      </c>
      <c r="H59" s="306">
        <f>H62</f>
        <v>-1220</v>
      </c>
      <c r="I59" s="26">
        <f t="shared" si="2"/>
        <v>-21.50158618258724</v>
      </c>
      <c r="J59" s="306">
        <f>H59-'[9]Februaris'!H59</f>
        <v>-214</v>
      </c>
    </row>
    <row r="60" spans="1:10" ht="12.75">
      <c r="A60" s="29" t="s">
        <v>217</v>
      </c>
      <c r="B60" s="307">
        <v>48898920</v>
      </c>
      <c r="C60" s="307"/>
      <c r="D60" s="308">
        <f t="shared" si="0"/>
        <v>0</v>
      </c>
      <c r="E60" s="304">
        <f t="shared" si="1"/>
        <v>0</v>
      </c>
      <c r="F60" s="29" t="s">
        <v>218</v>
      </c>
      <c r="G60" s="309">
        <f>ROUND(B60/1000,0)</f>
        <v>48899</v>
      </c>
      <c r="H60" s="309">
        <v>12632</v>
      </c>
      <c r="I60" s="310">
        <f t="shared" si="2"/>
        <v>25.832839117364365</v>
      </c>
      <c r="J60" s="309">
        <f>H60-'[9]Februaris'!H60</f>
        <v>-958</v>
      </c>
    </row>
    <row r="61" spans="1:10" ht="12.75" customHeight="1">
      <c r="A61" s="318" t="s">
        <v>213</v>
      </c>
      <c r="B61" s="307">
        <v>43225140</v>
      </c>
      <c r="C61" s="307"/>
      <c r="D61" s="308">
        <f t="shared" si="0"/>
        <v>0</v>
      </c>
      <c r="E61" s="304">
        <f t="shared" si="1"/>
        <v>0</v>
      </c>
      <c r="F61" s="318" t="s">
        <v>213</v>
      </c>
      <c r="G61" s="315">
        <f>ROUND(B61/1000,0)</f>
        <v>43225</v>
      </c>
      <c r="H61" s="315">
        <v>13852</v>
      </c>
      <c r="I61" s="317">
        <f t="shared" si="2"/>
        <v>32.04626951995373</v>
      </c>
      <c r="J61" s="315">
        <f>H61-'[9]Februaris'!H61</f>
        <v>-744</v>
      </c>
    </row>
    <row r="62" spans="1:10" ht="12.75">
      <c r="A62" s="29" t="s">
        <v>219</v>
      </c>
      <c r="B62" s="307">
        <f>B60-B61</f>
        <v>5673780</v>
      </c>
      <c r="C62" s="307"/>
      <c r="D62" s="308">
        <f t="shared" si="0"/>
        <v>0</v>
      </c>
      <c r="E62" s="304">
        <f t="shared" si="1"/>
        <v>0</v>
      </c>
      <c r="F62" s="29" t="s">
        <v>219</v>
      </c>
      <c r="G62" s="309">
        <f>G60-G61</f>
        <v>5674</v>
      </c>
      <c r="H62" s="309">
        <f>SUM(H60-H61)</f>
        <v>-1220</v>
      </c>
      <c r="I62" s="310">
        <f t="shared" si="2"/>
        <v>-21.50158618258724</v>
      </c>
      <c r="J62" s="309">
        <f>H62-'[9]Februaris'!H62</f>
        <v>-214</v>
      </c>
    </row>
    <row r="63" spans="1:10" ht="26.25" customHeight="1">
      <c r="A63" s="117" t="s">
        <v>220</v>
      </c>
      <c r="B63" s="304">
        <f>B58-B60</f>
        <v>-76079377</v>
      </c>
      <c r="C63" s="304">
        <f>C58-C60</f>
        <v>0</v>
      </c>
      <c r="D63" s="305">
        <f t="shared" si="0"/>
        <v>0</v>
      </c>
      <c r="E63" s="304">
        <f t="shared" si="1"/>
        <v>0</v>
      </c>
      <c r="F63" s="117" t="s">
        <v>221</v>
      </c>
      <c r="G63" s="306">
        <f>G58-G60</f>
        <v>-76079</v>
      </c>
      <c r="H63" s="306">
        <f>H58-H60</f>
        <v>-18584</v>
      </c>
      <c r="I63" s="26">
        <f t="shared" si="2"/>
        <v>24.427240105679623</v>
      </c>
      <c r="J63" s="306">
        <f>H63-'[9]Februaris'!H63</f>
        <v>-7053</v>
      </c>
    </row>
    <row r="64" spans="1:10" ht="14.25" customHeight="1">
      <c r="A64" s="40" t="s">
        <v>222</v>
      </c>
      <c r="B64" s="304">
        <f>B67+B70+B72</f>
        <v>765146600</v>
      </c>
      <c r="C64" s="304">
        <f>C67+C70+C72</f>
        <v>0</v>
      </c>
      <c r="D64" s="305">
        <f t="shared" si="0"/>
        <v>0</v>
      </c>
      <c r="E64" s="304">
        <f t="shared" si="1"/>
        <v>0</v>
      </c>
      <c r="F64" s="40" t="s">
        <v>222</v>
      </c>
      <c r="G64" s="306">
        <f>G67+G70+G72</f>
        <v>765146</v>
      </c>
      <c r="H64" s="306">
        <f>H67+H70+H72</f>
        <v>172170</v>
      </c>
      <c r="I64" s="26">
        <f t="shared" si="2"/>
        <v>22.50158793223777</v>
      </c>
      <c r="J64" s="306">
        <f>H64-'[9]Februaris'!H64</f>
        <v>54341</v>
      </c>
    </row>
    <row r="65" spans="1:10" ht="12.75">
      <c r="A65" s="318" t="s">
        <v>223</v>
      </c>
      <c r="B65" s="307">
        <f>B68</f>
        <v>1201200</v>
      </c>
      <c r="C65" s="307">
        <f>C23</f>
        <v>0</v>
      </c>
      <c r="D65" s="308">
        <f t="shared" si="0"/>
        <v>0</v>
      </c>
      <c r="E65" s="304">
        <f t="shared" si="1"/>
        <v>0</v>
      </c>
      <c r="F65" s="318" t="s">
        <v>223</v>
      </c>
      <c r="G65" s="315">
        <f>G68</f>
        <v>1201</v>
      </c>
      <c r="H65" s="315">
        <f>H68</f>
        <v>300</v>
      </c>
      <c r="I65" s="317">
        <f t="shared" si="2"/>
        <v>24.979184013322232</v>
      </c>
      <c r="J65" s="315">
        <f>H65-'[9]Februaris'!H65</f>
        <v>100</v>
      </c>
    </row>
    <row r="66" spans="1:10" ht="14.25" customHeight="1">
      <c r="A66" s="40" t="s">
        <v>224</v>
      </c>
      <c r="B66" s="304">
        <f>SUM(B64-B65)</f>
        <v>763945400</v>
      </c>
      <c r="C66" s="304">
        <f>SUM(C64-C65)</f>
        <v>0</v>
      </c>
      <c r="D66" s="305">
        <f t="shared" si="0"/>
        <v>0</v>
      </c>
      <c r="E66" s="304">
        <f t="shared" si="1"/>
        <v>0</v>
      </c>
      <c r="F66" s="40" t="s">
        <v>224</v>
      </c>
      <c r="G66" s="306">
        <f>SUM(G64-G65)</f>
        <v>763945</v>
      </c>
      <c r="H66" s="306">
        <f>SUM(H64-H65)</f>
        <v>171870</v>
      </c>
      <c r="I66" s="26">
        <f t="shared" si="2"/>
        <v>22.49769289673995</v>
      </c>
      <c r="J66" s="306">
        <f>H66-'[9]Februaris'!H66</f>
        <v>54241</v>
      </c>
    </row>
    <row r="67" spans="1:10" ht="12.75">
      <c r="A67" s="29" t="s">
        <v>225</v>
      </c>
      <c r="B67" s="307">
        <f>731791976+116917</f>
        <v>731908893</v>
      </c>
      <c r="C67" s="307"/>
      <c r="D67" s="308">
        <f t="shared" si="0"/>
        <v>0</v>
      </c>
      <c r="E67" s="304">
        <f t="shared" si="1"/>
        <v>0</v>
      </c>
      <c r="F67" s="29" t="s">
        <v>225</v>
      </c>
      <c r="G67" s="309">
        <f>ROUND(B67/1000,0)</f>
        <v>731909</v>
      </c>
      <c r="H67" s="309">
        <v>167405</v>
      </c>
      <c r="I67" s="310">
        <f t="shared" si="2"/>
        <v>22.872378943283934</v>
      </c>
      <c r="J67" s="309">
        <f>H67-'[9]Februaris'!H67</f>
        <v>53733</v>
      </c>
    </row>
    <row r="68" spans="1:10" ht="12.75">
      <c r="A68" s="318" t="s">
        <v>226</v>
      </c>
      <c r="B68" s="307">
        <v>1201200</v>
      </c>
      <c r="C68" s="307">
        <f>C23</f>
        <v>0</v>
      </c>
      <c r="D68" s="308">
        <f t="shared" si="0"/>
        <v>0</v>
      </c>
      <c r="E68" s="304">
        <f t="shared" si="1"/>
        <v>0</v>
      </c>
      <c r="F68" s="318" t="s">
        <v>226</v>
      </c>
      <c r="G68" s="315">
        <f>ROUND(B68/1000,0)</f>
        <v>1201</v>
      </c>
      <c r="H68" s="316">
        <v>300</v>
      </c>
      <c r="I68" s="317">
        <f t="shared" si="2"/>
        <v>24.979184013322232</v>
      </c>
      <c r="J68" s="316">
        <f>H68-'[9]Februaris'!H68</f>
        <v>100</v>
      </c>
    </row>
    <row r="69" spans="1:10" ht="15" customHeight="1">
      <c r="A69" s="40" t="s">
        <v>227</v>
      </c>
      <c r="B69" s="304">
        <f>SUM(B67-B68)</f>
        <v>730707693</v>
      </c>
      <c r="C69" s="304">
        <f>SUM(C67-C68)</f>
        <v>0</v>
      </c>
      <c r="D69" s="305">
        <f t="shared" si="0"/>
        <v>0</v>
      </c>
      <c r="E69" s="304">
        <f t="shared" si="1"/>
        <v>0</v>
      </c>
      <c r="F69" s="40" t="s">
        <v>227</v>
      </c>
      <c r="G69" s="306">
        <f>SUM(G67-G68)</f>
        <v>730708</v>
      </c>
      <c r="H69" s="306">
        <f>SUM(H67-H68)</f>
        <v>167105</v>
      </c>
      <c r="I69" s="26">
        <f t="shared" si="2"/>
        <v>22.868916174449986</v>
      </c>
      <c r="J69" s="306">
        <f>H69-'[9]Februaris'!H69</f>
        <v>53633</v>
      </c>
    </row>
    <row r="70" spans="1:10" ht="12.75">
      <c r="A70" s="29" t="s">
        <v>228</v>
      </c>
      <c r="B70" s="307">
        <f>11728286+810000</f>
        <v>12538286</v>
      </c>
      <c r="C70" s="307"/>
      <c r="D70" s="308">
        <f t="shared" si="0"/>
        <v>0</v>
      </c>
      <c r="E70" s="304">
        <f t="shared" si="1"/>
        <v>0</v>
      </c>
      <c r="F70" s="29" t="s">
        <v>228</v>
      </c>
      <c r="G70" s="309">
        <f>ROUND(B70/1000,0)</f>
        <v>12538</v>
      </c>
      <c r="H70" s="309">
        <v>3825</v>
      </c>
      <c r="I70" s="310">
        <f t="shared" si="2"/>
        <v>30.507257935874943</v>
      </c>
      <c r="J70" s="309">
        <f>H70-'[9]Februaris'!H70</f>
        <v>290</v>
      </c>
    </row>
    <row r="71" spans="1:10" ht="15" customHeight="1">
      <c r="A71" s="40" t="s">
        <v>229</v>
      </c>
      <c r="B71" s="304">
        <f>SUM(B70)</f>
        <v>12538286</v>
      </c>
      <c r="C71" s="304">
        <f>SUM(C70)</f>
        <v>0</v>
      </c>
      <c r="D71" s="305">
        <f t="shared" si="0"/>
        <v>0</v>
      </c>
      <c r="E71" s="304">
        <f t="shared" si="1"/>
        <v>0</v>
      </c>
      <c r="F71" s="40" t="s">
        <v>229</v>
      </c>
      <c r="G71" s="306">
        <f>SUM(G70)</f>
        <v>12538</v>
      </c>
      <c r="H71" s="306">
        <f>SUM(H70)</f>
        <v>3825</v>
      </c>
      <c r="I71" s="26">
        <f t="shared" si="2"/>
        <v>30.507257935874943</v>
      </c>
      <c r="J71" s="306">
        <f>H71-'[9]Februaris'!H71</f>
        <v>290</v>
      </c>
    </row>
    <row r="72" spans="1:10" ht="12.75">
      <c r="A72" s="29" t="s">
        <v>230</v>
      </c>
      <c r="B72" s="307">
        <v>20699421</v>
      </c>
      <c r="C72" s="307"/>
      <c r="D72" s="308">
        <f t="shared" si="0"/>
        <v>0</v>
      </c>
      <c r="E72" s="304">
        <f t="shared" si="1"/>
        <v>0</v>
      </c>
      <c r="F72" s="29" t="s">
        <v>230</v>
      </c>
      <c r="G72" s="309">
        <f>ROUND(B72/1000,0)</f>
        <v>20699</v>
      </c>
      <c r="H72" s="309">
        <v>940</v>
      </c>
      <c r="I72" s="310">
        <f t="shared" si="2"/>
        <v>4.541282187545292</v>
      </c>
      <c r="J72" s="309">
        <f>H72-'[9]Februaris'!H72</f>
        <v>318</v>
      </c>
    </row>
    <row r="73" spans="1:10" ht="14.25" customHeight="1">
      <c r="A73" s="40" t="s">
        <v>231</v>
      </c>
      <c r="B73" s="304">
        <f>SUM(B72)</f>
        <v>20699421</v>
      </c>
      <c r="C73" s="304">
        <f>SUM(C72)</f>
        <v>0</v>
      </c>
      <c r="D73" s="305">
        <f t="shared" si="0"/>
        <v>0</v>
      </c>
      <c r="E73" s="304">
        <f t="shared" si="1"/>
        <v>0</v>
      </c>
      <c r="F73" s="40" t="s">
        <v>231</v>
      </c>
      <c r="G73" s="306">
        <f>SUM(G72)</f>
        <v>20699</v>
      </c>
      <c r="H73" s="306">
        <f>SUM(H72)</f>
        <v>940</v>
      </c>
      <c r="I73" s="26">
        <f t="shared" si="2"/>
        <v>4.541282187545292</v>
      </c>
      <c r="J73" s="306">
        <f>H73-'[9]Februaris'!H73</f>
        <v>318</v>
      </c>
    </row>
    <row r="74" spans="1:10" ht="27" customHeight="1">
      <c r="A74" s="117" t="s">
        <v>232</v>
      </c>
      <c r="B74" s="304">
        <f>SUM(B25-B64)</f>
        <v>-39627899</v>
      </c>
      <c r="C74" s="304">
        <f>SUM(C25-C64)</f>
        <v>0</v>
      </c>
      <c r="D74" s="305">
        <f t="shared" si="0"/>
        <v>0</v>
      </c>
      <c r="E74" s="304">
        <f t="shared" si="1"/>
        <v>0</v>
      </c>
      <c r="F74" s="117" t="s">
        <v>232</v>
      </c>
      <c r="G74" s="306">
        <f>SUM(G25-G64)</f>
        <v>-39628</v>
      </c>
      <c r="H74" s="306">
        <f>SUM(H25-H64)</f>
        <v>-7984</v>
      </c>
      <c r="I74" s="26">
        <f t="shared" si="2"/>
        <v>20.14737054607853</v>
      </c>
      <c r="J74" s="306">
        <f>H74-'[9]Februaris'!H74</f>
        <v>1471</v>
      </c>
    </row>
    <row r="75" spans="1:10" ht="13.5" customHeight="1">
      <c r="A75" s="40" t="s">
        <v>233</v>
      </c>
      <c r="B75" s="304">
        <f>SUM(B76)</f>
        <v>6699203</v>
      </c>
      <c r="C75" s="304"/>
      <c r="D75" s="305">
        <f>IF(ISERROR(C75/B75)," ",(C75/B75))</f>
        <v>0</v>
      </c>
      <c r="E75" s="304">
        <f t="shared" si="1"/>
        <v>0</v>
      </c>
      <c r="F75" s="40" t="s">
        <v>233</v>
      </c>
      <c r="G75" s="306">
        <f>SUM(G76)</f>
        <v>6699</v>
      </c>
      <c r="H75" s="306">
        <f>SUM(H76)</f>
        <v>1973</v>
      </c>
      <c r="I75" s="26">
        <f t="shared" si="2"/>
        <v>29.452157038363936</v>
      </c>
      <c r="J75" s="306">
        <f>H75-'[9]Februaris'!H75</f>
        <v>848</v>
      </c>
    </row>
    <row r="76" spans="1:10" ht="12.75">
      <c r="A76" s="29" t="s">
        <v>234</v>
      </c>
      <c r="B76" s="307">
        <v>6699203</v>
      </c>
      <c r="C76" s="307"/>
      <c r="D76" s="308">
        <f>IF(ISERROR(C76/B76)," ",(C76/B76))</f>
        <v>0</v>
      </c>
      <c r="E76" s="304">
        <f>C76</f>
        <v>0</v>
      </c>
      <c r="F76" s="29" t="s">
        <v>234</v>
      </c>
      <c r="G76" s="307">
        <f>ROUND(B76/1000,0)</f>
        <v>6699</v>
      </c>
      <c r="H76" s="307">
        <v>1973</v>
      </c>
      <c r="I76" s="38">
        <f t="shared" si="2"/>
        <v>29.452157038363936</v>
      </c>
      <c r="J76" s="307">
        <f>H76-'[9]Februaris'!H76</f>
        <v>848</v>
      </c>
    </row>
    <row r="77" spans="1:10" ht="12.75">
      <c r="A77" s="29" t="s">
        <v>235</v>
      </c>
      <c r="B77" s="307">
        <f>SUM(B76)</f>
        <v>6699203</v>
      </c>
      <c r="C77" s="307">
        <f>SUM(C76)</f>
        <v>0</v>
      </c>
      <c r="D77" s="308">
        <f>IF(ISERROR(C77/B77)," ",(C77/B77))</f>
        <v>0</v>
      </c>
      <c r="E77" s="304">
        <f>C77</f>
        <v>0</v>
      </c>
      <c r="F77" s="29" t="s">
        <v>235</v>
      </c>
      <c r="G77" s="307">
        <f>SUM(G76)</f>
        <v>6699</v>
      </c>
      <c r="H77" s="307">
        <f>SUM(H76)</f>
        <v>1973</v>
      </c>
      <c r="I77" s="38">
        <f t="shared" si="2"/>
        <v>29.452157038363936</v>
      </c>
      <c r="J77" s="307">
        <f>H77-'[9]Februaris'!H77</f>
        <v>848</v>
      </c>
    </row>
    <row r="78" spans="1:10" ht="27" customHeight="1">
      <c r="A78" s="117" t="s">
        <v>236</v>
      </c>
      <c r="B78" s="304">
        <f>SUM(B74-B75)</f>
        <v>-46327102</v>
      </c>
      <c r="C78" s="304">
        <f>SUM(C74-C75)</f>
        <v>0</v>
      </c>
      <c r="D78" s="305">
        <f>IF(ISERROR(C78/B78)," ",(C78/B78))</f>
        <v>0</v>
      </c>
      <c r="E78" s="304">
        <f>C78</f>
        <v>0</v>
      </c>
      <c r="F78" s="117" t="s">
        <v>236</v>
      </c>
      <c r="G78" s="306">
        <f>SUM(G74-G75)</f>
        <v>-46327</v>
      </c>
      <c r="H78" s="306">
        <f>SUM(H74-H75)</f>
        <v>-9957</v>
      </c>
      <c r="I78" s="26">
        <f t="shared" si="2"/>
        <v>21.492865931314352</v>
      </c>
      <c r="J78" s="306">
        <f>H78-'[9]Februaris'!H78</f>
        <v>623</v>
      </c>
    </row>
    <row r="79" spans="1:10" ht="12.75">
      <c r="A79" s="323"/>
      <c r="B79" s="324"/>
      <c r="C79" s="42"/>
      <c r="D79" s="42"/>
      <c r="E79" s="42"/>
      <c r="F79" s="289"/>
      <c r="G79" s="324"/>
      <c r="H79" s="42"/>
      <c r="I79" s="42"/>
      <c r="J79" s="42"/>
    </row>
    <row r="80" spans="1:10" ht="12.75">
      <c r="A80" s="323"/>
      <c r="B80" s="324"/>
      <c r="C80" s="42"/>
      <c r="D80" s="42"/>
      <c r="E80" s="42"/>
      <c r="F80" s="76"/>
      <c r="G80" s="324"/>
      <c r="H80" s="42"/>
      <c r="I80" s="42"/>
      <c r="J80" s="42"/>
    </row>
    <row r="81" spans="1:10" ht="12.75">
      <c r="A81" s="325"/>
      <c r="F81" s="325"/>
      <c r="G81" s="300"/>
      <c r="H81" s="5"/>
      <c r="I81" s="5"/>
      <c r="J81" s="5"/>
    </row>
    <row r="82" spans="1:10" ht="12.75">
      <c r="A82" s="325"/>
      <c r="F82" s="325"/>
      <c r="G82" s="300"/>
      <c r="H82" s="5"/>
      <c r="I82" s="5"/>
      <c r="J82" s="5"/>
    </row>
    <row r="83" spans="1:10" ht="12.75">
      <c r="A83" s="42"/>
      <c r="F83" s="326" t="s">
        <v>237</v>
      </c>
      <c r="G83" s="301"/>
      <c r="H83" s="327"/>
      <c r="I83" s="5"/>
      <c r="J83" s="5"/>
    </row>
    <row r="84" spans="1:10" ht="12.75">
      <c r="A84" s="326"/>
      <c r="B84" s="301"/>
      <c r="C84" s="327"/>
      <c r="D84" s="327"/>
      <c r="E84" s="327"/>
      <c r="F84" s="326"/>
      <c r="G84" s="301"/>
      <c r="H84" s="327"/>
      <c r="I84" s="327"/>
      <c r="J84" s="327"/>
    </row>
    <row r="85" spans="1:10" ht="12.75">
      <c r="A85" s="4"/>
      <c r="F85" s="4"/>
      <c r="G85" s="300"/>
      <c r="H85" s="5"/>
      <c r="I85" s="5"/>
      <c r="J85" s="5"/>
    </row>
    <row r="86" spans="1:10" ht="12.75">
      <c r="A86" s="4"/>
      <c r="C86" s="3"/>
      <c r="D86" s="3"/>
      <c r="E86" s="3"/>
      <c r="F86" s="4"/>
      <c r="G86" s="300"/>
      <c r="H86" s="3"/>
      <c r="I86" s="3"/>
      <c r="J86" s="3"/>
    </row>
    <row r="87" spans="7:10" ht="12.75">
      <c r="G87" s="300"/>
      <c r="H87" s="5"/>
      <c r="I87" s="5"/>
      <c r="J87" s="5"/>
    </row>
    <row r="88" spans="7:10" ht="12.75">
      <c r="G88" s="300"/>
      <c r="H88" s="5"/>
      <c r="I88" s="5"/>
      <c r="J88" s="5"/>
    </row>
    <row r="89" spans="9:10" ht="12.75">
      <c r="I89" s="5"/>
      <c r="J89" s="5"/>
    </row>
    <row r="90" spans="1:10" ht="12.75">
      <c r="A90" s="4" t="s">
        <v>788</v>
      </c>
      <c r="G90" s="301"/>
      <c r="H90" s="327"/>
      <c r="I90" s="5"/>
      <c r="J90" s="5"/>
    </row>
    <row r="91" spans="1:10" ht="12.75">
      <c r="A91" s="4" t="s">
        <v>238</v>
      </c>
      <c r="F91" s="4" t="s">
        <v>788</v>
      </c>
      <c r="G91" s="300"/>
      <c r="H91" s="5"/>
      <c r="I91" s="5"/>
      <c r="J91" s="5"/>
    </row>
    <row r="92" spans="6:10" ht="12.75">
      <c r="F92" s="4" t="s">
        <v>832</v>
      </c>
      <c r="G92" s="300"/>
      <c r="H92" s="5"/>
      <c r="I92" s="5"/>
      <c r="J92" s="5"/>
    </row>
    <row r="93" spans="1:8" ht="15" customHeight="1">
      <c r="A93"/>
      <c r="B93"/>
      <c r="C93"/>
      <c r="D93"/>
      <c r="E93"/>
      <c r="F93" s="326"/>
      <c r="G93" s="301"/>
      <c r="H93" s="327"/>
    </row>
    <row r="94" spans="1:5" ht="16.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</sheetData>
  <mergeCells count="2">
    <mergeCell ref="F4:J4"/>
    <mergeCell ref="F5:J5"/>
  </mergeCells>
  <printOptions/>
  <pageMargins left="0.75" right="0.19" top="1" bottom="1" header="0.5" footer="0.5"/>
  <pageSetup fitToHeight="2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4" sqref="A4:S4"/>
    </sheetView>
  </sheetViews>
  <sheetFormatPr defaultColWidth="9.140625" defaultRowHeight="17.25" customHeight="1"/>
  <cols>
    <col min="1" max="1" width="15.140625" style="571" customWidth="1"/>
    <col min="2" max="2" width="7.8515625" style="494" customWidth="1"/>
    <col min="3" max="3" width="7.421875" style="494" customWidth="1"/>
    <col min="4" max="4" width="6.7109375" style="494" customWidth="1"/>
    <col min="5" max="5" width="8.28125" style="494" customWidth="1"/>
    <col min="6" max="6" width="7.00390625" style="494" customWidth="1"/>
    <col min="7" max="7" width="6.421875" style="494" customWidth="1"/>
    <col min="8" max="9" width="7.7109375" style="494" customWidth="1"/>
    <col min="10" max="10" width="8.28125" style="494" customWidth="1"/>
    <col min="11" max="11" width="6.8515625" style="494" customWidth="1"/>
    <col min="12" max="12" width="0.13671875" style="494" hidden="1" customWidth="1"/>
    <col min="13" max="13" width="8.28125" style="494" customWidth="1"/>
    <col min="14" max="14" width="7.00390625" style="494" customWidth="1"/>
    <col min="15" max="15" width="9.28125" style="494" customWidth="1"/>
    <col min="16" max="16" width="9.00390625" style="494" customWidth="1"/>
    <col min="17" max="17" width="6.57421875" style="494" customWidth="1"/>
    <col min="18" max="18" width="8.7109375" style="494" customWidth="1"/>
    <col min="19" max="19" width="8.421875" style="494" customWidth="1"/>
    <col min="20" max="16384" width="9.140625" style="494" customWidth="1"/>
  </cols>
  <sheetData>
    <row r="1" spans="2:19" ht="17.25" customHeight="1"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5"/>
      <c r="Q1" s="1"/>
      <c r="R1" s="1"/>
      <c r="S1" s="1" t="s">
        <v>452</v>
      </c>
    </row>
    <row r="2" spans="7:18" ht="17.25" customHeight="1">
      <c r="G2" s="5" t="s">
        <v>453</v>
      </c>
      <c r="H2" s="5"/>
      <c r="Q2" s="2"/>
      <c r="R2" s="557"/>
    </row>
    <row r="3" spans="1:19" s="5" customFormat="1" ht="17.25" customHeight="1">
      <c r="A3" s="571"/>
      <c r="Q3" s="1"/>
      <c r="R3" s="1"/>
      <c r="S3" s="1"/>
    </row>
    <row r="4" spans="1:19" s="532" customFormat="1" ht="17.25" customHeight="1">
      <c r="A4" s="790" t="s">
        <v>454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</row>
    <row r="5" spans="1:19" s="496" customFormat="1" ht="17.25" customHeight="1">
      <c r="A5" s="791" t="s">
        <v>793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</row>
    <row r="6" spans="1:19" s="496" customFormat="1" ht="17.25" customHeight="1">
      <c r="A6" s="573"/>
      <c r="B6" s="6"/>
      <c r="C6" s="6"/>
      <c r="D6" s="6"/>
      <c r="E6" s="6"/>
      <c r="F6" s="59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3" customFormat="1" ht="17.25" customHeight="1">
      <c r="A7" s="57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Q7" s="327"/>
      <c r="S7" s="10" t="s">
        <v>747</v>
      </c>
    </row>
    <row r="8" spans="1:19" s="5" customFormat="1" ht="17.25" customHeight="1">
      <c r="A8" s="786" t="s">
        <v>455</v>
      </c>
      <c r="B8" s="580" t="s">
        <v>879</v>
      </c>
      <c r="C8" s="580"/>
      <c r="D8" s="580"/>
      <c r="E8" s="580"/>
      <c r="F8" s="580" t="s">
        <v>456</v>
      </c>
      <c r="G8" s="580"/>
      <c r="H8" s="580"/>
      <c r="I8" s="580"/>
      <c r="J8" s="786" t="s">
        <v>457</v>
      </c>
      <c r="K8" s="786" t="s">
        <v>458</v>
      </c>
      <c r="L8" s="594"/>
      <c r="M8" s="579" t="s">
        <v>459</v>
      </c>
      <c r="N8" s="580"/>
      <c r="O8" s="580"/>
      <c r="P8" s="499"/>
      <c r="Q8" s="580"/>
      <c r="R8" s="559"/>
      <c r="S8" s="786" t="s">
        <v>460</v>
      </c>
    </row>
    <row r="9" spans="1:19" ht="17.25" customHeight="1">
      <c r="A9" s="792"/>
      <c r="B9" s="786" t="s">
        <v>461</v>
      </c>
      <c r="C9" s="786" t="s">
        <v>462</v>
      </c>
      <c r="D9" s="788" t="s">
        <v>463</v>
      </c>
      <c r="E9" s="786" t="s">
        <v>464</v>
      </c>
      <c r="F9" s="786" t="s">
        <v>427</v>
      </c>
      <c r="G9" s="786" t="s">
        <v>465</v>
      </c>
      <c r="H9" s="788" t="s">
        <v>466</v>
      </c>
      <c r="I9" s="786" t="s">
        <v>467</v>
      </c>
      <c r="J9" s="794"/>
      <c r="K9" s="794"/>
      <c r="L9" s="595"/>
      <c r="M9" s="596"/>
      <c r="N9" s="596"/>
      <c r="O9" s="580" t="s">
        <v>434</v>
      </c>
      <c r="P9" s="580"/>
      <c r="Q9" s="596"/>
      <c r="R9" s="596"/>
      <c r="S9" s="794"/>
    </row>
    <row r="10" spans="1:19" s="600" customFormat="1" ht="78">
      <c r="A10" s="793"/>
      <c r="B10" s="793"/>
      <c r="C10" s="787"/>
      <c r="D10" s="789"/>
      <c r="E10" s="787"/>
      <c r="F10" s="787"/>
      <c r="G10" s="787"/>
      <c r="H10" s="789"/>
      <c r="I10" s="787"/>
      <c r="J10" s="795"/>
      <c r="K10" s="795"/>
      <c r="L10" s="597" t="s">
        <v>468</v>
      </c>
      <c r="M10" s="598" t="s">
        <v>140</v>
      </c>
      <c r="N10" s="598" t="s">
        <v>469</v>
      </c>
      <c r="O10" s="598" t="s">
        <v>439</v>
      </c>
      <c r="P10" s="598" t="s">
        <v>440</v>
      </c>
      <c r="Q10" s="598" t="s">
        <v>470</v>
      </c>
      <c r="R10" s="599" t="s">
        <v>152</v>
      </c>
      <c r="S10" s="795"/>
    </row>
    <row r="11" spans="1:19" s="3" customFormat="1" ht="17.25" customHeight="1">
      <c r="A11" s="601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/>
      <c r="M11" s="13">
        <v>12</v>
      </c>
      <c r="N11" s="13">
        <v>13</v>
      </c>
      <c r="O11" s="13">
        <v>14</v>
      </c>
      <c r="P11" s="13">
        <v>15</v>
      </c>
      <c r="Q11" s="13">
        <v>16</v>
      </c>
      <c r="R11" s="13">
        <v>17</v>
      </c>
      <c r="S11" s="13">
        <v>18</v>
      </c>
    </row>
    <row r="12" spans="1:19" ht="12" customHeight="1">
      <c r="A12" s="602" t="s">
        <v>471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</row>
    <row r="13" spans="1:19" ht="12" customHeight="1">
      <c r="A13" s="603" t="s">
        <v>350</v>
      </c>
      <c r="B13" s="604">
        <v>30717</v>
      </c>
      <c r="C13" s="604">
        <v>6340</v>
      </c>
      <c r="D13" s="604"/>
      <c r="E13" s="582">
        <f aca="true" t="shared" si="0" ref="E13:E19">SUM(B13:C13)</f>
        <v>37057</v>
      </c>
      <c r="F13" s="604">
        <v>32561</v>
      </c>
      <c r="G13" s="604">
        <v>4813</v>
      </c>
      <c r="H13" s="604">
        <v>4813</v>
      </c>
      <c r="I13" s="582">
        <f>SUM(F13:G13)</f>
        <v>37374</v>
      </c>
      <c r="J13" s="582">
        <f aca="true" t="shared" si="1" ref="J13:J19">E13-I13</f>
        <v>-317</v>
      </c>
      <c r="K13" s="582">
        <f aca="true" t="shared" si="2" ref="K13:K20">-J13</f>
        <v>317</v>
      </c>
      <c r="L13" s="582">
        <f>SUM(Q13:S13,N13,M12)</f>
        <v>317</v>
      </c>
      <c r="M13" s="604"/>
      <c r="N13" s="582">
        <f aca="true" t="shared" si="3" ref="N13:N19">O13-P13</f>
        <v>-369</v>
      </c>
      <c r="O13" s="604">
        <v>4422</v>
      </c>
      <c r="P13" s="604">
        <v>4791</v>
      </c>
      <c r="Q13" s="604"/>
      <c r="R13" s="604">
        <v>686</v>
      </c>
      <c r="S13" s="604"/>
    </row>
    <row r="14" spans="1:19" ht="12" customHeight="1">
      <c r="A14" s="603" t="s">
        <v>351</v>
      </c>
      <c r="B14" s="604">
        <v>2282</v>
      </c>
      <c r="C14" s="604">
        <v>1448</v>
      </c>
      <c r="D14" s="604">
        <v>350</v>
      </c>
      <c r="E14" s="582">
        <f t="shared" si="0"/>
        <v>3730</v>
      </c>
      <c r="F14" s="604">
        <v>3654</v>
      </c>
      <c r="G14" s="604">
        <v>2</v>
      </c>
      <c r="H14" s="604"/>
      <c r="I14" s="582">
        <f aca="true" t="shared" si="4" ref="I14:I19">SUM(F14:G14)</f>
        <v>3656</v>
      </c>
      <c r="J14" s="582">
        <f t="shared" si="1"/>
        <v>74</v>
      </c>
      <c r="K14" s="582">
        <f t="shared" si="2"/>
        <v>-74</v>
      </c>
      <c r="L14" s="582">
        <f>SUM(Q14:S14,N14,M13)</f>
        <v>-74</v>
      </c>
      <c r="M14" s="604"/>
      <c r="N14" s="582">
        <f t="shared" si="3"/>
        <v>-221</v>
      </c>
      <c r="O14" s="604">
        <v>50</v>
      </c>
      <c r="P14" s="604">
        <v>271</v>
      </c>
      <c r="Q14" s="604">
        <v>-12</v>
      </c>
      <c r="R14" s="604">
        <v>159</v>
      </c>
      <c r="S14" s="604"/>
    </row>
    <row r="15" spans="1:19" ht="12" customHeight="1">
      <c r="A15" s="603" t="s">
        <v>352</v>
      </c>
      <c r="B15" s="604">
        <v>1686</v>
      </c>
      <c r="C15" s="604">
        <v>725</v>
      </c>
      <c r="D15" s="604"/>
      <c r="E15" s="582">
        <f t="shared" si="0"/>
        <v>2411</v>
      </c>
      <c r="F15" s="604">
        <v>1931</v>
      </c>
      <c r="G15" s="604">
        <v>46</v>
      </c>
      <c r="H15" s="604">
        <v>22</v>
      </c>
      <c r="I15" s="582">
        <f t="shared" si="4"/>
        <v>1977</v>
      </c>
      <c r="J15" s="582">
        <f t="shared" si="1"/>
        <v>434</v>
      </c>
      <c r="K15" s="582">
        <f t="shared" si="2"/>
        <v>-434</v>
      </c>
      <c r="L15" s="582">
        <f>SUM(Q15:S15,N15,M14)</f>
        <v>-434</v>
      </c>
      <c r="M15" s="604"/>
      <c r="N15" s="582">
        <f t="shared" si="3"/>
        <v>-432</v>
      </c>
      <c r="O15" s="604">
        <v>51</v>
      </c>
      <c r="P15" s="604">
        <v>483</v>
      </c>
      <c r="Q15" s="604"/>
      <c r="R15" s="604">
        <v>7</v>
      </c>
      <c r="S15" s="604">
        <v>-9</v>
      </c>
    </row>
    <row r="16" spans="1:19" ht="12" customHeight="1">
      <c r="A16" s="603" t="s">
        <v>353</v>
      </c>
      <c r="B16" s="604">
        <v>1965</v>
      </c>
      <c r="C16" s="604">
        <v>447</v>
      </c>
      <c r="D16" s="604"/>
      <c r="E16" s="582">
        <f t="shared" si="0"/>
        <v>2412</v>
      </c>
      <c r="F16" s="604">
        <v>1968</v>
      </c>
      <c r="G16" s="604">
        <v>220</v>
      </c>
      <c r="H16" s="604">
        <v>206</v>
      </c>
      <c r="I16" s="582">
        <f t="shared" si="4"/>
        <v>2188</v>
      </c>
      <c r="J16" s="582">
        <f t="shared" si="1"/>
        <v>224</v>
      </c>
      <c r="K16" s="582">
        <f t="shared" si="2"/>
        <v>-224</v>
      </c>
      <c r="L16" s="582">
        <f>SUM(M16,N16,Q16,R16,S16)</f>
        <v>-224</v>
      </c>
      <c r="M16" s="604">
        <v>-200</v>
      </c>
      <c r="N16" s="582">
        <f t="shared" si="3"/>
        <v>-24</v>
      </c>
      <c r="O16" s="604">
        <v>201</v>
      </c>
      <c r="P16" s="604">
        <v>225</v>
      </c>
      <c r="Q16" s="604"/>
      <c r="R16" s="604"/>
      <c r="S16" s="604"/>
    </row>
    <row r="17" spans="1:19" ht="12" customHeight="1">
      <c r="A17" s="603" t="s">
        <v>354</v>
      </c>
      <c r="B17" s="604">
        <v>2352</v>
      </c>
      <c r="C17" s="604">
        <v>870</v>
      </c>
      <c r="D17" s="604"/>
      <c r="E17" s="582">
        <f t="shared" si="0"/>
        <v>3222</v>
      </c>
      <c r="F17" s="604">
        <v>3048</v>
      </c>
      <c r="G17" s="604">
        <v>9</v>
      </c>
      <c r="H17" s="604"/>
      <c r="I17" s="582">
        <f t="shared" si="4"/>
        <v>3057</v>
      </c>
      <c r="J17" s="582">
        <f t="shared" si="1"/>
        <v>165</v>
      </c>
      <c r="K17" s="582">
        <f t="shared" si="2"/>
        <v>-165</v>
      </c>
      <c r="L17" s="582">
        <f>SUM(M17,N17,Q17,R17,S17)</f>
        <v>-165</v>
      </c>
      <c r="M17" s="604"/>
      <c r="N17" s="582">
        <f t="shared" si="3"/>
        <v>-165</v>
      </c>
      <c r="O17" s="604">
        <v>381</v>
      </c>
      <c r="P17" s="604">
        <v>546</v>
      </c>
      <c r="Q17" s="604"/>
      <c r="R17" s="604"/>
      <c r="S17" s="604"/>
    </row>
    <row r="18" spans="1:19" ht="12" customHeight="1">
      <c r="A18" s="603" t="s">
        <v>355</v>
      </c>
      <c r="B18" s="604">
        <v>926</v>
      </c>
      <c r="C18" s="604">
        <v>463</v>
      </c>
      <c r="D18" s="604">
        <v>5</v>
      </c>
      <c r="E18" s="582">
        <f t="shared" si="0"/>
        <v>1389</v>
      </c>
      <c r="F18" s="604">
        <v>1366</v>
      </c>
      <c r="G18" s="604"/>
      <c r="H18" s="604"/>
      <c r="I18" s="582">
        <f t="shared" si="4"/>
        <v>1366</v>
      </c>
      <c r="J18" s="582">
        <f t="shared" si="1"/>
        <v>23</v>
      </c>
      <c r="K18" s="582">
        <f t="shared" si="2"/>
        <v>-23</v>
      </c>
      <c r="L18" s="582">
        <f>SUM(Q18:S18,N18,M18)</f>
        <v>-23</v>
      </c>
      <c r="M18" s="604">
        <v>-50</v>
      </c>
      <c r="N18" s="582">
        <f t="shared" si="3"/>
        <v>27</v>
      </c>
      <c r="O18" s="604">
        <v>68</v>
      </c>
      <c r="P18" s="604">
        <v>41</v>
      </c>
      <c r="Q18" s="604"/>
      <c r="R18" s="604"/>
      <c r="S18" s="604"/>
    </row>
    <row r="19" spans="1:19" ht="12" customHeight="1">
      <c r="A19" s="603" t="s">
        <v>356</v>
      </c>
      <c r="B19" s="604">
        <v>2631</v>
      </c>
      <c r="C19" s="604">
        <v>322</v>
      </c>
      <c r="D19" s="604"/>
      <c r="E19" s="582">
        <f t="shared" si="0"/>
        <v>2953</v>
      </c>
      <c r="F19" s="604">
        <v>2077</v>
      </c>
      <c r="G19" s="604">
        <v>632</v>
      </c>
      <c r="H19" s="604">
        <v>632</v>
      </c>
      <c r="I19" s="582">
        <f t="shared" si="4"/>
        <v>2709</v>
      </c>
      <c r="J19" s="582">
        <f t="shared" si="1"/>
        <v>244</v>
      </c>
      <c r="K19" s="582">
        <f t="shared" si="2"/>
        <v>-244</v>
      </c>
      <c r="L19" s="582">
        <f>SUM(Q19:S19,N19,M19)</f>
        <v>-244</v>
      </c>
      <c r="M19" s="604"/>
      <c r="N19" s="582">
        <f t="shared" si="3"/>
        <v>-244</v>
      </c>
      <c r="O19" s="604">
        <v>1118</v>
      </c>
      <c r="P19" s="604">
        <v>1362</v>
      </c>
      <c r="Q19" s="604"/>
      <c r="R19" s="604"/>
      <c r="S19" s="604"/>
    </row>
    <row r="20" spans="1:19" ht="12" customHeight="1">
      <c r="A20" s="602" t="s">
        <v>442</v>
      </c>
      <c r="B20" s="582">
        <f aca="true" t="shared" si="5" ref="B20:J20">SUM(B13:B19)</f>
        <v>42559</v>
      </c>
      <c r="C20" s="582">
        <f t="shared" si="5"/>
        <v>10615</v>
      </c>
      <c r="D20" s="582">
        <f t="shared" si="5"/>
        <v>355</v>
      </c>
      <c r="E20" s="582">
        <f t="shared" si="5"/>
        <v>53174</v>
      </c>
      <c r="F20" s="582">
        <f>SUM(F13:F19)</f>
        <v>46605</v>
      </c>
      <c r="G20" s="582">
        <f t="shared" si="5"/>
        <v>5722</v>
      </c>
      <c r="H20" s="582">
        <f t="shared" si="5"/>
        <v>5673</v>
      </c>
      <c r="I20" s="582">
        <f t="shared" si="5"/>
        <v>52327</v>
      </c>
      <c r="J20" s="582">
        <f t="shared" si="5"/>
        <v>847</v>
      </c>
      <c r="K20" s="582">
        <f t="shared" si="2"/>
        <v>-847</v>
      </c>
      <c r="L20" s="582">
        <f>SUM(Q20:S20,N20,M20)</f>
        <v>-847</v>
      </c>
      <c r="M20" s="582">
        <f>SUM(M16:M19)</f>
        <v>-250</v>
      </c>
      <c r="N20" s="582">
        <f aca="true" t="shared" si="6" ref="N20:S20">SUM(N13:N19)</f>
        <v>-1428</v>
      </c>
      <c r="O20" s="582">
        <f t="shared" si="6"/>
        <v>6291</v>
      </c>
      <c r="P20" s="582">
        <f t="shared" si="6"/>
        <v>7719</v>
      </c>
      <c r="Q20" s="582">
        <f t="shared" si="6"/>
        <v>-12</v>
      </c>
      <c r="R20" s="582">
        <f t="shared" si="6"/>
        <v>852</v>
      </c>
      <c r="S20" s="582">
        <f t="shared" si="6"/>
        <v>-9</v>
      </c>
    </row>
    <row r="21" spans="1:19" s="27" customFormat="1" ht="12" customHeight="1">
      <c r="A21" s="602" t="s">
        <v>472</v>
      </c>
      <c r="B21" s="605"/>
      <c r="C21" s="605"/>
      <c r="D21" s="605"/>
      <c r="E21" s="67"/>
      <c r="F21" s="605"/>
      <c r="G21" s="605"/>
      <c r="H21" s="605"/>
      <c r="I21" s="67"/>
      <c r="J21" s="67"/>
      <c r="K21" s="67"/>
      <c r="L21" s="582"/>
      <c r="M21" s="67"/>
      <c r="N21" s="67"/>
      <c r="O21" s="67"/>
      <c r="P21" s="67"/>
      <c r="Q21" s="67"/>
      <c r="R21" s="67"/>
      <c r="S21" s="67"/>
    </row>
    <row r="22" spans="1:19" ht="12" customHeight="1">
      <c r="A22" s="603" t="s">
        <v>357</v>
      </c>
      <c r="B22" s="604">
        <v>1027</v>
      </c>
      <c r="C22" s="604">
        <v>906</v>
      </c>
      <c r="D22" s="604">
        <v>227</v>
      </c>
      <c r="E22" s="582">
        <f>SUM(B22:C22)</f>
        <v>1933</v>
      </c>
      <c r="F22" s="604">
        <v>1684</v>
      </c>
      <c r="G22" s="604">
        <v>97</v>
      </c>
      <c r="H22" s="604">
        <v>66</v>
      </c>
      <c r="I22" s="582">
        <f>SUM(F22:G22)</f>
        <v>1781</v>
      </c>
      <c r="J22" s="582">
        <f aca="true" t="shared" si="7" ref="J22:J47">E22-I22</f>
        <v>152</v>
      </c>
      <c r="K22" s="582">
        <f aca="true" t="shared" si="8" ref="K22:K47">-J22</f>
        <v>-152</v>
      </c>
      <c r="L22" s="582">
        <f>SUM(Q22:S22,N22,M22)</f>
        <v>-152</v>
      </c>
      <c r="M22" s="604">
        <v>-15</v>
      </c>
      <c r="N22" s="582">
        <f aca="true" t="shared" si="9" ref="N22:N47">O22-P22</f>
        <v>-109</v>
      </c>
      <c r="O22" s="604">
        <v>363</v>
      </c>
      <c r="P22" s="604">
        <v>472</v>
      </c>
      <c r="Q22" s="604">
        <v>-6</v>
      </c>
      <c r="R22" s="604">
        <v>-3</v>
      </c>
      <c r="S22" s="604">
        <v>-19</v>
      </c>
    </row>
    <row r="23" spans="1:19" ht="12" customHeight="1">
      <c r="A23" s="603" t="s">
        <v>358</v>
      </c>
      <c r="B23" s="604">
        <v>532</v>
      </c>
      <c r="C23" s="604">
        <v>675</v>
      </c>
      <c r="D23" s="604">
        <v>224</v>
      </c>
      <c r="E23" s="582">
        <f aca="true" t="shared" si="10" ref="E23:E47">SUM(B23:C23)</f>
        <v>1207</v>
      </c>
      <c r="F23" s="604">
        <v>1094</v>
      </c>
      <c r="G23" s="604">
        <v>21</v>
      </c>
      <c r="H23" s="604"/>
      <c r="I23" s="582">
        <f aca="true" t="shared" si="11" ref="I23:I47">SUM(F23:G23)</f>
        <v>1115</v>
      </c>
      <c r="J23" s="582">
        <f t="shared" si="7"/>
        <v>92</v>
      </c>
      <c r="K23" s="582">
        <f t="shared" si="8"/>
        <v>-92</v>
      </c>
      <c r="L23" s="582">
        <f aca="true" t="shared" si="12" ref="L23:L49">SUM(Q23:S23,N23,M23)</f>
        <v>-92</v>
      </c>
      <c r="M23" s="604">
        <v>7</v>
      </c>
      <c r="N23" s="582">
        <f t="shared" si="9"/>
        <v>-99</v>
      </c>
      <c r="O23" s="604">
        <v>85</v>
      </c>
      <c r="P23" s="604">
        <v>184</v>
      </c>
      <c r="Q23" s="604"/>
      <c r="R23" s="604"/>
      <c r="S23" s="604"/>
    </row>
    <row r="24" spans="1:19" ht="12" customHeight="1">
      <c r="A24" s="603" t="s">
        <v>359</v>
      </c>
      <c r="B24" s="604">
        <v>486</v>
      </c>
      <c r="C24" s="604">
        <v>925</v>
      </c>
      <c r="D24" s="604">
        <v>351</v>
      </c>
      <c r="E24" s="582">
        <f t="shared" si="10"/>
        <v>1411</v>
      </c>
      <c r="F24" s="604">
        <v>1332</v>
      </c>
      <c r="G24" s="604">
        <v>37</v>
      </c>
      <c r="H24" s="604"/>
      <c r="I24" s="582">
        <f t="shared" si="11"/>
        <v>1369</v>
      </c>
      <c r="J24" s="582">
        <f t="shared" si="7"/>
        <v>42</v>
      </c>
      <c r="K24" s="582">
        <f t="shared" si="8"/>
        <v>-42</v>
      </c>
      <c r="L24" s="582">
        <f t="shared" si="12"/>
        <v>-42</v>
      </c>
      <c r="M24" s="604">
        <v>-1</v>
      </c>
      <c r="N24" s="582">
        <f t="shared" si="9"/>
        <v>-126</v>
      </c>
      <c r="O24" s="604">
        <v>61</v>
      </c>
      <c r="P24" s="604">
        <v>187</v>
      </c>
      <c r="Q24" s="604"/>
      <c r="R24" s="604">
        <v>-1</v>
      </c>
      <c r="S24" s="604">
        <v>86</v>
      </c>
    </row>
    <row r="25" spans="1:19" ht="12" customHeight="1">
      <c r="A25" s="603" t="s">
        <v>360</v>
      </c>
      <c r="B25" s="604">
        <v>1017</v>
      </c>
      <c r="C25" s="604">
        <v>1167</v>
      </c>
      <c r="D25" s="604">
        <v>338</v>
      </c>
      <c r="E25" s="582">
        <f t="shared" si="10"/>
        <v>2184</v>
      </c>
      <c r="F25" s="604">
        <v>1957</v>
      </c>
      <c r="G25" s="604">
        <v>116</v>
      </c>
      <c r="H25" s="604"/>
      <c r="I25" s="582">
        <f t="shared" si="11"/>
        <v>2073</v>
      </c>
      <c r="J25" s="582">
        <f t="shared" si="7"/>
        <v>111</v>
      </c>
      <c r="K25" s="582">
        <f t="shared" si="8"/>
        <v>-111</v>
      </c>
      <c r="L25" s="582">
        <f t="shared" si="12"/>
        <v>-111</v>
      </c>
      <c r="M25" s="604">
        <v>-10</v>
      </c>
      <c r="N25" s="582">
        <f t="shared" si="9"/>
        <v>-91</v>
      </c>
      <c r="O25" s="604">
        <v>159</v>
      </c>
      <c r="P25" s="604">
        <v>250</v>
      </c>
      <c r="Q25" s="604">
        <v>-1</v>
      </c>
      <c r="R25" s="604">
        <v>-1</v>
      </c>
      <c r="S25" s="604">
        <v>-8</v>
      </c>
    </row>
    <row r="26" spans="1:19" ht="12" customHeight="1">
      <c r="A26" s="603" t="s">
        <v>361</v>
      </c>
      <c r="B26" s="604">
        <v>1653</v>
      </c>
      <c r="C26" s="604">
        <v>1429</v>
      </c>
      <c r="D26" s="604">
        <v>418</v>
      </c>
      <c r="E26" s="582">
        <f t="shared" si="10"/>
        <v>3082</v>
      </c>
      <c r="F26" s="604">
        <v>2676</v>
      </c>
      <c r="G26" s="604">
        <v>98</v>
      </c>
      <c r="H26" s="604">
        <v>33</v>
      </c>
      <c r="I26" s="582">
        <f t="shared" si="11"/>
        <v>2774</v>
      </c>
      <c r="J26" s="582">
        <f t="shared" si="7"/>
        <v>308</v>
      </c>
      <c r="K26" s="582">
        <f t="shared" si="8"/>
        <v>-308</v>
      </c>
      <c r="L26" s="582">
        <f t="shared" si="12"/>
        <v>-308</v>
      </c>
      <c r="M26" s="604">
        <v>-91</v>
      </c>
      <c r="N26" s="582">
        <f t="shared" si="9"/>
        <v>-199</v>
      </c>
      <c r="O26" s="604">
        <v>159</v>
      </c>
      <c r="P26" s="604">
        <v>358</v>
      </c>
      <c r="Q26" s="604">
        <v>-3</v>
      </c>
      <c r="R26" s="604"/>
      <c r="S26" s="604">
        <v>-15</v>
      </c>
    </row>
    <row r="27" spans="1:19" ht="12" customHeight="1">
      <c r="A27" s="603" t="s">
        <v>362</v>
      </c>
      <c r="B27" s="604">
        <v>776</v>
      </c>
      <c r="C27" s="604">
        <v>1008</v>
      </c>
      <c r="D27" s="604">
        <v>453</v>
      </c>
      <c r="E27" s="582">
        <f t="shared" si="10"/>
        <v>1784</v>
      </c>
      <c r="F27" s="604">
        <v>1612</v>
      </c>
      <c r="G27" s="604">
        <v>67</v>
      </c>
      <c r="H27" s="604">
        <v>16</v>
      </c>
      <c r="I27" s="582">
        <f t="shared" si="11"/>
        <v>1679</v>
      </c>
      <c r="J27" s="582">
        <f t="shared" si="7"/>
        <v>105</v>
      </c>
      <c r="K27" s="582">
        <f t="shared" si="8"/>
        <v>-105</v>
      </c>
      <c r="L27" s="582">
        <f t="shared" si="12"/>
        <v>-105</v>
      </c>
      <c r="M27" s="604">
        <v>120</v>
      </c>
      <c r="N27" s="582">
        <f t="shared" si="9"/>
        <v>-120</v>
      </c>
      <c r="O27" s="604">
        <v>114</v>
      </c>
      <c r="P27" s="604">
        <v>234</v>
      </c>
      <c r="Q27" s="604"/>
      <c r="R27" s="604">
        <v>-140</v>
      </c>
      <c r="S27" s="604">
        <v>35</v>
      </c>
    </row>
    <row r="28" spans="1:19" ht="12" customHeight="1">
      <c r="A28" s="603" t="s">
        <v>363</v>
      </c>
      <c r="B28" s="604">
        <v>890</v>
      </c>
      <c r="C28" s="604">
        <v>852</v>
      </c>
      <c r="D28" s="604">
        <v>299</v>
      </c>
      <c r="E28" s="582">
        <f t="shared" si="10"/>
        <v>1742</v>
      </c>
      <c r="F28" s="604">
        <v>1589</v>
      </c>
      <c r="G28" s="604">
        <v>79</v>
      </c>
      <c r="H28" s="604">
        <v>30</v>
      </c>
      <c r="I28" s="582">
        <f>SUM(F28:G28)</f>
        <v>1668</v>
      </c>
      <c r="J28" s="582">
        <f t="shared" si="7"/>
        <v>74</v>
      </c>
      <c r="K28" s="582">
        <f t="shared" si="8"/>
        <v>-74</v>
      </c>
      <c r="L28" s="582">
        <f t="shared" si="12"/>
        <v>-74</v>
      </c>
      <c r="M28" s="604">
        <v>-19</v>
      </c>
      <c r="N28" s="582">
        <f t="shared" si="9"/>
        <v>-59</v>
      </c>
      <c r="O28" s="604">
        <v>198</v>
      </c>
      <c r="P28" s="604">
        <v>257</v>
      </c>
      <c r="Q28" s="604"/>
      <c r="R28" s="604"/>
      <c r="S28" s="604">
        <v>4</v>
      </c>
    </row>
    <row r="29" spans="1:19" ht="12" customHeight="1">
      <c r="A29" s="603" t="s">
        <v>364</v>
      </c>
      <c r="B29" s="604">
        <v>633</v>
      </c>
      <c r="C29" s="604">
        <v>622</v>
      </c>
      <c r="D29" s="604">
        <v>180</v>
      </c>
      <c r="E29" s="582">
        <f t="shared" si="10"/>
        <v>1255</v>
      </c>
      <c r="F29" s="604">
        <v>1113</v>
      </c>
      <c r="G29" s="604">
        <v>29</v>
      </c>
      <c r="H29" s="604"/>
      <c r="I29" s="582">
        <f t="shared" si="11"/>
        <v>1142</v>
      </c>
      <c r="J29" s="582">
        <f t="shared" si="7"/>
        <v>113</v>
      </c>
      <c r="K29" s="582">
        <f t="shared" si="8"/>
        <v>-113</v>
      </c>
      <c r="L29" s="582">
        <f t="shared" si="12"/>
        <v>-113</v>
      </c>
      <c r="M29" s="604">
        <v>-12</v>
      </c>
      <c r="N29" s="582">
        <f t="shared" si="9"/>
        <v>-75</v>
      </c>
      <c r="O29" s="604">
        <v>270</v>
      </c>
      <c r="P29" s="604">
        <v>345</v>
      </c>
      <c r="Q29" s="604"/>
      <c r="R29" s="604"/>
      <c r="S29" s="604">
        <v>-26</v>
      </c>
    </row>
    <row r="30" spans="1:19" ht="12" customHeight="1">
      <c r="A30" s="603" t="s">
        <v>365</v>
      </c>
      <c r="B30" s="604">
        <v>678</v>
      </c>
      <c r="C30" s="604">
        <v>848</v>
      </c>
      <c r="D30" s="604">
        <v>301</v>
      </c>
      <c r="E30" s="582">
        <f t="shared" si="10"/>
        <v>1526</v>
      </c>
      <c r="F30" s="604">
        <v>1459</v>
      </c>
      <c r="G30" s="604">
        <v>46</v>
      </c>
      <c r="H30" s="604">
        <v>1</v>
      </c>
      <c r="I30" s="582">
        <f t="shared" si="11"/>
        <v>1505</v>
      </c>
      <c r="J30" s="582">
        <f t="shared" si="7"/>
        <v>21</v>
      </c>
      <c r="K30" s="582">
        <f t="shared" si="8"/>
        <v>-21</v>
      </c>
      <c r="L30" s="582">
        <f t="shared" si="12"/>
        <v>-21</v>
      </c>
      <c r="M30" s="604">
        <v>-19</v>
      </c>
      <c r="N30" s="582">
        <f t="shared" si="9"/>
        <v>-2</v>
      </c>
      <c r="O30" s="604">
        <v>126</v>
      </c>
      <c r="P30" s="604">
        <v>128</v>
      </c>
      <c r="Q30" s="604"/>
      <c r="R30" s="604"/>
      <c r="S30" s="604"/>
    </row>
    <row r="31" spans="1:19" ht="12" customHeight="1">
      <c r="A31" s="603" t="s">
        <v>366</v>
      </c>
      <c r="B31" s="604">
        <v>1043</v>
      </c>
      <c r="C31" s="604">
        <v>1270</v>
      </c>
      <c r="D31" s="604">
        <v>459</v>
      </c>
      <c r="E31" s="582">
        <f t="shared" si="10"/>
        <v>2313</v>
      </c>
      <c r="F31" s="604">
        <v>2206</v>
      </c>
      <c r="G31" s="604">
        <v>47</v>
      </c>
      <c r="H31" s="604"/>
      <c r="I31" s="582">
        <f>SUM(F31:G31)</f>
        <v>2253</v>
      </c>
      <c r="J31" s="582">
        <f t="shared" si="7"/>
        <v>60</v>
      </c>
      <c r="K31" s="582">
        <f t="shared" si="8"/>
        <v>-60</v>
      </c>
      <c r="L31" s="582">
        <f t="shared" si="12"/>
        <v>-60</v>
      </c>
      <c r="M31" s="604">
        <v>-51</v>
      </c>
      <c r="N31" s="582">
        <f t="shared" si="9"/>
        <v>-55</v>
      </c>
      <c r="O31" s="604">
        <v>272</v>
      </c>
      <c r="P31" s="604">
        <v>327</v>
      </c>
      <c r="Q31" s="604"/>
      <c r="R31" s="604">
        <v>-4</v>
      </c>
      <c r="S31" s="604">
        <v>50</v>
      </c>
    </row>
    <row r="32" spans="1:19" ht="12" customHeight="1">
      <c r="A32" s="603" t="s">
        <v>367</v>
      </c>
      <c r="B32" s="604">
        <v>505</v>
      </c>
      <c r="C32" s="604">
        <v>831</v>
      </c>
      <c r="D32" s="604">
        <v>367</v>
      </c>
      <c r="E32" s="582">
        <f t="shared" si="10"/>
        <v>1336</v>
      </c>
      <c r="F32" s="604">
        <v>1200</v>
      </c>
      <c r="G32" s="604">
        <v>40</v>
      </c>
      <c r="H32" s="604"/>
      <c r="I32" s="582">
        <f t="shared" si="11"/>
        <v>1240</v>
      </c>
      <c r="J32" s="582">
        <f t="shared" si="7"/>
        <v>96</v>
      </c>
      <c r="K32" s="582">
        <f t="shared" si="8"/>
        <v>-96</v>
      </c>
      <c r="L32" s="582">
        <f t="shared" si="12"/>
        <v>-96</v>
      </c>
      <c r="M32" s="604">
        <v>-22</v>
      </c>
      <c r="N32" s="582">
        <f t="shared" si="9"/>
        <v>-87</v>
      </c>
      <c r="O32" s="604">
        <v>67</v>
      </c>
      <c r="P32" s="604">
        <v>154</v>
      </c>
      <c r="Q32" s="604"/>
      <c r="R32" s="604"/>
      <c r="S32" s="604">
        <v>13</v>
      </c>
    </row>
    <row r="33" spans="1:19" ht="12" customHeight="1">
      <c r="A33" s="603" t="s">
        <v>368</v>
      </c>
      <c r="B33" s="604">
        <v>955</v>
      </c>
      <c r="C33" s="604">
        <v>976</v>
      </c>
      <c r="D33" s="604">
        <v>248</v>
      </c>
      <c r="E33" s="582">
        <f t="shared" si="10"/>
        <v>1931</v>
      </c>
      <c r="F33" s="604">
        <v>1837</v>
      </c>
      <c r="G33" s="604">
        <v>51</v>
      </c>
      <c r="H33" s="604"/>
      <c r="I33" s="582">
        <f t="shared" si="11"/>
        <v>1888</v>
      </c>
      <c r="J33" s="582">
        <f t="shared" si="7"/>
        <v>43</v>
      </c>
      <c r="K33" s="582">
        <f t="shared" si="8"/>
        <v>-43</v>
      </c>
      <c r="L33" s="582">
        <f t="shared" si="12"/>
        <v>-43</v>
      </c>
      <c r="M33" s="604">
        <v>14</v>
      </c>
      <c r="N33" s="582">
        <f t="shared" si="9"/>
        <v>-35</v>
      </c>
      <c r="O33" s="604">
        <v>462</v>
      </c>
      <c r="P33" s="604">
        <v>497</v>
      </c>
      <c r="Q33" s="604"/>
      <c r="R33" s="604"/>
      <c r="S33" s="604">
        <v>-22</v>
      </c>
    </row>
    <row r="34" spans="1:19" ht="12" customHeight="1">
      <c r="A34" s="603" t="s">
        <v>369</v>
      </c>
      <c r="B34" s="604">
        <v>961</v>
      </c>
      <c r="C34" s="604">
        <v>956</v>
      </c>
      <c r="D34" s="604">
        <v>301</v>
      </c>
      <c r="E34" s="582">
        <f t="shared" si="10"/>
        <v>1917</v>
      </c>
      <c r="F34" s="604">
        <v>1841</v>
      </c>
      <c r="G34" s="604">
        <v>43</v>
      </c>
      <c r="H34" s="604">
        <v>4</v>
      </c>
      <c r="I34" s="582">
        <f t="shared" si="11"/>
        <v>1884</v>
      </c>
      <c r="J34" s="582">
        <f t="shared" si="7"/>
        <v>33</v>
      </c>
      <c r="K34" s="582">
        <f t="shared" si="8"/>
        <v>-33</v>
      </c>
      <c r="L34" s="582">
        <f t="shared" si="12"/>
        <v>-33</v>
      </c>
      <c r="M34" s="604">
        <v>-44</v>
      </c>
      <c r="N34" s="582">
        <f t="shared" si="9"/>
        <v>-12</v>
      </c>
      <c r="O34" s="604">
        <v>136</v>
      </c>
      <c r="P34" s="604">
        <v>148</v>
      </c>
      <c r="Q34" s="604"/>
      <c r="R34" s="604">
        <v>8</v>
      </c>
      <c r="S34" s="604">
        <v>15</v>
      </c>
    </row>
    <row r="35" spans="1:19" ht="12" customHeight="1">
      <c r="A35" s="603" t="s">
        <v>370</v>
      </c>
      <c r="B35" s="604">
        <v>981</v>
      </c>
      <c r="C35" s="604">
        <v>804</v>
      </c>
      <c r="D35" s="604">
        <v>286</v>
      </c>
      <c r="E35" s="582">
        <f t="shared" si="10"/>
        <v>1785</v>
      </c>
      <c r="F35" s="604">
        <v>1542</v>
      </c>
      <c r="G35" s="604">
        <v>120</v>
      </c>
      <c r="H35" s="604">
        <v>43</v>
      </c>
      <c r="I35" s="582">
        <f t="shared" si="11"/>
        <v>1662</v>
      </c>
      <c r="J35" s="582">
        <f t="shared" si="7"/>
        <v>123</v>
      </c>
      <c r="K35" s="582">
        <f t="shared" si="8"/>
        <v>-123</v>
      </c>
      <c r="L35" s="582">
        <f t="shared" si="12"/>
        <v>-123</v>
      </c>
      <c r="M35" s="604">
        <v>-76</v>
      </c>
      <c r="N35" s="582">
        <f t="shared" si="9"/>
        <v>-43</v>
      </c>
      <c r="O35" s="604">
        <v>209</v>
      </c>
      <c r="P35" s="604">
        <v>252</v>
      </c>
      <c r="Q35" s="604">
        <v>-4</v>
      </c>
      <c r="R35" s="604"/>
      <c r="S35" s="604"/>
    </row>
    <row r="36" spans="1:19" ht="12" customHeight="1">
      <c r="A36" s="603" t="s">
        <v>371</v>
      </c>
      <c r="B36" s="604">
        <v>509</v>
      </c>
      <c r="C36" s="604">
        <v>799</v>
      </c>
      <c r="D36" s="604">
        <v>320</v>
      </c>
      <c r="E36" s="582">
        <f t="shared" si="10"/>
        <v>1308</v>
      </c>
      <c r="F36" s="604">
        <v>1161</v>
      </c>
      <c r="G36" s="604">
        <v>31</v>
      </c>
      <c r="H36" s="604"/>
      <c r="I36" s="582">
        <f t="shared" si="11"/>
        <v>1192</v>
      </c>
      <c r="J36" s="582">
        <f t="shared" si="7"/>
        <v>116</v>
      </c>
      <c r="K36" s="582">
        <f t="shared" si="8"/>
        <v>-116</v>
      </c>
      <c r="L36" s="582">
        <f t="shared" si="12"/>
        <v>-116</v>
      </c>
      <c r="M36" s="604">
        <v>-10</v>
      </c>
      <c r="N36" s="582">
        <f t="shared" si="9"/>
        <v>-124</v>
      </c>
      <c r="O36" s="604">
        <v>59</v>
      </c>
      <c r="P36" s="604">
        <v>183</v>
      </c>
      <c r="Q36" s="604">
        <v>-3</v>
      </c>
      <c r="R36" s="604"/>
      <c r="S36" s="604">
        <v>21</v>
      </c>
    </row>
    <row r="37" spans="1:19" ht="12" customHeight="1">
      <c r="A37" s="603" t="s">
        <v>372</v>
      </c>
      <c r="B37" s="604">
        <v>950</v>
      </c>
      <c r="C37" s="604">
        <v>1183</v>
      </c>
      <c r="D37" s="604">
        <v>371</v>
      </c>
      <c r="E37" s="582">
        <f t="shared" si="10"/>
        <v>2133</v>
      </c>
      <c r="F37" s="604">
        <v>1890</v>
      </c>
      <c r="G37" s="604">
        <v>84</v>
      </c>
      <c r="H37" s="604">
        <v>13</v>
      </c>
      <c r="I37" s="582">
        <f>SUM(F37:G37)</f>
        <v>1974</v>
      </c>
      <c r="J37" s="582">
        <f t="shared" si="7"/>
        <v>159</v>
      </c>
      <c r="K37" s="582">
        <f t="shared" si="8"/>
        <v>-159</v>
      </c>
      <c r="L37" s="582">
        <f t="shared" si="12"/>
        <v>-159</v>
      </c>
      <c r="M37" s="604">
        <v>6</v>
      </c>
      <c r="N37" s="582">
        <f t="shared" si="9"/>
        <v>-159</v>
      </c>
      <c r="O37" s="604">
        <v>190</v>
      </c>
      <c r="P37" s="604">
        <v>349</v>
      </c>
      <c r="Q37" s="604"/>
      <c r="R37" s="604">
        <v>-6</v>
      </c>
      <c r="S37" s="604"/>
    </row>
    <row r="38" spans="1:19" ht="12" customHeight="1">
      <c r="A38" s="603" t="s">
        <v>373</v>
      </c>
      <c r="B38" s="604">
        <v>1708</v>
      </c>
      <c r="C38" s="604">
        <v>965</v>
      </c>
      <c r="D38" s="604">
        <v>258</v>
      </c>
      <c r="E38" s="582">
        <f t="shared" si="10"/>
        <v>2673</v>
      </c>
      <c r="F38" s="604">
        <v>2371</v>
      </c>
      <c r="G38" s="604">
        <v>159</v>
      </c>
      <c r="H38" s="604">
        <v>122</v>
      </c>
      <c r="I38" s="582">
        <f t="shared" si="11"/>
        <v>2530</v>
      </c>
      <c r="J38" s="582">
        <f t="shared" si="7"/>
        <v>143</v>
      </c>
      <c r="K38" s="582">
        <f t="shared" si="8"/>
        <v>-143</v>
      </c>
      <c r="L38" s="582">
        <f t="shared" si="12"/>
        <v>-143</v>
      </c>
      <c r="M38" s="604">
        <v>-40</v>
      </c>
      <c r="N38" s="582">
        <f t="shared" si="9"/>
        <v>-97</v>
      </c>
      <c r="O38" s="604">
        <v>312</v>
      </c>
      <c r="P38" s="604">
        <v>409</v>
      </c>
      <c r="Q38" s="604">
        <v>-2</v>
      </c>
      <c r="R38" s="604">
        <v>-3</v>
      </c>
      <c r="S38" s="604">
        <v>-1</v>
      </c>
    </row>
    <row r="39" spans="1:19" ht="12" customHeight="1">
      <c r="A39" s="603" t="s">
        <v>374</v>
      </c>
      <c r="B39" s="604">
        <v>728</v>
      </c>
      <c r="C39" s="604">
        <v>1109</v>
      </c>
      <c r="D39" s="604">
        <v>412</v>
      </c>
      <c r="E39" s="582">
        <f t="shared" si="10"/>
        <v>1837</v>
      </c>
      <c r="F39" s="604">
        <v>1619</v>
      </c>
      <c r="G39" s="604">
        <v>12</v>
      </c>
      <c r="H39" s="604"/>
      <c r="I39" s="582">
        <f t="shared" si="11"/>
        <v>1631</v>
      </c>
      <c r="J39" s="582">
        <f t="shared" si="7"/>
        <v>206</v>
      </c>
      <c r="K39" s="582">
        <f t="shared" si="8"/>
        <v>-206</v>
      </c>
      <c r="L39" s="582">
        <f t="shared" si="12"/>
        <v>-206</v>
      </c>
      <c r="M39" s="604">
        <v>-93</v>
      </c>
      <c r="N39" s="582">
        <f t="shared" si="9"/>
        <v>-204</v>
      </c>
      <c r="O39" s="604">
        <v>148</v>
      </c>
      <c r="P39" s="604">
        <v>352</v>
      </c>
      <c r="Q39" s="604">
        <v>-12</v>
      </c>
      <c r="R39" s="604">
        <v>4</v>
      </c>
      <c r="S39" s="604">
        <v>99</v>
      </c>
    </row>
    <row r="40" spans="1:19" ht="12" customHeight="1">
      <c r="A40" s="603" t="s">
        <v>375</v>
      </c>
      <c r="B40" s="604">
        <v>544</v>
      </c>
      <c r="C40" s="604">
        <v>1222</v>
      </c>
      <c r="D40" s="604">
        <v>526</v>
      </c>
      <c r="E40" s="582">
        <f t="shared" si="10"/>
        <v>1766</v>
      </c>
      <c r="F40" s="604">
        <v>1630</v>
      </c>
      <c r="G40" s="604">
        <v>58</v>
      </c>
      <c r="H40" s="604"/>
      <c r="I40" s="582">
        <f t="shared" si="11"/>
        <v>1688</v>
      </c>
      <c r="J40" s="582">
        <f t="shared" si="7"/>
        <v>78</v>
      </c>
      <c r="K40" s="582">
        <f t="shared" si="8"/>
        <v>-78</v>
      </c>
      <c r="L40" s="582">
        <f t="shared" si="12"/>
        <v>-78</v>
      </c>
      <c r="M40" s="604">
        <v>-7</v>
      </c>
      <c r="N40" s="582">
        <f t="shared" si="9"/>
        <v>-71</v>
      </c>
      <c r="O40" s="604">
        <v>105</v>
      </c>
      <c r="P40" s="604">
        <v>176</v>
      </c>
      <c r="Q40" s="604"/>
      <c r="R40" s="604"/>
      <c r="S40" s="604"/>
    </row>
    <row r="41" spans="1:19" ht="12" customHeight="1">
      <c r="A41" s="603" t="s">
        <v>376</v>
      </c>
      <c r="B41" s="604">
        <v>5148</v>
      </c>
      <c r="C41" s="604">
        <v>1901</v>
      </c>
      <c r="D41" s="604">
        <v>368</v>
      </c>
      <c r="E41" s="582">
        <f t="shared" si="10"/>
        <v>7049</v>
      </c>
      <c r="F41" s="604">
        <v>6063</v>
      </c>
      <c r="G41" s="604">
        <v>795</v>
      </c>
      <c r="H41" s="604">
        <v>568</v>
      </c>
      <c r="I41" s="582">
        <f t="shared" si="11"/>
        <v>6858</v>
      </c>
      <c r="J41" s="582">
        <f t="shared" si="7"/>
        <v>191</v>
      </c>
      <c r="K41" s="582">
        <f t="shared" si="8"/>
        <v>-191</v>
      </c>
      <c r="L41" s="582">
        <f t="shared" si="12"/>
        <v>-191</v>
      </c>
      <c r="M41" s="604">
        <v>41</v>
      </c>
      <c r="N41" s="582">
        <f t="shared" si="9"/>
        <v>-301</v>
      </c>
      <c r="O41" s="604">
        <v>1098</v>
      </c>
      <c r="P41" s="604">
        <v>1399</v>
      </c>
      <c r="Q41" s="604">
        <v>35</v>
      </c>
      <c r="R41" s="604">
        <v>21</v>
      </c>
      <c r="S41" s="604">
        <v>13</v>
      </c>
    </row>
    <row r="42" spans="1:19" ht="12" customHeight="1">
      <c r="A42" s="603" t="s">
        <v>377</v>
      </c>
      <c r="B42" s="604">
        <v>868</v>
      </c>
      <c r="C42" s="604">
        <v>942</v>
      </c>
      <c r="D42" s="604">
        <v>268</v>
      </c>
      <c r="E42" s="582">
        <f t="shared" si="10"/>
        <v>1810</v>
      </c>
      <c r="F42" s="604">
        <v>1671</v>
      </c>
      <c r="G42" s="604">
        <v>35</v>
      </c>
      <c r="H42" s="604">
        <v>6</v>
      </c>
      <c r="I42" s="582">
        <f t="shared" si="11"/>
        <v>1706</v>
      </c>
      <c r="J42" s="582">
        <f t="shared" si="7"/>
        <v>104</v>
      </c>
      <c r="K42" s="582">
        <f t="shared" si="8"/>
        <v>-104</v>
      </c>
      <c r="L42" s="582">
        <f t="shared" si="12"/>
        <v>-104</v>
      </c>
      <c r="M42" s="604">
        <v>13</v>
      </c>
      <c r="N42" s="582">
        <f t="shared" si="9"/>
        <v>-70</v>
      </c>
      <c r="O42" s="604">
        <v>246</v>
      </c>
      <c r="P42" s="604">
        <v>316</v>
      </c>
      <c r="Q42" s="604"/>
      <c r="R42" s="604"/>
      <c r="S42" s="604">
        <v>-47</v>
      </c>
    </row>
    <row r="43" spans="1:19" ht="12" customHeight="1">
      <c r="A43" s="603" t="s">
        <v>378</v>
      </c>
      <c r="B43" s="604">
        <v>1095</v>
      </c>
      <c r="C43" s="604">
        <v>996</v>
      </c>
      <c r="D43" s="604">
        <v>323</v>
      </c>
      <c r="E43" s="582">
        <f t="shared" si="10"/>
        <v>2091</v>
      </c>
      <c r="F43" s="604">
        <v>1997</v>
      </c>
      <c r="G43" s="604">
        <v>29</v>
      </c>
      <c r="H43" s="604">
        <v>6</v>
      </c>
      <c r="I43" s="582">
        <f t="shared" si="11"/>
        <v>2026</v>
      </c>
      <c r="J43" s="582">
        <f t="shared" si="7"/>
        <v>65</v>
      </c>
      <c r="K43" s="582">
        <f t="shared" si="8"/>
        <v>-65</v>
      </c>
      <c r="L43" s="582">
        <f t="shared" si="12"/>
        <v>-65</v>
      </c>
      <c r="M43" s="604">
        <v>2</v>
      </c>
      <c r="N43" s="582">
        <f t="shared" si="9"/>
        <v>-63</v>
      </c>
      <c r="O43" s="604">
        <v>207</v>
      </c>
      <c r="P43" s="604">
        <v>270</v>
      </c>
      <c r="Q43" s="604"/>
      <c r="R43" s="604">
        <v>-8</v>
      </c>
      <c r="S43" s="604">
        <v>4</v>
      </c>
    </row>
    <row r="44" spans="1:19" ht="12" customHeight="1">
      <c r="A44" s="603" t="s">
        <v>379</v>
      </c>
      <c r="B44" s="604">
        <v>1413</v>
      </c>
      <c r="C44" s="604">
        <v>1467</v>
      </c>
      <c r="D44" s="604">
        <v>379</v>
      </c>
      <c r="E44" s="582">
        <f t="shared" si="10"/>
        <v>2880</v>
      </c>
      <c r="F44" s="604">
        <v>2580</v>
      </c>
      <c r="G44" s="604">
        <v>257</v>
      </c>
      <c r="H44" s="604">
        <v>6</v>
      </c>
      <c r="I44" s="582">
        <f t="shared" si="11"/>
        <v>2837</v>
      </c>
      <c r="J44" s="582">
        <f t="shared" si="7"/>
        <v>43</v>
      </c>
      <c r="K44" s="582">
        <f t="shared" si="8"/>
        <v>-43</v>
      </c>
      <c r="L44" s="582">
        <f t="shared" si="12"/>
        <v>-43</v>
      </c>
      <c r="M44" s="604">
        <v>6</v>
      </c>
      <c r="N44" s="582">
        <f t="shared" si="9"/>
        <v>-46</v>
      </c>
      <c r="O44" s="604">
        <v>364</v>
      </c>
      <c r="P44" s="604">
        <v>410</v>
      </c>
      <c r="Q44" s="604">
        <v>-1</v>
      </c>
      <c r="R44" s="604">
        <v>-2</v>
      </c>
      <c r="S44" s="604"/>
    </row>
    <row r="45" spans="1:19" ht="12" customHeight="1">
      <c r="A45" s="603" t="s">
        <v>380</v>
      </c>
      <c r="B45" s="604">
        <v>879</v>
      </c>
      <c r="C45" s="604">
        <v>626</v>
      </c>
      <c r="D45" s="604">
        <v>193</v>
      </c>
      <c r="E45" s="582">
        <f t="shared" si="10"/>
        <v>1505</v>
      </c>
      <c r="F45" s="604">
        <v>1150</v>
      </c>
      <c r="G45" s="604">
        <v>76</v>
      </c>
      <c r="H45" s="604">
        <v>17</v>
      </c>
      <c r="I45" s="582">
        <f t="shared" si="11"/>
        <v>1226</v>
      </c>
      <c r="J45" s="582">
        <f t="shared" si="7"/>
        <v>279</v>
      </c>
      <c r="K45" s="582">
        <f t="shared" si="8"/>
        <v>-279</v>
      </c>
      <c r="L45" s="582">
        <f t="shared" si="12"/>
        <v>-279</v>
      </c>
      <c r="M45" s="604">
        <v>-41</v>
      </c>
      <c r="N45" s="582">
        <f t="shared" si="9"/>
        <v>-214</v>
      </c>
      <c r="O45" s="604">
        <v>75</v>
      </c>
      <c r="P45" s="604">
        <v>289</v>
      </c>
      <c r="Q45" s="604">
        <v>-1</v>
      </c>
      <c r="R45" s="604"/>
      <c r="S45" s="604">
        <v>-23</v>
      </c>
    </row>
    <row r="46" spans="1:19" ht="12" customHeight="1">
      <c r="A46" s="603" t="s">
        <v>381</v>
      </c>
      <c r="B46" s="604">
        <v>2357</v>
      </c>
      <c r="C46" s="604">
        <f>1364+20</f>
        <v>1384</v>
      </c>
      <c r="D46" s="604">
        <v>319</v>
      </c>
      <c r="E46" s="582">
        <f t="shared" si="10"/>
        <v>3741</v>
      </c>
      <c r="F46" s="604">
        <f>3263+20</f>
        <v>3283</v>
      </c>
      <c r="G46" s="604">
        <v>215</v>
      </c>
      <c r="H46" s="604">
        <v>83</v>
      </c>
      <c r="I46" s="582">
        <f t="shared" si="11"/>
        <v>3498</v>
      </c>
      <c r="J46" s="582">
        <f t="shared" si="7"/>
        <v>243</v>
      </c>
      <c r="K46" s="582">
        <f t="shared" si="8"/>
        <v>-243</v>
      </c>
      <c r="L46" s="582">
        <f t="shared" si="12"/>
        <v>-243</v>
      </c>
      <c r="M46" s="604">
        <v>-144</v>
      </c>
      <c r="N46" s="582">
        <f t="shared" si="9"/>
        <v>-173</v>
      </c>
      <c r="O46" s="604">
        <v>292</v>
      </c>
      <c r="P46" s="604">
        <v>465</v>
      </c>
      <c r="Q46" s="604">
        <v>-18</v>
      </c>
      <c r="R46" s="604">
        <v>-3</v>
      </c>
      <c r="S46" s="604">
        <v>95</v>
      </c>
    </row>
    <row r="47" spans="1:19" ht="12" customHeight="1">
      <c r="A47" s="603" t="s">
        <v>382</v>
      </c>
      <c r="B47" s="604">
        <v>390</v>
      </c>
      <c r="C47" s="604">
        <v>272</v>
      </c>
      <c r="D47" s="604">
        <v>47</v>
      </c>
      <c r="E47" s="606">
        <f t="shared" si="10"/>
        <v>662</v>
      </c>
      <c r="F47" s="604">
        <v>607</v>
      </c>
      <c r="G47" s="604">
        <v>29</v>
      </c>
      <c r="H47" s="604">
        <v>7</v>
      </c>
      <c r="I47" s="582">
        <f t="shared" si="11"/>
        <v>636</v>
      </c>
      <c r="J47" s="582">
        <f t="shared" si="7"/>
        <v>26</v>
      </c>
      <c r="K47" s="582">
        <f t="shared" si="8"/>
        <v>-26</v>
      </c>
      <c r="L47" s="582">
        <f t="shared" si="12"/>
        <v>-26</v>
      </c>
      <c r="M47" s="604">
        <v>-6</v>
      </c>
      <c r="N47" s="582">
        <f t="shared" si="9"/>
        <v>-42</v>
      </c>
      <c r="O47" s="604">
        <v>60</v>
      </c>
      <c r="P47" s="604">
        <v>102</v>
      </c>
      <c r="Q47" s="604"/>
      <c r="R47" s="604"/>
      <c r="S47" s="604">
        <v>22</v>
      </c>
    </row>
    <row r="48" spans="1:19" ht="12" customHeight="1">
      <c r="A48" s="602" t="s">
        <v>443</v>
      </c>
      <c r="B48" s="582">
        <f aca="true" t="shared" si="13" ref="B48:J48">SUM(B22:B47)</f>
        <v>28726</v>
      </c>
      <c r="C48" s="582">
        <f t="shared" si="13"/>
        <v>26135</v>
      </c>
      <c r="D48" s="582">
        <f t="shared" si="13"/>
        <v>8236</v>
      </c>
      <c r="E48" s="606">
        <f t="shared" si="13"/>
        <v>54861</v>
      </c>
      <c r="F48" s="582">
        <f t="shared" si="13"/>
        <v>49164</v>
      </c>
      <c r="G48" s="582">
        <f t="shared" si="13"/>
        <v>2671</v>
      </c>
      <c r="H48" s="582">
        <f t="shared" si="13"/>
        <v>1021</v>
      </c>
      <c r="I48" s="582">
        <f t="shared" si="13"/>
        <v>51835</v>
      </c>
      <c r="J48" s="582">
        <f t="shared" si="13"/>
        <v>3026</v>
      </c>
      <c r="K48" s="582">
        <f aca="true" t="shared" si="14" ref="K48:S48">SUM(K22:K47)</f>
        <v>-3026</v>
      </c>
      <c r="L48" s="582">
        <f t="shared" si="12"/>
        <v>-3026</v>
      </c>
      <c r="M48" s="582">
        <f t="shared" si="14"/>
        <v>-492</v>
      </c>
      <c r="N48" s="582">
        <f t="shared" si="14"/>
        <v>-2676</v>
      </c>
      <c r="O48" s="582">
        <f t="shared" si="14"/>
        <v>5837</v>
      </c>
      <c r="P48" s="582">
        <f t="shared" si="14"/>
        <v>8513</v>
      </c>
      <c r="Q48" s="582">
        <f t="shared" si="14"/>
        <v>-16</v>
      </c>
      <c r="R48" s="582">
        <f t="shared" si="14"/>
        <v>-138</v>
      </c>
      <c r="S48" s="582">
        <f t="shared" si="14"/>
        <v>296</v>
      </c>
    </row>
    <row r="49" spans="1:19" ht="12" customHeight="1">
      <c r="A49" s="607" t="s">
        <v>383</v>
      </c>
      <c r="B49" s="582">
        <f aca="true" t="shared" si="15" ref="B49:S49">B48+B20</f>
        <v>71285</v>
      </c>
      <c r="C49" s="582">
        <f t="shared" si="15"/>
        <v>36750</v>
      </c>
      <c r="D49" s="582">
        <f t="shared" si="15"/>
        <v>8591</v>
      </c>
      <c r="E49" s="582">
        <f t="shared" si="15"/>
        <v>108035</v>
      </c>
      <c r="F49" s="582">
        <f t="shared" si="15"/>
        <v>95769</v>
      </c>
      <c r="G49" s="582">
        <f t="shared" si="15"/>
        <v>8393</v>
      </c>
      <c r="H49" s="582">
        <f t="shared" si="15"/>
        <v>6694</v>
      </c>
      <c r="I49" s="582">
        <f t="shared" si="15"/>
        <v>104162</v>
      </c>
      <c r="J49" s="582">
        <f t="shared" si="15"/>
        <v>3873</v>
      </c>
      <c r="K49" s="582">
        <f t="shared" si="15"/>
        <v>-3873</v>
      </c>
      <c r="L49" s="582">
        <f t="shared" si="12"/>
        <v>-3873</v>
      </c>
      <c r="M49" s="582">
        <f t="shared" si="15"/>
        <v>-742</v>
      </c>
      <c r="N49" s="582">
        <f t="shared" si="15"/>
        <v>-4104</v>
      </c>
      <c r="O49" s="582">
        <f t="shared" si="15"/>
        <v>12128</v>
      </c>
      <c r="P49" s="582">
        <f t="shared" si="15"/>
        <v>16232</v>
      </c>
      <c r="Q49" s="582">
        <f t="shared" si="15"/>
        <v>-28</v>
      </c>
      <c r="R49" s="582">
        <f t="shared" si="15"/>
        <v>714</v>
      </c>
      <c r="S49" s="582">
        <f t="shared" si="15"/>
        <v>287</v>
      </c>
    </row>
    <row r="50" ht="12" customHeight="1"/>
    <row r="51" spans="1:9" s="517" customFormat="1" ht="17.25" customHeight="1">
      <c r="A51" s="564" t="s">
        <v>473</v>
      </c>
      <c r="I51" s="517" t="s">
        <v>474</v>
      </c>
    </row>
    <row r="52" s="517" customFormat="1" ht="17.25" customHeight="1">
      <c r="A52" s="564"/>
    </row>
    <row r="53" spans="1:14" s="517" customFormat="1" ht="17.25" customHeight="1">
      <c r="A53" s="608"/>
      <c r="B53" s="515"/>
      <c r="C53" s="515"/>
      <c r="D53" s="515"/>
      <c r="E53" s="515"/>
      <c r="F53" s="515"/>
      <c r="G53" s="515"/>
      <c r="H53" s="515"/>
      <c r="I53" s="515"/>
      <c r="J53" s="515"/>
      <c r="K53" s="515"/>
      <c r="L53" s="515"/>
      <c r="M53" s="515"/>
      <c r="N53" s="515"/>
    </row>
    <row r="54" s="517" customFormat="1" ht="17.25" customHeight="1">
      <c r="A54" s="564"/>
    </row>
    <row r="55" spans="1:15" s="517" customFormat="1" ht="17.25" customHeight="1">
      <c r="A55" s="567"/>
      <c r="B55" s="549"/>
      <c r="C55" s="4"/>
      <c r="D55" s="4"/>
      <c r="E55" s="4"/>
      <c r="F55" s="4"/>
      <c r="G55" s="4"/>
      <c r="H55" s="4"/>
      <c r="J55" s="569"/>
      <c r="K55" s="569"/>
      <c r="L55" s="569"/>
      <c r="M55" s="569"/>
      <c r="N55" s="569"/>
      <c r="O55" s="569"/>
    </row>
    <row r="56" s="548" customFormat="1" ht="17.25" customHeight="1">
      <c r="A56" s="592"/>
    </row>
    <row r="58" spans="1:10" ht="17.25" customHeight="1">
      <c r="A58" s="52" t="s">
        <v>328</v>
      </c>
      <c r="B58" s="167"/>
      <c r="C58" s="167"/>
      <c r="D58" s="8"/>
      <c r="E58" s="609"/>
      <c r="F58" s="8"/>
      <c r="G58" s="167"/>
      <c r="H58" s="8"/>
      <c r="J58" s="5" t="s">
        <v>830</v>
      </c>
    </row>
    <row r="59" spans="1:14" s="4" customFormat="1" ht="17.25" customHeight="1">
      <c r="A59" s="80"/>
      <c r="B59" s="9"/>
      <c r="C59" s="9"/>
      <c r="D59" s="9"/>
      <c r="E59" s="524"/>
      <c r="F59" s="517"/>
      <c r="G59" s="517"/>
      <c r="H59" s="517"/>
      <c r="I59" s="517"/>
      <c r="J59" s="517"/>
      <c r="K59" s="517"/>
      <c r="L59" s="517"/>
      <c r="M59" s="517"/>
      <c r="N59" s="5"/>
    </row>
    <row r="60" ht="17.25" customHeight="1">
      <c r="A60" s="89"/>
    </row>
    <row r="62" spans="1:5" ht="17.25" customHeight="1">
      <c r="A62" s="784" t="s">
        <v>475</v>
      </c>
      <c r="B62" s="784"/>
      <c r="C62" s="784"/>
      <c r="D62" s="784"/>
      <c r="E62" s="784"/>
    </row>
    <row r="63" spans="1:3" ht="17.25" customHeight="1">
      <c r="A63" s="785" t="s">
        <v>832</v>
      </c>
      <c r="B63" s="785"/>
      <c r="C63" s="785"/>
    </row>
    <row r="68" s="3" customFormat="1" ht="17.25" customHeight="1">
      <c r="A68" s="89"/>
    </row>
  </sheetData>
  <mergeCells count="16">
    <mergeCell ref="H9:H10"/>
    <mergeCell ref="I9:I10"/>
    <mergeCell ref="A4:S4"/>
    <mergeCell ref="A5:S5"/>
    <mergeCell ref="A8:A10"/>
    <mergeCell ref="J8:J10"/>
    <mergeCell ref="K8:K10"/>
    <mergeCell ref="S8:S10"/>
    <mergeCell ref="B9:B10"/>
    <mergeCell ref="C9:C10"/>
    <mergeCell ref="A62:E62"/>
    <mergeCell ref="A63:C63"/>
    <mergeCell ref="F9:F10"/>
    <mergeCell ref="G9:G10"/>
    <mergeCell ref="D9:D10"/>
    <mergeCell ref="E9:E10"/>
  </mergeCells>
  <printOptions/>
  <pageMargins left="0.49" right="0.17" top="1" bottom="1" header="0.5" footer="0.5"/>
  <pageSetup fitToHeight="2" fitToWidth="1" horizontalDpi="300" verticalDpi="3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 topLeftCell="A1">
      <selection activeCell="C7" sqref="C7:E8"/>
    </sheetView>
  </sheetViews>
  <sheetFormatPr defaultColWidth="9.140625" defaultRowHeight="17.25" customHeight="1"/>
  <cols>
    <col min="1" max="1" width="22.00390625" style="571" customWidth="1"/>
    <col min="2" max="2" width="8.28125" style="3" customWidth="1"/>
    <col min="3" max="3" width="7.57421875" style="3" customWidth="1"/>
    <col min="4" max="4" width="6.7109375" style="3" customWidth="1"/>
    <col min="5" max="5" width="6.00390625" style="3" customWidth="1"/>
    <col min="6" max="6" width="11.140625" style="3" customWidth="1"/>
    <col min="7" max="7" width="9.8515625" style="3" customWidth="1"/>
    <col min="8" max="8" width="10.7109375" style="3" customWidth="1"/>
    <col min="9" max="9" width="10.28125" style="3" customWidth="1"/>
    <col min="10" max="10" width="0.13671875" style="3" hidden="1" customWidth="1"/>
    <col min="11" max="11" width="8.421875" style="3" customWidth="1"/>
    <col min="12" max="12" width="7.57421875" style="3" customWidth="1"/>
    <col min="13" max="13" width="10.421875" style="3" customWidth="1"/>
    <col min="14" max="14" width="7.57421875" style="3" customWidth="1"/>
    <col min="15" max="15" width="11.140625" style="3" customWidth="1"/>
    <col min="16" max="16" width="10.421875" style="3" customWidth="1"/>
    <col min="17" max="17" width="11.00390625" style="3" customWidth="1"/>
    <col min="18" max="21" width="7.140625" style="3" customWidth="1"/>
    <col min="22" max="16384" width="9.140625" style="3" customWidth="1"/>
  </cols>
  <sheetData>
    <row r="1" spans="1:17" ht="17.25" customHeight="1">
      <c r="A1" s="3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89" t="s">
        <v>445</v>
      </c>
    </row>
    <row r="2" spans="1:17" ht="17.25" customHeight="1">
      <c r="A2" s="1" t="s">
        <v>424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89"/>
    </row>
    <row r="3" spans="1:17" ht="17.2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89"/>
    </row>
    <row r="4" spans="1:21" s="575" customFormat="1" ht="16.5" customHeight="1">
      <c r="A4" s="572" t="s">
        <v>446</v>
      </c>
      <c r="B4" s="573"/>
      <c r="C4" s="573"/>
      <c r="D4" s="573"/>
      <c r="E4" s="573"/>
      <c r="F4" s="573"/>
      <c r="G4" s="327"/>
      <c r="H4" s="327"/>
      <c r="I4" s="573"/>
      <c r="J4" s="573"/>
      <c r="K4" s="573"/>
      <c r="L4" s="573"/>
      <c r="M4" s="573"/>
      <c r="N4" s="573"/>
      <c r="O4" s="573"/>
      <c r="P4" s="573"/>
      <c r="Q4" s="573"/>
      <c r="R4" s="574"/>
      <c r="S4" s="574"/>
      <c r="T4" s="574"/>
      <c r="U4" s="574"/>
    </row>
    <row r="5" spans="1:21" s="575" customFormat="1" ht="15" customHeight="1">
      <c r="A5" s="576" t="s">
        <v>793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4"/>
      <c r="S5" s="574"/>
      <c r="T5" s="574"/>
      <c r="U5" s="574"/>
    </row>
    <row r="6" spans="1:21" ht="12.75" customHeight="1">
      <c r="A6" s="57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Q6" s="10" t="s">
        <v>747</v>
      </c>
      <c r="S6" s="327"/>
      <c r="T6" s="327"/>
      <c r="U6" s="327"/>
    </row>
    <row r="7" spans="1:21" ht="17.25" customHeight="1">
      <c r="A7" s="797" t="s">
        <v>426</v>
      </c>
      <c r="B7" s="797" t="s">
        <v>874</v>
      </c>
      <c r="C7" s="805" t="s">
        <v>427</v>
      </c>
      <c r="D7" s="806"/>
      <c r="E7" s="807"/>
      <c r="F7" s="797" t="s">
        <v>428</v>
      </c>
      <c r="G7" s="797" t="s">
        <v>447</v>
      </c>
      <c r="H7" s="797" t="s">
        <v>430</v>
      </c>
      <c r="I7" s="797" t="s">
        <v>448</v>
      </c>
      <c r="J7" s="498"/>
      <c r="K7" s="579" t="s">
        <v>432</v>
      </c>
      <c r="L7" s="580"/>
      <c r="M7" s="580"/>
      <c r="N7" s="499"/>
      <c r="O7" s="580"/>
      <c r="P7" s="580"/>
      <c r="Q7" s="797" t="s">
        <v>433</v>
      </c>
      <c r="S7" s="327"/>
      <c r="T7" s="327"/>
      <c r="U7" s="327"/>
    </row>
    <row r="8" spans="1:17" s="89" customFormat="1" ht="17.25" customHeight="1">
      <c r="A8" s="798"/>
      <c r="B8" s="798"/>
      <c r="C8" s="805"/>
      <c r="D8" s="806"/>
      <c r="E8" s="807"/>
      <c r="F8" s="798"/>
      <c r="G8" s="798"/>
      <c r="H8" s="798"/>
      <c r="I8" s="798"/>
      <c r="J8" s="581"/>
      <c r="K8" s="802" t="s">
        <v>434</v>
      </c>
      <c r="L8" s="803"/>
      <c r="M8" s="803"/>
      <c r="N8" s="803"/>
      <c r="O8" s="803"/>
      <c r="P8" s="804"/>
      <c r="Q8" s="800"/>
    </row>
    <row r="9" spans="1:21" ht="45">
      <c r="A9" s="799"/>
      <c r="B9" s="799"/>
      <c r="C9" s="11" t="s">
        <v>449</v>
      </c>
      <c r="D9" s="11" t="s">
        <v>436</v>
      </c>
      <c r="E9" s="11" t="s">
        <v>437</v>
      </c>
      <c r="F9" s="799"/>
      <c r="G9" s="799"/>
      <c r="H9" s="799"/>
      <c r="I9" s="799"/>
      <c r="J9" s="501"/>
      <c r="K9" s="561" t="s">
        <v>140</v>
      </c>
      <c r="L9" s="561" t="s">
        <v>438</v>
      </c>
      <c r="M9" s="561" t="s">
        <v>439</v>
      </c>
      <c r="N9" s="561" t="s">
        <v>440</v>
      </c>
      <c r="O9" s="11" t="s">
        <v>450</v>
      </c>
      <c r="P9" s="11" t="s">
        <v>152</v>
      </c>
      <c r="Q9" s="801"/>
      <c r="R9" s="89"/>
      <c r="S9" s="327"/>
      <c r="T9" s="327"/>
      <c r="U9" s="327"/>
    </row>
    <row r="10" spans="1:21" ht="17.25" customHeight="1">
      <c r="A10" s="11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/>
      <c r="K10" s="267">
        <v>10</v>
      </c>
      <c r="L10" s="267">
        <v>11</v>
      </c>
      <c r="M10" s="267">
        <v>12</v>
      </c>
      <c r="N10" s="267">
        <v>13</v>
      </c>
      <c r="O10" s="267">
        <v>14</v>
      </c>
      <c r="P10" s="267">
        <v>15</v>
      </c>
      <c r="Q10" s="267">
        <v>16</v>
      </c>
      <c r="R10" s="89"/>
      <c r="S10" s="327"/>
      <c r="T10" s="327"/>
      <c r="U10" s="327"/>
    </row>
    <row r="11" spans="1:18" ht="12" customHeight="1">
      <c r="A11" s="502" t="s">
        <v>350</v>
      </c>
      <c r="B11" s="582">
        <v>3406</v>
      </c>
      <c r="C11" s="311">
        <v>1386</v>
      </c>
      <c r="D11" s="311">
        <v>364</v>
      </c>
      <c r="E11" s="582">
        <f>SUM(C11:D11)</f>
        <v>1750</v>
      </c>
      <c r="F11" s="582">
        <f>B11-E11</f>
        <v>1656</v>
      </c>
      <c r="G11" s="582"/>
      <c r="H11" s="582">
        <f>F11-G11</f>
        <v>1656</v>
      </c>
      <c r="I11" s="582">
        <f aca="true" t="shared" si="0" ref="I11:I46">-H11</f>
        <v>-1656</v>
      </c>
      <c r="J11" s="582">
        <f>K11+L11+O11+P11+Q11</f>
        <v>-1656</v>
      </c>
      <c r="K11" s="582"/>
      <c r="L11" s="582">
        <f>M11-N11</f>
        <v>-1656</v>
      </c>
      <c r="M11" s="582">
        <v>10514</v>
      </c>
      <c r="N11" s="582">
        <v>12170</v>
      </c>
      <c r="O11" s="582"/>
      <c r="P11" s="582"/>
      <c r="Q11" s="582"/>
      <c r="R11" s="497"/>
    </row>
    <row r="12" spans="1:18" ht="12" customHeight="1">
      <c r="A12" s="502" t="s">
        <v>351</v>
      </c>
      <c r="B12" s="582">
        <v>268</v>
      </c>
      <c r="C12" s="311">
        <v>101</v>
      </c>
      <c r="D12" s="311">
        <v>130</v>
      </c>
      <c r="E12" s="582">
        <f aca="true" t="shared" si="1" ref="E12:E45">SUM(C12:D12)</f>
        <v>231</v>
      </c>
      <c r="F12" s="582">
        <f aca="true" t="shared" si="2" ref="F12:F45">B12-E12</f>
        <v>37</v>
      </c>
      <c r="G12" s="582">
        <v>3</v>
      </c>
      <c r="H12" s="582">
        <f>F12-G12</f>
        <v>34</v>
      </c>
      <c r="I12" s="582">
        <f t="shared" si="0"/>
        <v>-34</v>
      </c>
      <c r="J12" s="582">
        <f aca="true" t="shared" si="3" ref="J12:J44">K12+L12+O12+P12+Q12</f>
        <v>-34</v>
      </c>
      <c r="K12" s="582"/>
      <c r="L12" s="582">
        <f aca="true" t="shared" si="4" ref="L12:L44">M12-N12</f>
        <v>-34</v>
      </c>
      <c r="M12" s="582">
        <v>98</v>
      </c>
      <c r="N12" s="582">
        <v>132</v>
      </c>
      <c r="O12" s="582"/>
      <c r="P12" s="582"/>
      <c r="Q12" s="582"/>
      <c r="R12" s="497"/>
    </row>
    <row r="13" spans="1:18" ht="12" customHeight="1">
      <c r="A13" s="502" t="s">
        <v>352</v>
      </c>
      <c r="B13" s="582">
        <v>162</v>
      </c>
      <c r="C13" s="311">
        <v>154</v>
      </c>
      <c r="D13" s="311">
        <v>21</v>
      </c>
      <c r="E13" s="582">
        <f t="shared" si="1"/>
        <v>175</v>
      </c>
      <c r="F13" s="582">
        <f t="shared" si="2"/>
        <v>-13</v>
      </c>
      <c r="G13" s="582">
        <v>37</v>
      </c>
      <c r="H13" s="582">
        <f>F13-G13</f>
        <v>-50</v>
      </c>
      <c r="I13" s="582">
        <f t="shared" si="0"/>
        <v>50</v>
      </c>
      <c r="J13" s="582">
        <f t="shared" si="3"/>
        <v>50</v>
      </c>
      <c r="K13" s="582"/>
      <c r="L13" s="582">
        <f t="shared" si="4"/>
        <v>50</v>
      </c>
      <c r="M13" s="582">
        <v>165</v>
      </c>
      <c r="N13" s="582">
        <v>115</v>
      </c>
      <c r="O13" s="582"/>
      <c r="P13" s="582"/>
      <c r="Q13" s="582"/>
      <c r="R13" s="497"/>
    </row>
    <row r="14" spans="1:18" ht="12" customHeight="1">
      <c r="A14" s="502" t="s">
        <v>353</v>
      </c>
      <c r="B14" s="582">
        <v>435</v>
      </c>
      <c r="C14" s="311">
        <v>164</v>
      </c>
      <c r="D14" s="311">
        <v>229</v>
      </c>
      <c r="E14" s="582">
        <f t="shared" si="1"/>
        <v>393</v>
      </c>
      <c r="F14" s="582">
        <f t="shared" si="2"/>
        <v>42</v>
      </c>
      <c r="G14" s="582"/>
      <c r="H14" s="582">
        <f>F14-G14</f>
        <v>42</v>
      </c>
      <c r="I14" s="582">
        <f t="shared" si="0"/>
        <v>-42</v>
      </c>
      <c r="J14" s="582">
        <f t="shared" si="3"/>
        <v>-42</v>
      </c>
      <c r="K14" s="582"/>
      <c r="L14" s="582">
        <f t="shared" si="4"/>
        <v>-42</v>
      </c>
      <c r="M14" s="582">
        <v>74</v>
      </c>
      <c r="N14" s="582">
        <v>116</v>
      </c>
      <c r="O14" s="582"/>
      <c r="P14" s="582"/>
      <c r="Q14" s="582"/>
      <c r="R14" s="497"/>
    </row>
    <row r="15" spans="1:18" ht="12" customHeight="1">
      <c r="A15" s="502" t="s">
        <v>354</v>
      </c>
      <c r="B15" s="582">
        <v>275</v>
      </c>
      <c r="C15" s="311">
        <v>88</v>
      </c>
      <c r="D15" s="311">
        <v>123</v>
      </c>
      <c r="E15" s="582">
        <f t="shared" si="1"/>
        <v>211</v>
      </c>
      <c r="F15" s="582">
        <f t="shared" si="2"/>
        <v>64</v>
      </c>
      <c r="G15" s="582">
        <v>23</v>
      </c>
      <c r="H15" s="582">
        <f>F15-G15</f>
        <v>41</v>
      </c>
      <c r="I15" s="582">
        <f t="shared" si="0"/>
        <v>-41</v>
      </c>
      <c r="J15" s="582">
        <f t="shared" si="3"/>
        <v>-41</v>
      </c>
      <c r="K15" s="582"/>
      <c r="L15" s="582">
        <f t="shared" si="4"/>
        <v>-41</v>
      </c>
      <c r="M15" s="582">
        <v>646</v>
      </c>
      <c r="N15" s="582">
        <v>687</v>
      </c>
      <c r="O15" s="582"/>
      <c r="P15" s="582"/>
      <c r="Q15" s="582"/>
      <c r="R15" s="497"/>
    </row>
    <row r="16" spans="1:18" ht="12" customHeight="1">
      <c r="A16" s="502" t="s">
        <v>355</v>
      </c>
      <c r="B16" s="582">
        <v>93</v>
      </c>
      <c r="C16" s="311">
        <v>55</v>
      </c>
      <c r="D16" s="311">
        <v>17</v>
      </c>
      <c r="E16" s="582">
        <f t="shared" si="1"/>
        <v>72</v>
      </c>
      <c r="F16" s="582">
        <f t="shared" si="2"/>
        <v>21</v>
      </c>
      <c r="G16" s="582"/>
      <c r="H16" s="582">
        <f>F16+G16</f>
        <v>21</v>
      </c>
      <c r="I16" s="582">
        <f t="shared" si="0"/>
        <v>-21</v>
      </c>
      <c r="J16" s="582">
        <f t="shared" si="3"/>
        <v>-21</v>
      </c>
      <c r="K16" s="582"/>
      <c r="L16" s="582">
        <f t="shared" si="4"/>
        <v>-21</v>
      </c>
      <c r="M16" s="582">
        <v>73</v>
      </c>
      <c r="N16" s="582">
        <v>94</v>
      </c>
      <c r="O16" s="582"/>
      <c r="P16" s="582"/>
      <c r="Q16" s="582"/>
      <c r="R16" s="497"/>
    </row>
    <row r="17" spans="1:18" ht="12" customHeight="1">
      <c r="A17" s="562" t="s">
        <v>356</v>
      </c>
      <c r="B17" s="582">
        <v>658</v>
      </c>
      <c r="C17" s="311">
        <v>161</v>
      </c>
      <c r="D17" s="311">
        <v>369</v>
      </c>
      <c r="E17" s="582">
        <f t="shared" si="1"/>
        <v>530</v>
      </c>
      <c r="F17" s="582">
        <f t="shared" si="2"/>
        <v>128</v>
      </c>
      <c r="G17" s="582">
        <v>-997</v>
      </c>
      <c r="H17" s="582">
        <f>F17-G17</f>
        <v>1125</v>
      </c>
      <c r="I17" s="582">
        <f t="shared" si="0"/>
        <v>-1125</v>
      </c>
      <c r="J17" s="582">
        <f t="shared" si="3"/>
        <v>-1125</v>
      </c>
      <c r="K17" s="582"/>
      <c r="L17" s="582">
        <f t="shared" si="4"/>
        <v>-1125</v>
      </c>
      <c r="M17" s="582">
        <v>1125</v>
      </c>
      <c r="N17" s="582">
        <v>2250</v>
      </c>
      <c r="O17" s="582"/>
      <c r="P17" s="582"/>
      <c r="Q17" s="582"/>
      <c r="R17" s="497"/>
    </row>
    <row r="18" spans="1:21" s="575" customFormat="1" ht="12" customHeight="1">
      <c r="A18" s="583" t="s">
        <v>442</v>
      </c>
      <c r="B18" s="582">
        <f>SUM(B11:B17)</f>
        <v>5297</v>
      </c>
      <c r="C18" s="582">
        <f>SUM(C11:C17)</f>
        <v>2109</v>
      </c>
      <c r="D18" s="582">
        <f>SUM(D11:D17)</f>
        <v>1253</v>
      </c>
      <c r="E18" s="582">
        <f>SUM(E11:E17)</f>
        <v>3362</v>
      </c>
      <c r="F18" s="582">
        <f t="shared" si="2"/>
        <v>1935</v>
      </c>
      <c r="G18" s="582">
        <f>SUM(G11:G17)</f>
        <v>-934</v>
      </c>
      <c r="H18" s="582">
        <f>SUM(H11:H17)</f>
        <v>2869</v>
      </c>
      <c r="I18" s="582">
        <f t="shared" si="0"/>
        <v>-2869</v>
      </c>
      <c r="J18" s="582">
        <f t="shared" si="3"/>
        <v>-2869</v>
      </c>
      <c r="K18" s="582"/>
      <c r="L18" s="582">
        <f>M18-N18</f>
        <v>-2869</v>
      </c>
      <c r="M18" s="582">
        <f>SUM(M11:M17)</f>
        <v>12695</v>
      </c>
      <c r="N18" s="582">
        <f>SUM(N11:N17)</f>
        <v>15564</v>
      </c>
      <c r="O18" s="582"/>
      <c r="P18" s="582"/>
      <c r="Q18" s="582"/>
      <c r="R18" s="584"/>
      <c r="S18" s="584"/>
      <c r="T18" s="584"/>
      <c r="U18" s="584"/>
    </row>
    <row r="19" spans="1:18" ht="12" customHeight="1">
      <c r="A19" s="585" t="s">
        <v>357</v>
      </c>
      <c r="B19" s="582">
        <v>127</v>
      </c>
      <c r="C19" s="311">
        <v>89</v>
      </c>
      <c r="D19" s="311">
        <v>6</v>
      </c>
      <c r="E19" s="582">
        <f t="shared" si="1"/>
        <v>95</v>
      </c>
      <c r="F19" s="582">
        <f t="shared" si="2"/>
        <v>32</v>
      </c>
      <c r="G19" s="311"/>
      <c r="H19" s="582">
        <f>F19+G19</f>
        <v>32</v>
      </c>
      <c r="I19" s="582">
        <f t="shared" si="0"/>
        <v>-32</v>
      </c>
      <c r="J19" s="582">
        <f t="shared" si="3"/>
        <v>-32</v>
      </c>
      <c r="K19" s="582">
        <v>-1</v>
      </c>
      <c r="L19" s="582">
        <f>M19-N19</f>
        <v>-31</v>
      </c>
      <c r="M19" s="582">
        <v>134</v>
      </c>
      <c r="N19" s="582">
        <v>165</v>
      </c>
      <c r="O19" s="582"/>
      <c r="P19" s="582"/>
      <c r="Q19" s="582"/>
      <c r="R19" s="497"/>
    </row>
    <row r="20" spans="1:18" ht="12" customHeight="1">
      <c r="A20" s="586" t="s">
        <v>358</v>
      </c>
      <c r="B20" s="582">
        <v>95</v>
      </c>
      <c r="C20" s="311">
        <v>87</v>
      </c>
      <c r="D20" s="311">
        <v>1</v>
      </c>
      <c r="E20" s="582">
        <f t="shared" si="1"/>
        <v>88</v>
      </c>
      <c r="F20" s="582">
        <f t="shared" si="2"/>
        <v>7</v>
      </c>
      <c r="G20" s="582">
        <v>-2</v>
      </c>
      <c r="H20" s="582">
        <f aca="true" t="shared" si="5" ref="H20:H44">F20-G20</f>
        <v>9</v>
      </c>
      <c r="I20" s="582">
        <f t="shared" si="0"/>
        <v>-9</v>
      </c>
      <c r="J20" s="582">
        <f t="shared" si="3"/>
        <v>-9</v>
      </c>
      <c r="K20" s="582">
        <v>-3</v>
      </c>
      <c r="L20" s="582">
        <f>M20-N20</f>
        <v>-6</v>
      </c>
      <c r="M20" s="582">
        <v>121</v>
      </c>
      <c r="N20" s="582">
        <v>127</v>
      </c>
      <c r="O20" s="582"/>
      <c r="P20" s="582"/>
      <c r="Q20" s="582"/>
      <c r="R20" s="497"/>
    </row>
    <row r="21" spans="1:18" ht="12" customHeight="1">
      <c r="A21" s="502" t="s">
        <v>359</v>
      </c>
      <c r="B21" s="582">
        <v>106</v>
      </c>
      <c r="C21" s="311">
        <v>89</v>
      </c>
      <c r="D21" s="311"/>
      <c r="E21" s="582">
        <f t="shared" si="1"/>
        <v>89</v>
      </c>
      <c r="F21" s="582">
        <f t="shared" si="2"/>
        <v>17</v>
      </c>
      <c r="G21" s="582">
        <v>6</v>
      </c>
      <c r="H21" s="582">
        <f t="shared" si="5"/>
        <v>11</v>
      </c>
      <c r="I21" s="582">
        <f t="shared" si="0"/>
        <v>-11</v>
      </c>
      <c r="J21" s="582">
        <f t="shared" si="3"/>
        <v>-11</v>
      </c>
      <c r="K21" s="582"/>
      <c r="L21" s="582">
        <f t="shared" si="4"/>
        <v>-11</v>
      </c>
      <c r="M21" s="582">
        <v>85</v>
      </c>
      <c r="N21" s="582">
        <v>96</v>
      </c>
      <c r="O21" s="582"/>
      <c r="P21" s="582"/>
      <c r="Q21" s="582"/>
      <c r="R21" s="497"/>
    </row>
    <row r="22" spans="1:18" ht="12" customHeight="1">
      <c r="A22" s="502" t="s">
        <v>360</v>
      </c>
      <c r="B22" s="582">
        <v>152</v>
      </c>
      <c r="C22" s="311">
        <v>129</v>
      </c>
      <c r="D22" s="311">
        <v>9</v>
      </c>
      <c r="E22" s="582">
        <f t="shared" si="1"/>
        <v>138</v>
      </c>
      <c r="F22" s="582">
        <f t="shared" si="2"/>
        <v>14</v>
      </c>
      <c r="G22" s="582"/>
      <c r="H22" s="582">
        <f t="shared" si="5"/>
        <v>14</v>
      </c>
      <c r="I22" s="582">
        <f t="shared" si="0"/>
        <v>-14</v>
      </c>
      <c r="J22" s="582">
        <f t="shared" si="3"/>
        <v>-14</v>
      </c>
      <c r="K22" s="582"/>
      <c r="L22" s="582">
        <f t="shared" si="4"/>
        <v>-14</v>
      </c>
      <c r="M22" s="582">
        <v>174</v>
      </c>
      <c r="N22" s="582">
        <v>188</v>
      </c>
      <c r="O22" s="582"/>
      <c r="P22" s="582"/>
      <c r="Q22" s="582"/>
      <c r="R22" s="497"/>
    </row>
    <row r="23" spans="1:18" ht="12" customHeight="1">
      <c r="A23" s="502" t="s">
        <v>361</v>
      </c>
      <c r="B23" s="582">
        <v>229</v>
      </c>
      <c r="C23" s="311">
        <v>189</v>
      </c>
      <c r="D23" s="311">
        <v>45</v>
      </c>
      <c r="E23" s="582">
        <f t="shared" si="1"/>
        <v>234</v>
      </c>
      <c r="F23" s="582">
        <f t="shared" si="2"/>
        <v>-5</v>
      </c>
      <c r="G23" s="582">
        <v>-4</v>
      </c>
      <c r="H23" s="582">
        <f t="shared" si="5"/>
        <v>-1</v>
      </c>
      <c r="I23" s="582">
        <f t="shared" si="0"/>
        <v>1</v>
      </c>
      <c r="J23" s="582">
        <f t="shared" si="3"/>
        <v>1</v>
      </c>
      <c r="K23" s="582">
        <v>2</v>
      </c>
      <c r="L23" s="582">
        <f t="shared" si="4"/>
        <v>-1</v>
      </c>
      <c r="M23" s="582">
        <v>144</v>
      </c>
      <c r="N23" s="582">
        <v>145</v>
      </c>
      <c r="O23" s="582"/>
      <c r="P23" s="582"/>
      <c r="Q23" s="582"/>
      <c r="R23" s="497"/>
    </row>
    <row r="24" spans="1:18" ht="12" customHeight="1">
      <c r="A24" s="502" t="s">
        <v>362</v>
      </c>
      <c r="B24" s="582">
        <v>158</v>
      </c>
      <c r="C24" s="311">
        <v>126</v>
      </c>
      <c r="D24" s="311">
        <v>58</v>
      </c>
      <c r="E24" s="582">
        <f t="shared" si="1"/>
        <v>184</v>
      </c>
      <c r="F24" s="582">
        <f t="shared" si="2"/>
        <v>-26</v>
      </c>
      <c r="G24" s="582"/>
      <c r="H24" s="582">
        <f t="shared" si="5"/>
        <v>-26</v>
      </c>
      <c r="I24" s="582">
        <f t="shared" si="0"/>
        <v>26</v>
      </c>
      <c r="J24" s="582">
        <f t="shared" si="3"/>
        <v>26</v>
      </c>
      <c r="K24" s="582"/>
      <c r="L24" s="582">
        <f t="shared" si="4"/>
        <v>26</v>
      </c>
      <c r="M24" s="582">
        <v>99</v>
      </c>
      <c r="N24" s="582">
        <v>73</v>
      </c>
      <c r="O24" s="582"/>
      <c r="P24" s="582"/>
      <c r="Q24" s="582"/>
      <c r="R24" s="497"/>
    </row>
    <row r="25" spans="1:18" ht="12" customHeight="1">
      <c r="A25" s="502" t="s">
        <v>363</v>
      </c>
      <c r="B25" s="582">
        <v>88</v>
      </c>
      <c r="C25" s="311">
        <v>52</v>
      </c>
      <c r="D25" s="311">
        <v>66</v>
      </c>
      <c r="E25" s="582">
        <f t="shared" si="1"/>
        <v>118</v>
      </c>
      <c r="F25" s="582">
        <f t="shared" si="2"/>
        <v>-30</v>
      </c>
      <c r="G25" s="582">
        <v>2</v>
      </c>
      <c r="H25" s="582">
        <f t="shared" si="5"/>
        <v>-32</v>
      </c>
      <c r="I25" s="582">
        <f t="shared" si="0"/>
        <v>32</v>
      </c>
      <c r="J25" s="582">
        <f t="shared" si="3"/>
        <v>32</v>
      </c>
      <c r="K25" s="582"/>
      <c r="L25" s="582">
        <f t="shared" si="4"/>
        <v>32</v>
      </c>
      <c r="M25" s="582">
        <v>227</v>
      </c>
      <c r="N25" s="582">
        <v>195</v>
      </c>
      <c r="O25" s="582"/>
      <c r="P25" s="582"/>
      <c r="Q25" s="582"/>
      <c r="R25" s="497"/>
    </row>
    <row r="26" spans="1:18" ht="12" customHeight="1">
      <c r="A26" s="502" t="s">
        <v>364</v>
      </c>
      <c r="B26" s="582">
        <v>93</v>
      </c>
      <c r="C26" s="311">
        <v>120</v>
      </c>
      <c r="D26" s="311">
        <v>5</v>
      </c>
      <c r="E26" s="582">
        <f t="shared" si="1"/>
        <v>125</v>
      </c>
      <c r="F26" s="582">
        <f t="shared" si="2"/>
        <v>-32</v>
      </c>
      <c r="G26" s="582">
        <v>-4</v>
      </c>
      <c r="H26" s="582">
        <f t="shared" si="5"/>
        <v>-28</v>
      </c>
      <c r="I26" s="582">
        <f t="shared" si="0"/>
        <v>28</v>
      </c>
      <c r="J26" s="582">
        <f t="shared" si="3"/>
        <v>28</v>
      </c>
      <c r="K26" s="582">
        <v>-1</v>
      </c>
      <c r="L26" s="582">
        <f t="shared" si="4"/>
        <v>29</v>
      </c>
      <c r="M26" s="582">
        <v>135</v>
      </c>
      <c r="N26" s="582">
        <v>106</v>
      </c>
      <c r="O26" s="582"/>
      <c r="P26" s="582"/>
      <c r="Q26" s="582"/>
      <c r="R26" s="497"/>
    </row>
    <row r="27" spans="1:18" ht="12" customHeight="1">
      <c r="A27" s="502" t="s">
        <v>365</v>
      </c>
      <c r="B27" s="582">
        <v>113</v>
      </c>
      <c r="C27" s="311">
        <v>79</v>
      </c>
      <c r="D27" s="311"/>
      <c r="E27" s="582">
        <f t="shared" si="1"/>
        <v>79</v>
      </c>
      <c r="F27" s="582">
        <f t="shared" si="2"/>
        <v>34</v>
      </c>
      <c r="G27" s="582">
        <v>-5</v>
      </c>
      <c r="H27" s="582">
        <f t="shared" si="5"/>
        <v>39</v>
      </c>
      <c r="I27" s="582">
        <f t="shared" si="0"/>
        <v>-39</v>
      </c>
      <c r="J27" s="582">
        <f t="shared" si="3"/>
        <v>-39</v>
      </c>
      <c r="K27" s="582"/>
      <c r="L27" s="582">
        <f t="shared" si="4"/>
        <v>-31</v>
      </c>
      <c r="M27" s="582">
        <v>112</v>
      </c>
      <c r="N27" s="582">
        <v>143</v>
      </c>
      <c r="O27" s="582">
        <v>-8</v>
      </c>
      <c r="P27" s="582"/>
      <c r="Q27" s="582"/>
      <c r="R27" s="497"/>
    </row>
    <row r="28" spans="1:18" ht="12" customHeight="1">
      <c r="A28" s="502" t="s">
        <v>366</v>
      </c>
      <c r="B28" s="582">
        <v>173</v>
      </c>
      <c r="C28" s="311">
        <v>110</v>
      </c>
      <c r="D28" s="311">
        <v>27</v>
      </c>
      <c r="E28" s="582">
        <f>SUM(C28:D28)</f>
        <v>137</v>
      </c>
      <c r="F28" s="582">
        <f t="shared" si="2"/>
        <v>36</v>
      </c>
      <c r="G28" s="582">
        <v>-13</v>
      </c>
      <c r="H28" s="582">
        <f t="shared" si="5"/>
        <v>49</v>
      </c>
      <c r="I28" s="582">
        <f t="shared" si="0"/>
        <v>-49</v>
      </c>
      <c r="J28" s="582">
        <f t="shared" si="3"/>
        <v>-49</v>
      </c>
      <c r="K28" s="582"/>
      <c r="L28" s="582">
        <f t="shared" si="4"/>
        <v>-49</v>
      </c>
      <c r="M28" s="582">
        <v>112</v>
      </c>
      <c r="N28" s="582">
        <v>161</v>
      </c>
      <c r="O28" s="582"/>
      <c r="P28" s="582"/>
      <c r="Q28" s="582"/>
      <c r="R28" s="497"/>
    </row>
    <row r="29" spans="1:18" ht="12" customHeight="1">
      <c r="A29" s="502" t="s">
        <v>367</v>
      </c>
      <c r="B29" s="582">
        <v>145</v>
      </c>
      <c r="C29" s="311">
        <v>145</v>
      </c>
      <c r="D29" s="311">
        <v>1</v>
      </c>
      <c r="E29" s="582">
        <f t="shared" si="1"/>
        <v>146</v>
      </c>
      <c r="F29" s="582">
        <f t="shared" si="2"/>
        <v>-1</v>
      </c>
      <c r="G29" s="582"/>
      <c r="H29" s="582">
        <f t="shared" si="5"/>
        <v>-1</v>
      </c>
      <c r="I29" s="582">
        <f t="shared" si="0"/>
        <v>1</v>
      </c>
      <c r="J29" s="582">
        <f t="shared" si="3"/>
        <v>1</v>
      </c>
      <c r="K29" s="582"/>
      <c r="L29" s="582">
        <f t="shared" si="4"/>
        <v>1</v>
      </c>
      <c r="M29" s="582">
        <v>134</v>
      </c>
      <c r="N29" s="582">
        <v>133</v>
      </c>
      <c r="O29" s="582"/>
      <c r="P29" s="582"/>
      <c r="Q29" s="582"/>
      <c r="R29" s="497"/>
    </row>
    <row r="30" spans="1:18" ht="12" customHeight="1">
      <c r="A30" s="502" t="s">
        <v>368</v>
      </c>
      <c r="B30" s="582">
        <v>155</v>
      </c>
      <c r="C30" s="311">
        <v>167</v>
      </c>
      <c r="D30" s="311">
        <v>38</v>
      </c>
      <c r="E30" s="582">
        <f t="shared" si="1"/>
        <v>205</v>
      </c>
      <c r="F30" s="582">
        <f t="shared" si="2"/>
        <v>-50</v>
      </c>
      <c r="G30" s="582">
        <v>25</v>
      </c>
      <c r="H30" s="582">
        <f t="shared" si="5"/>
        <v>-75</v>
      </c>
      <c r="I30" s="582">
        <f t="shared" si="0"/>
        <v>75</v>
      </c>
      <c r="J30" s="582">
        <f t="shared" si="3"/>
        <v>75</v>
      </c>
      <c r="K30" s="582">
        <v>-16</v>
      </c>
      <c r="L30" s="582">
        <f t="shared" si="4"/>
        <v>91</v>
      </c>
      <c r="M30" s="582">
        <v>287</v>
      </c>
      <c r="N30" s="582">
        <v>196</v>
      </c>
      <c r="O30" s="582"/>
      <c r="P30" s="582"/>
      <c r="Q30" s="582"/>
      <c r="R30" s="497"/>
    </row>
    <row r="31" spans="1:18" ht="12" customHeight="1">
      <c r="A31" s="502" t="s">
        <v>369</v>
      </c>
      <c r="B31" s="582">
        <v>176</v>
      </c>
      <c r="C31" s="311">
        <v>150</v>
      </c>
      <c r="D31" s="311">
        <v>20</v>
      </c>
      <c r="E31" s="582">
        <f t="shared" si="1"/>
        <v>170</v>
      </c>
      <c r="F31" s="582">
        <f t="shared" si="2"/>
        <v>6</v>
      </c>
      <c r="G31" s="582">
        <v>18</v>
      </c>
      <c r="H31" s="582">
        <f t="shared" si="5"/>
        <v>-12</v>
      </c>
      <c r="I31" s="582">
        <f t="shared" si="0"/>
        <v>12</v>
      </c>
      <c r="J31" s="582">
        <f t="shared" si="3"/>
        <v>12</v>
      </c>
      <c r="K31" s="582">
        <v>1</v>
      </c>
      <c r="L31" s="582">
        <f t="shared" si="4"/>
        <v>11</v>
      </c>
      <c r="M31" s="582">
        <v>228</v>
      </c>
      <c r="N31" s="582">
        <v>217</v>
      </c>
      <c r="O31" s="582"/>
      <c r="P31" s="582"/>
      <c r="Q31" s="582"/>
      <c r="R31" s="497"/>
    </row>
    <row r="32" spans="1:18" ht="12" customHeight="1">
      <c r="A32" s="502" t="s">
        <v>370</v>
      </c>
      <c r="B32" s="582">
        <v>225</v>
      </c>
      <c r="C32" s="311">
        <v>182</v>
      </c>
      <c r="D32" s="311">
        <v>13</v>
      </c>
      <c r="E32" s="582">
        <f t="shared" si="1"/>
        <v>195</v>
      </c>
      <c r="F32" s="582">
        <f t="shared" si="2"/>
        <v>30</v>
      </c>
      <c r="G32" s="582">
        <v>1</v>
      </c>
      <c r="H32" s="582">
        <f t="shared" si="5"/>
        <v>29</v>
      </c>
      <c r="I32" s="582">
        <f t="shared" si="0"/>
        <v>-29</v>
      </c>
      <c r="J32" s="582">
        <f t="shared" si="3"/>
        <v>-29</v>
      </c>
      <c r="K32" s="582"/>
      <c r="L32" s="582">
        <f t="shared" si="4"/>
        <v>-29</v>
      </c>
      <c r="M32" s="582">
        <v>148</v>
      </c>
      <c r="N32" s="582">
        <v>177</v>
      </c>
      <c r="O32" s="582"/>
      <c r="P32" s="582"/>
      <c r="Q32" s="582"/>
      <c r="R32" s="497"/>
    </row>
    <row r="33" spans="1:18" ht="12" customHeight="1">
      <c r="A33" s="502" t="s">
        <v>371</v>
      </c>
      <c r="B33" s="582">
        <v>125</v>
      </c>
      <c r="C33" s="311">
        <v>98</v>
      </c>
      <c r="D33" s="311">
        <v>3</v>
      </c>
      <c r="E33" s="582">
        <f t="shared" si="1"/>
        <v>101</v>
      </c>
      <c r="F33" s="582">
        <f t="shared" si="2"/>
        <v>24</v>
      </c>
      <c r="G33" s="582">
        <v>3</v>
      </c>
      <c r="H33" s="582">
        <f t="shared" si="5"/>
        <v>21</v>
      </c>
      <c r="I33" s="582">
        <f t="shared" si="0"/>
        <v>-21</v>
      </c>
      <c r="J33" s="582">
        <f t="shared" si="3"/>
        <v>-21</v>
      </c>
      <c r="K33" s="582">
        <v>1</v>
      </c>
      <c r="L33" s="582">
        <f t="shared" si="4"/>
        <v>-22</v>
      </c>
      <c r="M33" s="582">
        <v>134</v>
      </c>
      <c r="N33" s="582">
        <v>156</v>
      </c>
      <c r="O33" s="582"/>
      <c r="P33" s="582"/>
      <c r="Q33" s="582"/>
      <c r="R33" s="497"/>
    </row>
    <row r="34" spans="1:18" ht="12" customHeight="1">
      <c r="A34" s="502" t="s">
        <v>372</v>
      </c>
      <c r="B34" s="582">
        <v>181</v>
      </c>
      <c r="C34" s="311">
        <v>152</v>
      </c>
      <c r="D34" s="311">
        <v>6</v>
      </c>
      <c r="E34" s="582">
        <f>SUM(C34:D34)</f>
        <v>158</v>
      </c>
      <c r="F34" s="582">
        <f>B34-E34</f>
        <v>23</v>
      </c>
      <c r="G34" s="582">
        <v>2</v>
      </c>
      <c r="H34" s="582">
        <f t="shared" si="5"/>
        <v>21</v>
      </c>
      <c r="I34" s="582">
        <f t="shared" si="0"/>
        <v>-21</v>
      </c>
      <c r="J34" s="582">
        <f t="shared" si="3"/>
        <v>-21</v>
      </c>
      <c r="K34" s="582"/>
      <c r="L34" s="582">
        <f t="shared" si="4"/>
        <v>-21</v>
      </c>
      <c r="M34" s="582">
        <v>130</v>
      </c>
      <c r="N34" s="582">
        <v>151</v>
      </c>
      <c r="O34" s="582"/>
      <c r="P34" s="582"/>
      <c r="Q34" s="582"/>
      <c r="R34" s="497"/>
    </row>
    <row r="35" spans="1:18" ht="12" customHeight="1">
      <c r="A35" s="502" t="s">
        <v>373</v>
      </c>
      <c r="B35" s="582">
        <v>154</v>
      </c>
      <c r="C35" s="311">
        <v>138</v>
      </c>
      <c r="D35" s="311">
        <v>11</v>
      </c>
      <c r="E35" s="582">
        <f t="shared" si="1"/>
        <v>149</v>
      </c>
      <c r="F35" s="582">
        <f t="shared" si="2"/>
        <v>5</v>
      </c>
      <c r="G35" s="582"/>
      <c r="H35" s="582">
        <f t="shared" si="5"/>
        <v>5</v>
      </c>
      <c r="I35" s="582">
        <f t="shared" si="0"/>
        <v>-5</v>
      </c>
      <c r="J35" s="582">
        <f t="shared" si="3"/>
        <v>-5</v>
      </c>
      <c r="K35" s="582"/>
      <c r="L35" s="582">
        <f t="shared" si="4"/>
        <v>-8</v>
      </c>
      <c r="M35" s="582">
        <v>219</v>
      </c>
      <c r="N35" s="582">
        <v>227</v>
      </c>
      <c r="O35" s="582"/>
      <c r="P35" s="582">
        <v>3</v>
      </c>
      <c r="Q35" s="582"/>
      <c r="R35" s="497"/>
    </row>
    <row r="36" spans="1:18" ht="12" customHeight="1">
      <c r="A36" s="502" t="s">
        <v>374</v>
      </c>
      <c r="B36" s="582">
        <v>254</v>
      </c>
      <c r="C36" s="311">
        <v>250</v>
      </c>
      <c r="D36" s="311">
        <v>27</v>
      </c>
      <c r="E36" s="582">
        <f t="shared" si="1"/>
        <v>277</v>
      </c>
      <c r="F36" s="582">
        <f t="shared" si="2"/>
        <v>-23</v>
      </c>
      <c r="G36" s="582">
        <v>-3</v>
      </c>
      <c r="H36" s="582">
        <f t="shared" si="5"/>
        <v>-20</v>
      </c>
      <c r="I36" s="582">
        <f t="shared" si="0"/>
        <v>20</v>
      </c>
      <c r="J36" s="582">
        <f t="shared" si="3"/>
        <v>20</v>
      </c>
      <c r="K36" s="582">
        <v>-4</v>
      </c>
      <c r="L36" s="582">
        <f t="shared" si="4"/>
        <v>24</v>
      </c>
      <c r="M36" s="582">
        <v>192</v>
      </c>
      <c r="N36" s="582">
        <v>168</v>
      </c>
      <c r="O36" s="582"/>
      <c r="P36" s="582"/>
      <c r="Q36" s="582"/>
      <c r="R36" s="497"/>
    </row>
    <row r="37" spans="1:18" ht="12" customHeight="1">
      <c r="A37" s="502" t="s">
        <v>375</v>
      </c>
      <c r="B37" s="582">
        <v>129</v>
      </c>
      <c r="C37" s="311">
        <v>122</v>
      </c>
      <c r="D37" s="311">
        <v>16</v>
      </c>
      <c r="E37" s="582">
        <f t="shared" si="1"/>
        <v>138</v>
      </c>
      <c r="F37" s="582">
        <f t="shared" si="2"/>
        <v>-9</v>
      </c>
      <c r="G37" s="582"/>
      <c r="H37" s="582">
        <f t="shared" si="5"/>
        <v>-9</v>
      </c>
      <c r="I37" s="582">
        <f t="shared" si="0"/>
        <v>9</v>
      </c>
      <c r="J37" s="582">
        <f t="shared" si="3"/>
        <v>9</v>
      </c>
      <c r="K37" s="582"/>
      <c r="L37" s="582">
        <f t="shared" si="4"/>
        <v>9</v>
      </c>
      <c r="M37" s="582">
        <v>128</v>
      </c>
      <c r="N37" s="582">
        <v>119</v>
      </c>
      <c r="O37" s="582"/>
      <c r="P37" s="582"/>
      <c r="Q37" s="582"/>
      <c r="R37" s="497"/>
    </row>
    <row r="38" spans="1:18" ht="12" customHeight="1">
      <c r="A38" s="502" t="s">
        <v>376</v>
      </c>
      <c r="B38" s="582">
        <v>466</v>
      </c>
      <c r="C38" s="311">
        <v>305</v>
      </c>
      <c r="D38" s="311">
        <v>31</v>
      </c>
      <c r="E38" s="582">
        <f t="shared" si="1"/>
        <v>336</v>
      </c>
      <c r="F38" s="582">
        <f t="shared" si="2"/>
        <v>130</v>
      </c>
      <c r="G38" s="582">
        <v>12</v>
      </c>
      <c r="H38" s="582">
        <f t="shared" si="5"/>
        <v>118</v>
      </c>
      <c r="I38" s="582">
        <f t="shared" si="0"/>
        <v>-118</v>
      </c>
      <c r="J38" s="582">
        <f t="shared" si="3"/>
        <v>-118</v>
      </c>
      <c r="K38" s="582"/>
      <c r="L38" s="582">
        <f t="shared" si="4"/>
        <v>-118</v>
      </c>
      <c r="M38" s="582">
        <v>368</v>
      </c>
      <c r="N38" s="582">
        <v>486</v>
      </c>
      <c r="O38" s="582"/>
      <c r="P38" s="582"/>
      <c r="Q38" s="582"/>
      <c r="R38" s="497"/>
    </row>
    <row r="39" spans="1:18" ht="12" customHeight="1">
      <c r="A39" s="502" t="s">
        <v>377</v>
      </c>
      <c r="B39" s="582">
        <v>90</v>
      </c>
      <c r="C39" s="311">
        <v>65</v>
      </c>
      <c r="D39" s="311">
        <v>13</v>
      </c>
      <c r="E39" s="582">
        <f t="shared" si="1"/>
        <v>78</v>
      </c>
      <c r="F39" s="582">
        <f t="shared" si="2"/>
        <v>12</v>
      </c>
      <c r="G39" s="582">
        <v>18</v>
      </c>
      <c r="H39" s="582">
        <f t="shared" si="5"/>
        <v>-6</v>
      </c>
      <c r="I39" s="582">
        <f t="shared" si="0"/>
        <v>6</v>
      </c>
      <c r="J39" s="582">
        <f>K39+L39+O39+P39+Q39</f>
        <v>6</v>
      </c>
      <c r="K39" s="582"/>
      <c r="L39" s="582">
        <f t="shared" si="4"/>
        <v>6</v>
      </c>
      <c r="M39" s="582">
        <v>154</v>
      </c>
      <c r="N39" s="582">
        <v>148</v>
      </c>
      <c r="O39" s="582"/>
      <c r="P39" s="582"/>
      <c r="Q39" s="582"/>
      <c r="R39" s="497"/>
    </row>
    <row r="40" spans="1:18" ht="12" customHeight="1">
      <c r="A40" s="502" t="s">
        <v>378</v>
      </c>
      <c r="B40" s="582">
        <v>117</v>
      </c>
      <c r="C40" s="311">
        <v>90</v>
      </c>
      <c r="D40" s="311">
        <v>6</v>
      </c>
      <c r="E40" s="582">
        <f t="shared" si="1"/>
        <v>96</v>
      </c>
      <c r="F40" s="582">
        <f t="shared" si="2"/>
        <v>21</v>
      </c>
      <c r="G40" s="582">
        <v>15</v>
      </c>
      <c r="H40" s="582">
        <f t="shared" si="5"/>
        <v>6</v>
      </c>
      <c r="I40" s="582">
        <f t="shared" si="0"/>
        <v>-6</v>
      </c>
      <c r="J40" s="582">
        <f t="shared" si="3"/>
        <v>-6</v>
      </c>
      <c r="K40" s="582"/>
      <c r="L40" s="582">
        <f t="shared" si="4"/>
        <v>-6</v>
      </c>
      <c r="M40" s="582">
        <v>350</v>
      </c>
      <c r="N40" s="582">
        <v>356</v>
      </c>
      <c r="O40" s="582"/>
      <c r="P40" s="582"/>
      <c r="Q40" s="582"/>
      <c r="R40" s="497"/>
    </row>
    <row r="41" spans="1:18" ht="12" customHeight="1">
      <c r="A41" s="502" t="s">
        <v>379</v>
      </c>
      <c r="B41" s="582">
        <v>179</v>
      </c>
      <c r="C41" s="311">
        <v>193</v>
      </c>
      <c r="D41" s="311">
        <v>38</v>
      </c>
      <c r="E41" s="582">
        <f t="shared" si="1"/>
        <v>231</v>
      </c>
      <c r="F41" s="582">
        <f t="shared" si="2"/>
        <v>-52</v>
      </c>
      <c r="G41" s="582">
        <v>3</v>
      </c>
      <c r="H41" s="582">
        <f t="shared" si="5"/>
        <v>-55</v>
      </c>
      <c r="I41" s="582">
        <f t="shared" si="0"/>
        <v>55</v>
      </c>
      <c r="J41" s="582">
        <f t="shared" si="3"/>
        <v>55</v>
      </c>
      <c r="K41" s="582">
        <v>1</v>
      </c>
      <c r="L41" s="582">
        <f t="shared" si="4"/>
        <v>48</v>
      </c>
      <c r="M41" s="582">
        <v>448</v>
      </c>
      <c r="N41" s="582">
        <v>400</v>
      </c>
      <c r="O41" s="582"/>
      <c r="P41" s="582">
        <v>6</v>
      </c>
      <c r="Q41" s="582"/>
      <c r="R41" s="497"/>
    </row>
    <row r="42" spans="1:18" ht="12" customHeight="1">
      <c r="A42" s="502" t="s">
        <v>380</v>
      </c>
      <c r="B42" s="582">
        <v>87</v>
      </c>
      <c r="C42" s="311">
        <v>51</v>
      </c>
      <c r="D42" s="311">
        <v>3</v>
      </c>
      <c r="E42" s="582">
        <f t="shared" si="1"/>
        <v>54</v>
      </c>
      <c r="F42" s="582">
        <f t="shared" si="2"/>
        <v>33</v>
      </c>
      <c r="G42" s="582">
        <v>2</v>
      </c>
      <c r="H42" s="582">
        <f t="shared" si="5"/>
        <v>31</v>
      </c>
      <c r="I42" s="582">
        <f t="shared" si="0"/>
        <v>-31</v>
      </c>
      <c r="J42" s="582">
        <f t="shared" si="3"/>
        <v>-31</v>
      </c>
      <c r="K42" s="582"/>
      <c r="L42" s="582">
        <f t="shared" si="4"/>
        <v>-31</v>
      </c>
      <c r="M42" s="582">
        <v>82</v>
      </c>
      <c r="N42" s="582">
        <v>113</v>
      </c>
      <c r="O42" s="582"/>
      <c r="P42" s="582"/>
      <c r="Q42" s="582"/>
      <c r="R42" s="497"/>
    </row>
    <row r="43" spans="1:18" ht="12" customHeight="1">
      <c r="A43" s="502" t="s">
        <v>381</v>
      </c>
      <c r="B43" s="582">
        <v>162</v>
      </c>
      <c r="C43" s="311">
        <v>52</v>
      </c>
      <c r="D43" s="311">
        <v>3</v>
      </c>
      <c r="E43" s="582">
        <f t="shared" si="1"/>
        <v>55</v>
      </c>
      <c r="F43" s="582">
        <f t="shared" si="2"/>
        <v>107</v>
      </c>
      <c r="G43" s="582">
        <v>-4</v>
      </c>
      <c r="H43" s="582">
        <f t="shared" si="5"/>
        <v>111</v>
      </c>
      <c r="I43" s="582">
        <f t="shared" si="0"/>
        <v>-111</v>
      </c>
      <c r="J43" s="582">
        <f t="shared" si="3"/>
        <v>-111</v>
      </c>
      <c r="K43" s="582"/>
      <c r="L43" s="582">
        <f t="shared" si="4"/>
        <v>-111</v>
      </c>
      <c r="M43" s="582">
        <v>239</v>
      </c>
      <c r="N43" s="582">
        <v>350</v>
      </c>
      <c r="O43" s="582"/>
      <c r="P43" s="582"/>
      <c r="Q43" s="582"/>
      <c r="R43" s="497"/>
    </row>
    <row r="44" spans="1:18" ht="12" customHeight="1">
      <c r="A44" s="502" t="s">
        <v>382</v>
      </c>
      <c r="B44" s="582">
        <v>75</v>
      </c>
      <c r="C44" s="311">
        <v>67</v>
      </c>
      <c r="D44" s="311">
        <v>8</v>
      </c>
      <c r="E44" s="582">
        <f t="shared" si="1"/>
        <v>75</v>
      </c>
      <c r="F44" s="582">
        <f t="shared" si="2"/>
        <v>0</v>
      </c>
      <c r="G44" s="582">
        <v>3</v>
      </c>
      <c r="H44" s="582">
        <f t="shared" si="5"/>
        <v>-3</v>
      </c>
      <c r="I44" s="582">
        <f t="shared" si="0"/>
        <v>3</v>
      </c>
      <c r="J44" s="582">
        <f t="shared" si="3"/>
        <v>3</v>
      </c>
      <c r="K44" s="582"/>
      <c r="L44" s="582">
        <f t="shared" si="4"/>
        <v>3</v>
      </c>
      <c r="M44" s="582">
        <v>150</v>
      </c>
      <c r="N44" s="582">
        <v>147</v>
      </c>
      <c r="O44" s="582"/>
      <c r="P44" s="582"/>
      <c r="Q44" s="582"/>
      <c r="R44" s="497"/>
    </row>
    <row r="45" spans="1:17" ht="12" customHeight="1">
      <c r="A45" s="583" t="s">
        <v>443</v>
      </c>
      <c r="B45" s="582">
        <f>SUM(B19:B44)</f>
        <v>4054</v>
      </c>
      <c r="C45" s="582">
        <f>SUM(C19:C44)</f>
        <v>3297</v>
      </c>
      <c r="D45" s="582">
        <f>SUM(D19:D44)</f>
        <v>454</v>
      </c>
      <c r="E45" s="582">
        <f t="shared" si="1"/>
        <v>3751</v>
      </c>
      <c r="F45" s="582">
        <f t="shared" si="2"/>
        <v>303</v>
      </c>
      <c r="G45" s="582">
        <f>SUM(G19:G44)</f>
        <v>75</v>
      </c>
      <c r="H45" s="582">
        <f>SUM(H19:H44)</f>
        <v>228</v>
      </c>
      <c r="I45" s="582">
        <f t="shared" si="0"/>
        <v>-228</v>
      </c>
      <c r="J45" s="582">
        <f>SUM(J19:J44)</f>
        <v>-228</v>
      </c>
      <c r="K45" s="582">
        <f>SUM(K19:K44)</f>
        <v>-20</v>
      </c>
      <c r="L45" s="582">
        <f>SUM(L19:L44)</f>
        <v>-209</v>
      </c>
      <c r="M45" s="582">
        <f>SUM(M19:M44)</f>
        <v>4734</v>
      </c>
      <c r="N45" s="582">
        <f>SUM(N19:N44)</f>
        <v>4943</v>
      </c>
      <c r="O45" s="582"/>
      <c r="P45" s="582">
        <f>SUM(P19:P44)</f>
        <v>9</v>
      </c>
      <c r="Q45" s="582"/>
    </row>
    <row r="46" spans="1:17" ht="12" customHeight="1">
      <c r="A46" s="583" t="s">
        <v>383</v>
      </c>
      <c r="B46" s="582">
        <f aca="true" t="shared" si="6" ref="B46:G46">SUM(B18,B45)</f>
        <v>9351</v>
      </c>
      <c r="C46" s="582">
        <f t="shared" si="6"/>
        <v>5406</v>
      </c>
      <c r="D46" s="582">
        <f t="shared" si="6"/>
        <v>1707</v>
      </c>
      <c r="E46" s="582">
        <f t="shared" si="6"/>
        <v>7113</v>
      </c>
      <c r="F46" s="582">
        <f t="shared" si="6"/>
        <v>2238</v>
      </c>
      <c r="G46" s="582">
        <f t="shared" si="6"/>
        <v>-859</v>
      </c>
      <c r="H46" s="582">
        <f>F46-G46</f>
        <v>3097</v>
      </c>
      <c r="I46" s="582">
        <f t="shared" si="0"/>
        <v>-3097</v>
      </c>
      <c r="J46" s="582">
        <f>SUM(J18,J45)</f>
        <v>-3097</v>
      </c>
      <c r="K46" s="582">
        <f>SUM(K18,K45)</f>
        <v>-20</v>
      </c>
      <c r="L46" s="582">
        <f>M46-N46</f>
        <v>-3079</v>
      </c>
      <c r="M46" s="582">
        <f>SUM(M18,M45)</f>
        <v>17429</v>
      </c>
      <c r="N46" s="582">
        <f>SUM(N18,N45)+1</f>
        <v>20508</v>
      </c>
      <c r="O46" s="582"/>
      <c r="P46" s="582">
        <f>SUM(P18,P45)</f>
        <v>9</v>
      </c>
      <c r="Q46" s="582"/>
    </row>
    <row r="47" spans="1:17" ht="17.25" customHeight="1">
      <c r="A47" s="587"/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</row>
    <row r="48" s="497" customFormat="1" ht="17.25" customHeight="1">
      <c r="A48" s="564"/>
    </row>
    <row r="50" spans="1:11" ht="17.25" customHeight="1">
      <c r="A50" s="80" t="s">
        <v>895</v>
      </c>
      <c r="B50" s="12"/>
      <c r="C50" s="12"/>
      <c r="E50" s="589"/>
      <c r="G50" s="497"/>
      <c r="I50" s="497"/>
      <c r="J50" s="497"/>
      <c r="K50" s="9" t="s">
        <v>830</v>
      </c>
    </row>
    <row r="53" s="497" customFormat="1" ht="17.25" customHeight="1">
      <c r="A53" s="590"/>
    </row>
    <row r="54" spans="1:21" s="497" customFormat="1" ht="17.25" customHeight="1">
      <c r="A54" s="571"/>
      <c r="B54" s="591"/>
      <c r="C54" s="3"/>
      <c r="D54" s="3"/>
      <c r="E54" s="3"/>
      <c r="F54" s="3"/>
      <c r="G54" s="591"/>
      <c r="H54" s="591"/>
      <c r="I54" s="591"/>
      <c r="J54" s="591"/>
      <c r="K54" s="591"/>
      <c r="L54" s="3"/>
      <c r="M54" s="568"/>
      <c r="N54" s="591"/>
      <c r="O54" s="591"/>
      <c r="P54" s="591"/>
      <c r="Q54" s="591"/>
      <c r="R54" s="591"/>
      <c r="S54" s="591"/>
      <c r="T54" s="591"/>
      <c r="U54" s="591"/>
    </row>
    <row r="55" spans="1:13" s="497" customFormat="1" ht="17.25" customHeight="1">
      <c r="A55" s="566"/>
      <c r="B55" s="567"/>
      <c r="C55" s="3"/>
      <c r="D55" s="3"/>
      <c r="E55" s="3"/>
      <c r="F55" s="3"/>
      <c r="G55" s="568"/>
      <c r="H55" s="568"/>
      <c r="I55" s="3"/>
      <c r="J55" s="3"/>
      <c r="K55" s="568"/>
      <c r="L55" s="568"/>
      <c r="M55" s="3"/>
    </row>
    <row r="56" spans="1:12" s="497" customFormat="1" ht="17.25" customHeight="1">
      <c r="A56" s="564"/>
      <c r="B56" s="567"/>
      <c r="C56" s="3"/>
      <c r="D56" s="3"/>
      <c r="E56" s="3"/>
      <c r="F56" s="3"/>
      <c r="L56" s="591"/>
    </row>
    <row r="57" spans="1:21" s="497" customFormat="1" ht="17.25" customHeight="1">
      <c r="A57" s="571"/>
      <c r="B57" s="591"/>
      <c r="C57" s="3"/>
      <c r="D57" s="3"/>
      <c r="E57" s="3"/>
      <c r="F57" s="3"/>
      <c r="G57" s="591"/>
      <c r="H57" s="591"/>
      <c r="I57" s="591"/>
      <c r="J57" s="591"/>
      <c r="K57" s="591"/>
      <c r="L57" s="3"/>
      <c r="M57" s="568"/>
      <c r="N57" s="591"/>
      <c r="O57" s="591"/>
      <c r="P57" s="591"/>
      <c r="Q57" s="591"/>
      <c r="R57" s="591"/>
      <c r="S57" s="591"/>
      <c r="T57" s="591"/>
      <c r="U57" s="591"/>
    </row>
    <row r="58" s="497" customFormat="1" ht="17.25" customHeight="1"/>
    <row r="59" spans="1:11" s="497" customFormat="1" ht="17.25" customHeight="1">
      <c r="A59" s="592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4" ht="17.25" customHeight="1">
      <c r="A60" s="796" t="s">
        <v>915</v>
      </c>
      <c r="B60" s="796"/>
      <c r="C60" s="796"/>
      <c r="D60" s="796"/>
    </row>
    <row r="61" ht="17.25" customHeight="1">
      <c r="A61" s="89" t="s">
        <v>451</v>
      </c>
    </row>
    <row r="67" s="89" customFormat="1" ht="17.25" customHeight="1">
      <c r="A67" s="571"/>
    </row>
  </sheetData>
  <mergeCells count="10">
    <mergeCell ref="Q7:Q9"/>
    <mergeCell ref="K8:P8"/>
    <mergeCell ref="A7:A9"/>
    <mergeCell ref="B7:B9"/>
    <mergeCell ref="C7:E8"/>
    <mergeCell ref="F7:F9"/>
    <mergeCell ref="A60:D60"/>
    <mergeCell ref="G7:G9"/>
    <mergeCell ref="H7:H9"/>
    <mergeCell ref="I7:I9"/>
  </mergeCells>
  <printOptions/>
  <pageMargins left="0.39" right="0.17" top="1" bottom="1" header="0.5" footer="0.5"/>
  <pageSetup fitToHeight="2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C3" sqref="C3"/>
    </sheetView>
  </sheetViews>
  <sheetFormatPr defaultColWidth="9.140625" defaultRowHeight="17.25" customHeight="1"/>
  <cols>
    <col min="1" max="1" width="18.421875" style="565" customWidth="1"/>
    <col min="2" max="2" width="7.00390625" style="494" customWidth="1"/>
    <col min="3" max="3" width="10.00390625" style="494" customWidth="1"/>
    <col min="4" max="4" width="6.7109375" style="494" customWidth="1"/>
    <col min="5" max="5" width="4.7109375" style="494" customWidth="1"/>
    <col min="6" max="6" width="13.57421875" style="494" customWidth="1"/>
    <col min="7" max="7" width="7.8515625" style="494" customWidth="1"/>
    <col min="8" max="8" width="10.421875" style="494" customWidth="1"/>
    <col min="9" max="9" width="6.28125" style="494" customWidth="1"/>
    <col min="10" max="10" width="10.57421875" style="494" customWidth="1"/>
    <col min="11" max="11" width="7.57421875" style="494" customWidth="1"/>
    <col min="12" max="13" width="7.28125" style="494" customWidth="1"/>
    <col min="14" max="14" width="8.00390625" style="494" customWidth="1"/>
    <col min="15" max="15" width="9.7109375" style="494" customWidth="1"/>
    <col min="16" max="16" width="9.28125" style="494" customWidth="1"/>
    <col min="17" max="16384" width="9.140625" style="494" customWidth="1"/>
  </cols>
  <sheetData>
    <row r="1" spans="2:15" s="3" customFormat="1" ht="17.25" customHeight="1">
      <c r="B1" s="1"/>
      <c r="C1" s="1"/>
      <c r="D1" s="1"/>
      <c r="E1" s="1"/>
      <c r="F1" s="1"/>
      <c r="G1" s="1"/>
      <c r="H1" s="1"/>
      <c r="I1" s="1"/>
      <c r="J1" s="1"/>
      <c r="K1" s="327"/>
      <c r="O1" s="81" t="s">
        <v>423</v>
      </c>
    </row>
    <row r="2" spans="1:16" s="3" customFormat="1" ht="17.25" customHeight="1">
      <c r="A2" s="760" t="s">
        <v>424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1:12" s="5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1"/>
    </row>
    <row r="4" spans="1:16" s="496" customFormat="1" ht="17.25" customHeight="1">
      <c r="A4" s="761" t="s">
        <v>425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</row>
    <row r="5" spans="1:16" s="496" customFormat="1" ht="14.25" customHeight="1">
      <c r="A5" s="783" t="s">
        <v>793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</row>
    <row r="6" spans="1:16" ht="17.25" customHeight="1">
      <c r="A6" s="556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 t="s">
        <v>113</v>
      </c>
    </row>
    <row r="7" spans="1:16" s="3" customFormat="1" ht="17.25" customHeight="1">
      <c r="A7" s="797" t="s">
        <v>426</v>
      </c>
      <c r="B7" s="797" t="s">
        <v>874</v>
      </c>
      <c r="C7" s="810" t="s">
        <v>427</v>
      </c>
      <c r="D7" s="811"/>
      <c r="E7" s="811"/>
      <c r="F7" s="797" t="s">
        <v>428</v>
      </c>
      <c r="G7" s="797" t="s">
        <v>429</v>
      </c>
      <c r="H7" s="797" t="s">
        <v>430</v>
      </c>
      <c r="I7" s="797" t="s">
        <v>431</v>
      </c>
      <c r="J7" s="558" t="s">
        <v>432</v>
      </c>
      <c r="K7" s="559"/>
      <c r="L7" s="559"/>
      <c r="M7" s="560"/>
      <c r="N7" s="559"/>
      <c r="O7" s="559"/>
      <c r="P7" s="797" t="s">
        <v>433</v>
      </c>
    </row>
    <row r="8" spans="1:16" s="5" customFormat="1" ht="17.25" customHeight="1">
      <c r="A8" s="808"/>
      <c r="B8" s="808"/>
      <c r="C8" s="811"/>
      <c r="D8" s="811"/>
      <c r="E8" s="811"/>
      <c r="F8" s="808"/>
      <c r="G8" s="808"/>
      <c r="H8" s="808"/>
      <c r="I8" s="808"/>
      <c r="J8" s="802" t="s">
        <v>434</v>
      </c>
      <c r="K8" s="803"/>
      <c r="L8" s="803"/>
      <c r="M8" s="803"/>
      <c r="N8" s="803"/>
      <c r="O8" s="804"/>
      <c r="P8" s="812"/>
    </row>
    <row r="9" spans="1:16" s="551" customFormat="1" ht="45">
      <c r="A9" s="809"/>
      <c r="B9" s="809"/>
      <c r="C9" s="11" t="s">
        <v>435</v>
      </c>
      <c r="D9" s="11" t="s">
        <v>436</v>
      </c>
      <c r="E9" s="11" t="s">
        <v>437</v>
      </c>
      <c r="F9" s="809"/>
      <c r="G9" s="809"/>
      <c r="H9" s="809"/>
      <c r="I9" s="809"/>
      <c r="J9" s="561" t="s">
        <v>140</v>
      </c>
      <c r="K9" s="561" t="s">
        <v>438</v>
      </c>
      <c r="L9" s="561" t="s">
        <v>439</v>
      </c>
      <c r="M9" s="561" t="s">
        <v>440</v>
      </c>
      <c r="N9" s="11" t="s">
        <v>441</v>
      </c>
      <c r="O9" s="11" t="s">
        <v>152</v>
      </c>
      <c r="P9" s="813"/>
    </row>
    <row r="10" spans="1:16" ht="12" customHeight="1">
      <c r="A10" s="11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>
        <v>10</v>
      </c>
      <c r="K10" s="267">
        <v>11</v>
      </c>
      <c r="L10" s="267">
        <v>12</v>
      </c>
      <c r="M10" s="267">
        <v>13</v>
      </c>
      <c r="N10" s="267">
        <v>14</v>
      </c>
      <c r="O10" s="267">
        <v>15</v>
      </c>
      <c r="P10" s="267">
        <v>16</v>
      </c>
    </row>
    <row r="11" spans="1:16" s="3" customFormat="1" ht="12" customHeight="1">
      <c r="A11" s="502" t="s">
        <v>350</v>
      </c>
      <c r="B11" s="446">
        <v>197</v>
      </c>
      <c r="C11" s="446">
        <v>175</v>
      </c>
      <c r="D11" s="446">
        <v>6</v>
      </c>
      <c r="E11" s="446">
        <f>C11+D11</f>
        <v>181</v>
      </c>
      <c r="F11" s="446">
        <f>B11-E11</f>
        <v>16</v>
      </c>
      <c r="G11" s="446"/>
      <c r="H11" s="446">
        <f>F11-G11</f>
        <v>16</v>
      </c>
      <c r="I11" s="446">
        <f>J11+K11+N11+O11</f>
        <v>-16</v>
      </c>
      <c r="J11" s="446"/>
      <c r="K11" s="446">
        <f>L11-M11</f>
        <v>-16</v>
      </c>
      <c r="L11" s="446">
        <v>276</v>
      </c>
      <c r="M11" s="446">
        <v>292</v>
      </c>
      <c r="N11" s="446"/>
      <c r="O11" s="446"/>
      <c r="P11" s="446"/>
    </row>
    <row r="12" spans="1:16" ht="12" customHeight="1">
      <c r="A12" s="502" t="s">
        <v>351</v>
      </c>
      <c r="B12" s="446">
        <v>13</v>
      </c>
      <c r="C12" s="446">
        <v>15</v>
      </c>
      <c r="D12" s="446">
        <v>5</v>
      </c>
      <c r="E12" s="446">
        <f>C12+D12</f>
        <v>20</v>
      </c>
      <c r="F12" s="446">
        <f>B12-E12</f>
        <v>-7</v>
      </c>
      <c r="G12" s="446"/>
      <c r="H12" s="446">
        <f>F12-G12</f>
        <v>-7</v>
      </c>
      <c r="I12" s="446">
        <f>J12+K12+N12+O12</f>
        <v>7</v>
      </c>
      <c r="J12" s="446"/>
      <c r="K12" s="446">
        <f>L12-M12</f>
        <v>7</v>
      </c>
      <c r="L12" s="446">
        <v>16</v>
      </c>
      <c r="M12" s="446">
        <v>9</v>
      </c>
      <c r="N12" s="446"/>
      <c r="O12" s="446"/>
      <c r="P12" s="446"/>
    </row>
    <row r="13" spans="1:16" ht="12" customHeight="1">
      <c r="A13" s="502" t="s">
        <v>352</v>
      </c>
      <c r="B13" s="446">
        <v>3</v>
      </c>
      <c r="C13" s="446">
        <v>2</v>
      </c>
      <c r="D13" s="446">
        <v>9</v>
      </c>
      <c r="E13" s="446">
        <f aca="true" t="shared" si="0" ref="E13:E44">C13+D13</f>
        <v>11</v>
      </c>
      <c r="F13" s="446">
        <f aca="true" t="shared" si="1" ref="F13:F44">B13-E13</f>
        <v>-8</v>
      </c>
      <c r="G13" s="446"/>
      <c r="H13" s="446">
        <f aca="true" t="shared" si="2" ref="H13:H45">F13-G13</f>
        <v>-8</v>
      </c>
      <c r="I13" s="446">
        <f aca="true" t="shared" si="3" ref="I13:I45">J13+K13+N13+O13</f>
        <v>8</v>
      </c>
      <c r="J13" s="446"/>
      <c r="K13" s="446">
        <f aca="true" t="shared" si="4" ref="K13:K44">L13-M13</f>
        <v>8</v>
      </c>
      <c r="L13" s="446">
        <v>53</v>
      </c>
      <c r="M13" s="446">
        <v>45</v>
      </c>
      <c r="N13" s="446"/>
      <c r="O13" s="446"/>
      <c r="P13" s="446"/>
    </row>
    <row r="14" spans="1:16" ht="12" customHeight="1">
      <c r="A14" s="502" t="s">
        <v>353</v>
      </c>
      <c r="B14" s="446">
        <v>70</v>
      </c>
      <c r="C14" s="446">
        <v>11</v>
      </c>
      <c r="D14" s="446">
        <v>1</v>
      </c>
      <c r="E14" s="446">
        <f t="shared" si="0"/>
        <v>12</v>
      </c>
      <c r="F14" s="446">
        <f t="shared" si="1"/>
        <v>58</v>
      </c>
      <c r="G14" s="446"/>
      <c r="H14" s="446">
        <f t="shared" si="2"/>
        <v>58</v>
      </c>
      <c r="I14" s="446">
        <f t="shared" si="3"/>
        <v>-58</v>
      </c>
      <c r="J14" s="446"/>
      <c r="K14" s="446">
        <f t="shared" si="4"/>
        <v>-58</v>
      </c>
      <c r="L14" s="446">
        <v>65</v>
      </c>
      <c r="M14" s="446">
        <v>123</v>
      </c>
      <c r="N14" s="446"/>
      <c r="O14" s="446"/>
      <c r="P14" s="446"/>
    </row>
    <row r="15" spans="1:16" ht="12" customHeight="1">
      <c r="A15" s="502" t="s">
        <v>354</v>
      </c>
      <c r="B15" s="446">
        <v>11</v>
      </c>
      <c r="C15" s="446">
        <v>12</v>
      </c>
      <c r="D15" s="446">
        <v>2</v>
      </c>
      <c r="E15" s="446">
        <f t="shared" si="0"/>
        <v>14</v>
      </c>
      <c r="F15" s="446">
        <f t="shared" si="1"/>
        <v>-3</v>
      </c>
      <c r="G15" s="446"/>
      <c r="H15" s="446">
        <f t="shared" si="2"/>
        <v>-3</v>
      </c>
      <c r="I15" s="446">
        <f t="shared" si="3"/>
        <v>3</v>
      </c>
      <c r="J15" s="446"/>
      <c r="K15" s="446">
        <f t="shared" si="4"/>
        <v>3</v>
      </c>
      <c r="L15" s="446">
        <v>30</v>
      </c>
      <c r="M15" s="446">
        <v>27</v>
      </c>
      <c r="N15" s="446"/>
      <c r="O15" s="446"/>
      <c r="P15" s="446"/>
    </row>
    <row r="16" spans="1:16" ht="12" customHeight="1">
      <c r="A16" s="562" t="s">
        <v>355</v>
      </c>
      <c r="B16" s="446">
        <v>2</v>
      </c>
      <c r="C16" s="446">
        <v>2</v>
      </c>
      <c r="D16" s="446">
        <v>1</v>
      </c>
      <c r="E16" s="446">
        <f t="shared" si="0"/>
        <v>3</v>
      </c>
      <c r="F16" s="446">
        <f t="shared" si="1"/>
        <v>-1</v>
      </c>
      <c r="G16" s="446"/>
      <c r="H16" s="446">
        <f t="shared" si="2"/>
        <v>-1</v>
      </c>
      <c r="I16" s="446">
        <f t="shared" si="3"/>
        <v>1</v>
      </c>
      <c r="J16" s="446"/>
      <c r="K16" s="446">
        <f t="shared" si="4"/>
        <v>1</v>
      </c>
      <c r="L16" s="446">
        <v>4</v>
      </c>
      <c r="M16" s="446">
        <v>3</v>
      </c>
      <c r="N16" s="446"/>
      <c r="O16" s="446"/>
      <c r="P16" s="446"/>
    </row>
    <row r="17" spans="1:16" ht="12" customHeight="1">
      <c r="A17" s="502" t="s">
        <v>356</v>
      </c>
      <c r="B17" s="446">
        <v>425</v>
      </c>
      <c r="C17" s="446">
        <v>259</v>
      </c>
      <c r="D17" s="446">
        <v>356</v>
      </c>
      <c r="E17" s="446">
        <f t="shared" si="0"/>
        <v>615</v>
      </c>
      <c r="F17" s="446">
        <f t="shared" si="1"/>
        <v>-190</v>
      </c>
      <c r="G17" s="446">
        <v>-802</v>
      </c>
      <c r="H17" s="446">
        <f t="shared" si="2"/>
        <v>612</v>
      </c>
      <c r="I17" s="446">
        <f t="shared" si="3"/>
        <v>-612</v>
      </c>
      <c r="J17" s="446"/>
      <c r="K17" s="446">
        <f t="shared" si="4"/>
        <v>-612</v>
      </c>
      <c r="L17" s="446">
        <v>1172</v>
      </c>
      <c r="M17" s="446">
        <v>1784</v>
      </c>
      <c r="N17" s="446"/>
      <c r="O17" s="446"/>
      <c r="P17" s="446"/>
    </row>
    <row r="18" spans="1:16" ht="12" customHeight="1">
      <c r="A18" s="97" t="s">
        <v>442</v>
      </c>
      <c r="B18" s="446">
        <f>SUM(B11:B17)</f>
        <v>721</v>
      </c>
      <c r="C18" s="446">
        <f>SUM(C11:C17)</f>
        <v>476</v>
      </c>
      <c r="D18" s="446">
        <f>SUM(D11:D17)</f>
        <v>380</v>
      </c>
      <c r="E18" s="446">
        <f>SUM(E11:E17)</f>
        <v>856</v>
      </c>
      <c r="F18" s="446">
        <f t="shared" si="1"/>
        <v>-135</v>
      </c>
      <c r="G18" s="446">
        <f>SUM(G11:G17)</f>
        <v>-802</v>
      </c>
      <c r="H18" s="446">
        <f t="shared" si="2"/>
        <v>667</v>
      </c>
      <c r="I18" s="446">
        <f t="shared" si="3"/>
        <v>-667</v>
      </c>
      <c r="J18" s="446">
        <f aca="true" t="shared" si="5" ref="J18:P18">SUM(J11:J17)</f>
        <v>0</v>
      </c>
      <c r="K18" s="446">
        <f t="shared" si="5"/>
        <v>-667</v>
      </c>
      <c r="L18" s="446">
        <f>SUM(L11:L17)</f>
        <v>1616</v>
      </c>
      <c r="M18" s="446">
        <f>SUM(M11:M17)</f>
        <v>2283</v>
      </c>
      <c r="N18" s="446">
        <f t="shared" si="5"/>
        <v>0</v>
      </c>
      <c r="O18" s="446">
        <f t="shared" si="5"/>
        <v>0</v>
      </c>
      <c r="P18" s="446">
        <f t="shared" si="5"/>
        <v>0</v>
      </c>
    </row>
    <row r="19" spans="1:16" s="563" customFormat="1" ht="12" customHeight="1">
      <c r="A19" s="502" t="s">
        <v>357</v>
      </c>
      <c r="B19" s="446">
        <v>11</v>
      </c>
      <c r="C19" s="446">
        <v>1</v>
      </c>
      <c r="D19" s="446">
        <v>7</v>
      </c>
      <c r="E19" s="446">
        <f t="shared" si="0"/>
        <v>8</v>
      </c>
      <c r="F19" s="446">
        <f t="shared" si="1"/>
        <v>3</v>
      </c>
      <c r="G19" s="446"/>
      <c r="H19" s="446">
        <f t="shared" si="2"/>
        <v>3</v>
      </c>
      <c r="I19" s="446">
        <f t="shared" si="3"/>
        <v>-3</v>
      </c>
      <c r="J19" s="446"/>
      <c r="K19" s="446">
        <f t="shared" si="4"/>
        <v>-3</v>
      </c>
      <c r="L19" s="446">
        <v>15</v>
      </c>
      <c r="M19" s="446">
        <v>18</v>
      </c>
      <c r="N19" s="446"/>
      <c r="O19" s="446"/>
      <c r="P19" s="446"/>
    </row>
    <row r="20" spans="1:16" ht="12" customHeight="1">
      <c r="A20" s="502" t="s">
        <v>358</v>
      </c>
      <c r="B20" s="446">
        <v>3</v>
      </c>
      <c r="C20" s="446">
        <v>4</v>
      </c>
      <c r="D20" s="446">
        <v>4</v>
      </c>
      <c r="E20" s="446">
        <f t="shared" si="0"/>
        <v>8</v>
      </c>
      <c r="F20" s="446">
        <f t="shared" si="1"/>
        <v>-5</v>
      </c>
      <c r="G20" s="446"/>
      <c r="H20" s="446">
        <f t="shared" si="2"/>
        <v>-5</v>
      </c>
      <c r="I20" s="446">
        <f t="shared" si="3"/>
        <v>5</v>
      </c>
      <c r="J20" s="446"/>
      <c r="K20" s="446">
        <f t="shared" si="4"/>
        <v>5</v>
      </c>
      <c r="L20" s="446">
        <v>24</v>
      </c>
      <c r="M20" s="446">
        <v>19</v>
      </c>
      <c r="N20" s="446"/>
      <c r="O20" s="446"/>
      <c r="P20" s="446"/>
    </row>
    <row r="21" spans="1:16" ht="12" customHeight="1">
      <c r="A21" s="502" t="s">
        <v>359</v>
      </c>
      <c r="B21" s="446">
        <v>1</v>
      </c>
      <c r="C21" s="446">
        <v>0</v>
      </c>
      <c r="D21" s="446">
        <v>0</v>
      </c>
      <c r="E21" s="446">
        <f t="shared" si="0"/>
        <v>0</v>
      </c>
      <c r="F21" s="446">
        <f t="shared" si="1"/>
        <v>1</v>
      </c>
      <c r="G21" s="446"/>
      <c r="H21" s="446">
        <f t="shared" si="2"/>
        <v>1</v>
      </c>
      <c r="I21" s="446">
        <f t="shared" si="3"/>
        <v>-1</v>
      </c>
      <c r="J21" s="446"/>
      <c r="K21" s="446">
        <f t="shared" si="4"/>
        <v>-1</v>
      </c>
      <c r="L21" s="446"/>
      <c r="M21" s="446">
        <v>1</v>
      </c>
      <c r="N21" s="446"/>
      <c r="O21" s="446"/>
      <c r="P21" s="446"/>
    </row>
    <row r="22" spans="1:16" ht="12" customHeight="1">
      <c r="A22" s="502" t="s">
        <v>360</v>
      </c>
      <c r="B22" s="446">
        <v>1</v>
      </c>
      <c r="C22" s="446">
        <v>1</v>
      </c>
      <c r="D22" s="446">
        <v>0</v>
      </c>
      <c r="E22" s="446">
        <f t="shared" si="0"/>
        <v>1</v>
      </c>
      <c r="F22" s="446">
        <f t="shared" si="1"/>
        <v>0</v>
      </c>
      <c r="G22" s="446"/>
      <c r="H22" s="446">
        <f t="shared" si="2"/>
        <v>0</v>
      </c>
      <c r="I22" s="446">
        <f t="shared" si="3"/>
        <v>0</v>
      </c>
      <c r="J22" s="446"/>
      <c r="K22" s="446">
        <f t="shared" si="4"/>
        <v>0</v>
      </c>
      <c r="L22" s="446">
        <v>21</v>
      </c>
      <c r="M22" s="446">
        <v>21</v>
      </c>
      <c r="N22" s="446"/>
      <c r="O22" s="446"/>
      <c r="P22" s="446"/>
    </row>
    <row r="23" spans="1:16" ht="12" customHeight="1">
      <c r="A23" s="502" t="s">
        <v>361</v>
      </c>
      <c r="B23" s="446">
        <v>59</v>
      </c>
      <c r="C23" s="446">
        <v>46</v>
      </c>
      <c r="D23" s="446">
        <v>1</v>
      </c>
      <c r="E23" s="446">
        <f t="shared" si="0"/>
        <v>47</v>
      </c>
      <c r="F23" s="446">
        <f t="shared" si="1"/>
        <v>12</v>
      </c>
      <c r="G23" s="446"/>
      <c r="H23" s="446">
        <f t="shared" si="2"/>
        <v>12</v>
      </c>
      <c r="I23" s="446">
        <f t="shared" si="3"/>
        <v>-12</v>
      </c>
      <c r="J23" s="446"/>
      <c r="K23" s="446">
        <f t="shared" si="4"/>
        <v>-12</v>
      </c>
      <c r="L23" s="446">
        <v>31</v>
      </c>
      <c r="M23" s="446">
        <v>43</v>
      </c>
      <c r="N23" s="446"/>
      <c r="O23" s="446"/>
      <c r="P23" s="446"/>
    </row>
    <row r="24" spans="1:16" ht="12" customHeight="1">
      <c r="A24" s="502" t="s">
        <v>362</v>
      </c>
      <c r="B24" s="446">
        <v>7</v>
      </c>
      <c r="C24" s="446">
        <v>7</v>
      </c>
      <c r="D24" s="446"/>
      <c r="E24" s="446">
        <f t="shared" si="0"/>
        <v>7</v>
      </c>
      <c r="F24" s="446">
        <f t="shared" si="1"/>
        <v>0</v>
      </c>
      <c r="G24" s="446"/>
      <c r="H24" s="446">
        <f t="shared" si="2"/>
        <v>0</v>
      </c>
      <c r="I24" s="446">
        <f t="shared" si="3"/>
        <v>0</v>
      </c>
      <c r="J24" s="446"/>
      <c r="K24" s="446">
        <f t="shared" si="4"/>
        <v>0</v>
      </c>
      <c r="L24" s="446">
        <v>5</v>
      </c>
      <c r="M24" s="446">
        <v>5</v>
      </c>
      <c r="N24" s="446"/>
      <c r="O24" s="446"/>
      <c r="P24" s="446"/>
    </row>
    <row r="25" spans="1:16" ht="12" customHeight="1">
      <c r="A25" s="502" t="s">
        <v>363</v>
      </c>
      <c r="B25" s="446">
        <v>11</v>
      </c>
      <c r="C25" s="446">
        <v>9</v>
      </c>
      <c r="D25" s="446">
        <v>1</v>
      </c>
      <c r="E25" s="446">
        <f t="shared" si="0"/>
        <v>10</v>
      </c>
      <c r="F25" s="446">
        <f t="shared" si="1"/>
        <v>1</v>
      </c>
      <c r="G25" s="446"/>
      <c r="H25" s="446">
        <f t="shared" si="2"/>
        <v>1</v>
      </c>
      <c r="I25" s="446">
        <f t="shared" si="3"/>
        <v>-1</v>
      </c>
      <c r="J25" s="446"/>
      <c r="K25" s="446">
        <f t="shared" si="4"/>
        <v>-1</v>
      </c>
      <c r="L25" s="446">
        <v>7</v>
      </c>
      <c r="M25" s="446">
        <v>8</v>
      </c>
      <c r="N25" s="446"/>
      <c r="O25" s="446"/>
      <c r="P25" s="446"/>
    </row>
    <row r="26" spans="1:16" ht="12" customHeight="1">
      <c r="A26" s="502" t="s">
        <v>364</v>
      </c>
      <c r="B26" s="446">
        <v>2</v>
      </c>
      <c r="C26" s="446">
        <v>2</v>
      </c>
      <c r="D26" s="446"/>
      <c r="E26" s="446">
        <f t="shared" si="0"/>
        <v>2</v>
      </c>
      <c r="F26" s="446">
        <f t="shared" si="1"/>
        <v>0</v>
      </c>
      <c r="G26" s="446"/>
      <c r="H26" s="446">
        <f t="shared" si="2"/>
        <v>0</v>
      </c>
      <c r="I26" s="446">
        <f t="shared" si="3"/>
        <v>0</v>
      </c>
      <c r="J26" s="446"/>
      <c r="K26" s="446">
        <f t="shared" si="4"/>
        <v>0</v>
      </c>
      <c r="L26" s="446">
        <v>1</v>
      </c>
      <c r="M26" s="446">
        <v>1</v>
      </c>
      <c r="N26" s="446"/>
      <c r="O26" s="446"/>
      <c r="P26" s="446"/>
    </row>
    <row r="27" spans="1:16" ht="12" customHeight="1">
      <c r="A27" s="502" t="s">
        <v>365</v>
      </c>
      <c r="B27" s="446">
        <v>0</v>
      </c>
      <c r="C27" s="446">
        <v>0</v>
      </c>
      <c r="D27" s="446"/>
      <c r="E27" s="446">
        <f t="shared" si="0"/>
        <v>0</v>
      </c>
      <c r="F27" s="446">
        <f t="shared" si="1"/>
        <v>0</v>
      </c>
      <c r="G27" s="446"/>
      <c r="H27" s="446">
        <f t="shared" si="2"/>
        <v>0</v>
      </c>
      <c r="I27" s="446">
        <f t="shared" si="3"/>
        <v>0</v>
      </c>
      <c r="J27" s="446"/>
      <c r="K27" s="446">
        <f t="shared" si="4"/>
        <v>0</v>
      </c>
      <c r="L27" s="446">
        <v>1</v>
      </c>
      <c r="M27" s="446">
        <v>1</v>
      </c>
      <c r="N27" s="446"/>
      <c r="O27" s="446"/>
      <c r="P27" s="446"/>
    </row>
    <row r="28" spans="1:16" ht="12" customHeight="1">
      <c r="A28" s="502" t="s">
        <v>366</v>
      </c>
      <c r="B28" s="446">
        <v>18</v>
      </c>
      <c r="C28" s="446">
        <v>4</v>
      </c>
      <c r="D28" s="446">
        <v>5</v>
      </c>
      <c r="E28" s="446">
        <f t="shared" si="0"/>
        <v>9</v>
      </c>
      <c r="F28" s="446">
        <f t="shared" si="1"/>
        <v>9</v>
      </c>
      <c r="G28" s="446"/>
      <c r="H28" s="446">
        <f t="shared" si="2"/>
        <v>9</v>
      </c>
      <c r="I28" s="446">
        <f t="shared" si="3"/>
        <v>-9</v>
      </c>
      <c r="J28" s="446"/>
      <c r="K28" s="446">
        <f t="shared" si="4"/>
        <v>-9</v>
      </c>
      <c r="L28" s="446">
        <v>17</v>
      </c>
      <c r="M28" s="446">
        <v>26</v>
      </c>
      <c r="N28" s="446"/>
      <c r="O28" s="446"/>
      <c r="P28" s="446"/>
    </row>
    <row r="29" spans="1:16" ht="12" customHeight="1">
      <c r="A29" s="502" t="s">
        <v>367</v>
      </c>
      <c r="B29" s="446">
        <v>1</v>
      </c>
      <c r="C29" s="446">
        <v>0</v>
      </c>
      <c r="D29" s="446">
        <v>1</v>
      </c>
      <c r="E29" s="446">
        <f t="shared" si="0"/>
        <v>1</v>
      </c>
      <c r="F29" s="446">
        <f t="shared" si="1"/>
        <v>0</v>
      </c>
      <c r="G29" s="446"/>
      <c r="H29" s="446">
        <f t="shared" si="2"/>
        <v>0</v>
      </c>
      <c r="I29" s="446">
        <f t="shared" si="3"/>
        <v>0</v>
      </c>
      <c r="J29" s="446"/>
      <c r="K29" s="446">
        <f t="shared" si="4"/>
        <v>0</v>
      </c>
      <c r="L29" s="446">
        <v>1</v>
      </c>
      <c r="M29" s="446">
        <v>1</v>
      </c>
      <c r="N29" s="446"/>
      <c r="O29" s="446"/>
      <c r="P29" s="446"/>
    </row>
    <row r="30" spans="1:16" ht="12" customHeight="1">
      <c r="A30" s="502" t="s">
        <v>368</v>
      </c>
      <c r="B30" s="446">
        <v>4</v>
      </c>
      <c r="C30" s="446">
        <v>6</v>
      </c>
      <c r="D30" s="446"/>
      <c r="E30" s="446">
        <f t="shared" si="0"/>
        <v>6</v>
      </c>
      <c r="F30" s="446">
        <f t="shared" si="1"/>
        <v>-2</v>
      </c>
      <c r="G30" s="446"/>
      <c r="H30" s="446">
        <f t="shared" si="2"/>
        <v>-2</v>
      </c>
      <c r="I30" s="446">
        <f t="shared" si="3"/>
        <v>2</v>
      </c>
      <c r="J30" s="446"/>
      <c r="K30" s="446">
        <f t="shared" si="4"/>
        <v>2</v>
      </c>
      <c r="L30" s="446">
        <v>8</v>
      </c>
      <c r="M30" s="446">
        <v>6</v>
      </c>
      <c r="N30" s="446"/>
      <c r="O30" s="446"/>
      <c r="P30" s="446"/>
    </row>
    <row r="31" spans="1:16" ht="12" customHeight="1">
      <c r="A31" s="502" t="s">
        <v>369</v>
      </c>
      <c r="B31" s="446">
        <v>1</v>
      </c>
      <c r="C31" s="446">
        <v>1</v>
      </c>
      <c r="D31" s="446"/>
      <c r="E31" s="446">
        <f t="shared" si="0"/>
        <v>1</v>
      </c>
      <c r="F31" s="446">
        <f t="shared" si="1"/>
        <v>0</v>
      </c>
      <c r="G31" s="446"/>
      <c r="H31" s="446">
        <f t="shared" si="2"/>
        <v>0</v>
      </c>
      <c r="I31" s="446">
        <f t="shared" si="3"/>
        <v>0</v>
      </c>
      <c r="J31" s="446"/>
      <c r="K31" s="446">
        <f t="shared" si="4"/>
        <v>0</v>
      </c>
      <c r="L31" s="446">
        <v>2</v>
      </c>
      <c r="M31" s="446">
        <v>2</v>
      </c>
      <c r="N31" s="446"/>
      <c r="O31" s="446"/>
      <c r="P31" s="446"/>
    </row>
    <row r="32" spans="1:16" ht="12" customHeight="1">
      <c r="A32" s="502" t="s">
        <v>370</v>
      </c>
      <c r="B32" s="446">
        <v>2</v>
      </c>
      <c r="C32" s="446">
        <v>1</v>
      </c>
      <c r="D32" s="446"/>
      <c r="E32" s="446">
        <f t="shared" si="0"/>
        <v>1</v>
      </c>
      <c r="F32" s="446">
        <f t="shared" si="1"/>
        <v>1</v>
      </c>
      <c r="G32" s="446"/>
      <c r="H32" s="446">
        <f t="shared" si="2"/>
        <v>1</v>
      </c>
      <c r="I32" s="446">
        <f t="shared" si="3"/>
        <v>-1</v>
      </c>
      <c r="J32" s="446"/>
      <c r="K32" s="446">
        <f t="shared" si="4"/>
        <v>-1</v>
      </c>
      <c r="L32" s="446">
        <v>4</v>
      </c>
      <c r="M32" s="446">
        <v>5</v>
      </c>
      <c r="N32" s="446"/>
      <c r="O32" s="446"/>
      <c r="P32" s="446"/>
    </row>
    <row r="33" spans="1:16" ht="12" customHeight="1">
      <c r="A33" s="502" t="s">
        <v>371</v>
      </c>
      <c r="B33" s="446">
        <v>0</v>
      </c>
      <c r="C33" s="446">
        <v>1</v>
      </c>
      <c r="D33" s="446"/>
      <c r="E33" s="446">
        <f t="shared" si="0"/>
        <v>1</v>
      </c>
      <c r="F33" s="446">
        <f t="shared" si="1"/>
        <v>-1</v>
      </c>
      <c r="G33" s="446"/>
      <c r="H33" s="446">
        <f t="shared" si="2"/>
        <v>-1</v>
      </c>
      <c r="I33" s="446">
        <f t="shared" si="3"/>
        <v>1</v>
      </c>
      <c r="J33" s="446"/>
      <c r="K33" s="446">
        <f t="shared" si="4"/>
        <v>1</v>
      </c>
      <c r="L33" s="446">
        <v>3</v>
      </c>
      <c r="M33" s="446">
        <v>2</v>
      </c>
      <c r="N33" s="446"/>
      <c r="O33" s="446"/>
      <c r="P33" s="446"/>
    </row>
    <row r="34" spans="1:16" ht="12" customHeight="1">
      <c r="A34" s="502" t="s">
        <v>372</v>
      </c>
      <c r="B34" s="446">
        <v>4</v>
      </c>
      <c r="C34" s="446">
        <v>3</v>
      </c>
      <c r="D34" s="446">
        <v>1</v>
      </c>
      <c r="E34" s="446">
        <f t="shared" si="0"/>
        <v>4</v>
      </c>
      <c r="F34" s="446">
        <f t="shared" si="1"/>
        <v>0</v>
      </c>
      <c r="G34" s="446"/>
      <c r="H34" s="446">
        <f t="shared" si="2"/>
        <v>0</v>
      </c>
      <c r="I34" s="446">
        <f t="shared" si="3"/>
        <v>0</v>
      </c>
      <c r="J34" s="446"/>
      <c r="K34" s="446">
        <f t="shared" si="4"/>
        <v>0</v>
      </c>
      <c r="L34" s="446">
        <v>4</v>
      </c>
      <c r="M34" s="446">
        <v>4</v>
      </c>
      <c r="N34" s="446"/>
      <c r="O34" s="446"/>
      <c r="P34" s="446"/>
    </row>
    <row r="35" spans="1:16" ht="12" customHeight="1">
      <c r="A35" s="502" t="s">
        <v>373</v>
      </c>
      <c r="B35" s="446">
        <v>1</v>
      </c>
      <c r="C35" s="446">
        <v>1</v>
      </c>
      <c r="D35" s="446">
        <v>0</v>
      </c>
      <c r="E35" s="446">
        <f t="shared" si="0"/>
        <v>1</v>
      </c>
      <c r="F35" s="446">
        <f t="shared" si="1"/>
        <v>0</v>
      </c>
      <c r="G35" s="446"/>
      <c r="H35" s="446">
        <f t="shared" si="2"/>
        <v>0</v>
      </c>
      <c r="I35" s="446">
        <f t="shared" si="3"/>
        <v>0</v>
      </c>
      <c r="J35" s="446"/>
      <c r="K35" s="446">
        <f t="shared" si="4"/>
        <v>0</v>
      </c>
      <c r="L35" s="446">
        <v>4</v>
      </c>
      <c r="M35" s="446">
        <v>4</v>
      </c>
      <c r="N35" s="446"/>
      <c r="O35" s="446"/>
      <c r="P35" s="446"/>
    </row>
    <row r="36" spans="1:16" ht="12" customHeight="1">
      <c r="A36" s="502" t="s">
        <v>374</v>
      </c>
      <c r="B36" s="446">
        <v>4</v>
      </c>
      <c r="C36" s="446">
        <v>2</v>
      </c>
      <c r="D36" s="446">
        <v>3</v>
      </c>
      <c r="E36" s="446">
        <f t="shared" si="0"/>
        <v>5</v>
      </c>
      <c r="F36" s="446">
        <f t="shared" si="1"/>
        <v>-1</v>
      </c>
      <c r="G36" s="446"/>
      <c r="H36" s="446">
        <f t="shared" si="2"/>
        <v>-1</v>
      </c>
      <c r="I36" s="446">
        <f t="shared" si="3"/>
        <v>1</v>
      </c>
      <c r="J36" s="446"/>
      <c r="K36" s="446">
        <f t="shared" si="4"/>
        <v>1</v>
      </c>
      <c r="L36" s="446">
        <v>15</v>
      </c>
      <c r="M36" s="446">
        <v>14</v>
      </c>
      <c r="N36" s="446"/>
      <c r="O36" s="446"/>
      <c r="P36" s="446"/>
    </row>
    <row r="37" spans="1:16" ht="12" customHeight="1">
      <c r="A37" s="502" t="s">
        <v>375</v>
      </c>
      <c r="B37" s="446">
        <v>2</v>
      </c>
      <c r="C37" s="446">
        <v>0</v>
      </c>
      <c r="D37" s="446">
        <v>1</v>
      </c>
      <c r="E37" s="446">
        <f t="shared" si="0"/>
        <v>1</v>
      </c>
      <c r="F37" s="446">
        <f t="shared" si="1"/>
        <v>1</v>
      </c>
      <c r="G37" s="446"/>
      <c r="H37" s="446">
        <f t="shared" si="2"/>
        <v>1</v>
      </c>
      <c r="I37" s="446">
        <f t="shared" si="3"/>
        <v>-1</v>
      </c>
      <c r="J37" s="446"/>
      <c r="K37" s="446">
        <f t="shared" si="4"/>
        <v>-1</v>
      </c>
      <c r="L37" s="446">
        <v>1</v>
      </c>
      <c r="M37" s="446">
        <v>2</v>
      </c>
      <c r="N37" s="446"/>
      <c r="O37" s="446"/>
      <c r="P37" s="446"/>
    </row>
    <row r="38" spans="1:16" ht="12" customHeight="1">
      <c r="A38" s="502" t="s">
        <v>376</v>
      </c>
      <c r="B38" s="446">
        <v>31</v>
      </c>
      <c r="C38" s="446">
        <v>10</v>
      </c>
      <c r="D38" s="446">
        <v>6</v>
      </c>
      <c r="E38" s="446">
        <f t="shared" si="0"/>
        <v>16</v>
      </c>
      <c r="F38" s="446">
        <f t="shared" si="1"/>
        <v>15</v>
      </c>
      <c r="G38" s="446"/>
      <c r="H38" s="446">
        <f t="shared" si="2"/>
        <v>15</v>
      </c>
      <c r="I38" s="446">
        <f t="shared" si="3"/>
        <v>-15</v>
      </c>
      <c r="J38" s="446"/>
      <c r="K38" s="446">
        <f t="shared" si="4"/>
        <v>-15</v>
      </c>
      <c r="L38" s="446">
        <v>17</v>
      </c>
      <c r="M38" s="446">
        <v>32</v>
      </c>
      <c r="N38" s="446"/>
      <c r="O38" s="446"/>
      <c r="P38" s="446"/>
    </row>
    <row r="39" spans="1:16" ht="12" customHeight="1">
      <c r="A39" s="502" t="s">
        <v>377</v>
      </c>
      <c r="B39" s="446">
        <v>9</v>
      </c>
      <c r="C39" s="446">
        <v>5</v>
      </c>
      <c r="D39" s="446"/>
      <c r="E39" s="446">
        <f t="shared" si="0"/>
        <v>5</v>
      </c>
      <c r="F39" s="446">
        <f t="shared" si="1"/>
        <v>4</v>
      </c>
      <c r="G39" s="446"/>
      <c r="H39" s="446">
        <f t="shared" si="2"/>
        <v>4</v>
      </c>
      <c r="I39" s="446">
        <f t="shared" si="3"/>
        <v>-4</v>
      </c>
      <c r="J39" s="446"/>
      <c r="K39" s="446">
        <f t="shared" si="4"/>
        <v>-4</v>
      </c>
      <c r="L39" s="446">
        <v>2</v>
      </c>
      <c r="M39" s="446">
        <v>6</v>
      </c>
      <c r="N39" s="446"/>
      <c r="O39" s="446"/>
      <c r="P39" s="446"/>
    </row>
    <row r="40" spans="1:16" ht="12" customHeight="1">
      <c r="A40" s="502" t="s">
        <v>378</v>
      </c>
      <c r="B40" s="446">
        <v>6</v>
      </c>
      <c r="C40" s="446">
        <v>5</v>
      </c>
      <c r="D40" s="446">
        <v>1</v>
      </c>
      <c r="E40" s="446">
        <f t="shared" si="0"/>
        <v>6</v>
      </c>
      <c r="F40" s="446">
        <f t="shared" si="1"/>
        <v>0</v>
      </c>
      <c r="G40" s="446"/>
      <c r="H40" s="446">
        <f t="shared" si="2"/>
        <v>0</v>
      </c>
      <c r="I40" s="446">
        <f t="shared" si="3"/>
        <v>0</v>
      </c>
      <c r="J40" s="446"/>
      <c r="K40" s="446">
        <f t="shared" si="4"/>
        <v>0</v>
      </c>
      <c r="L40" s="446">
        <v>20</v>
      </c>
      <c r="M40" s="446">
        <v>20</v>
      </c>
      <c r="N40" s="446"/>
      <c r="O40" s="446"/>
      <c r="P40" s="446"/>
    </row>
    <row r="41" spans="1:16" ht="12" customHeight="1">
      <c r="A41" s="502" t="s">
        <v>379</v>
      </c>
      <c r="B41" s="446">
        <v>2</v>
      </c>
      <c r="C41" s="446">
        <v>8</v>
      </c>
      <c r="D41" s="446"/>
      <c r="E41" s="446">
        <f t="shared" si="0"/>
        <v>8</v>
      </c>
      <c r="F41" s="446">
        <f t="shared" si="1"/>
        <v>-6</v>
      </c>
      <c r="G41" s="446"/>
      <c r="H41" s="446">
        <f t="shared" si="2"/>
        <v>-6</v>
      </c>
      <c r="I41" s="446">
        <f t="shared" si="3"/>
        <v>6</v>
      </c>
      <c r="J41" s="446"/>
      <c r="K41" s="446">
        <f t="shared" si="4"/>
        <v>6</v>
      </c>
      <c r="L41" s="446">
        <v>12</v>
      </c>
      <c r="M41" s="446">
        <v>6</v>
      </c>
      <c r="N41" s="446"/>
      <c r="O41" s="446"/>
      <c r="P41" s="446"/>
    </row>
    <row r="42" spans="1:16" ht="12" customHeight="1">
      <c r="A42" s="502" t="s">
        <v>380</v>
      </c>
      <c r="B42" s="446">
        <v>2</v>
      </c>
      <c r="C42" s="446">
        <v>1</v>
      </c>
      <c r="D42" s="446"/>
      <c r="E42" s="446">
        <f t="shared" si="0"/>
        <v>1</v>
      </c>
      <c r="F42" s="446">
        <f t="shared" si="1"/>
        <v>1</v>
      </c>
      <c r="G42" s="446"/>
      <c r="H42" s="446">
        <f t="shared" si="2"/>
        <v>1</v>
      </c>
      <c r="I42" s="446">
        <f t="shared" si="3"/>
        <v>-1</v>
      </c>
      <c r="J42" s="446"/>
      <c r="K42" s="446">
        <f t="shared" si="4"/>
        <v>-1</v>
      </c>
      <c r="L42" s="446">
        <v>7</v>
      </c>
      <c r="M42" s="446">
        <v>8</v>
      </c>
      <c r="N42" s="446"/>
      <c r="O42" s="446"/>
      <c r="P42" s="446"/>
    </row>
    <row r="43" spans="1:16" ht="12" customHeight="1">
      <c r="A43" s="502" t="s">
        <v>381</v>
      </c>
      <c r="B43" s="446">
        <v>18</v>
      </c>
      <c r="C43" s="446">
        <v>13</v>
      </c>
      <c r="D43" s="446"/>
      <c r="E43" s="446">
        <f t="shared" si="0"/>
        <v>13</v>
      </c>
      <c r="F43" s="446">
        <f t="shared" si="1"/>
        <v>5</v>
      </c>
      <c r="G43" s="446"/>
      <c r="H43" s="446">
        <f t="shared" si="2"/>
        <v>5</v>
      </c>
      <c r="I43" s="446">
        <f t="shared" si="3"/>
        <v>-5</v>
      </c>
      <c r="J43" s="446"/>
      <c r="K43" s="446">
        <f t="shared" si="4"/>
        <v>-5</v>
      </c>
      <c r="L43" s="446">
        <v>6</v>
      </c>
      <c r="M43" s="446">
        <v>11</v>
      </c>
      <c r="N43" s="446"/>
      <c r="O43" s="446"/>
      <c r="P43" s="446"/>
    </row>
    <row r="44" spans="1:16" ht="12" customHeight="1">
      <c r="A44" s="502" t="s">
        <v>382</v>
      </c>
      <c r="B44" s="446"/>
      <c r="C44" s="446">
        <v>1</v>
      </c>
      <c r="D44" s="446"/>
      <c r="E44" s="446">
        <f t="shared" si="0"/>
        <v>1</v>
      </c>
      <c r="F44" s="446">
        <f t="shared" si="1"/>
        <v>-1</v>
      </c>
      <c r="G44" s="446"/>
      <c r="H44" s="446">
        <f t="shared" si="2"/>
        <v>-1</v>
      </c>
      <c r="I44" s="446">
        <f t="shared" si="3"/>
        <v>1</v>
      </c>
      <c r="J44" s="446"/>
      <c r="K44" s="446">
        <f t="shared" si="4"/>
        <v>1</v>
      </c>
      <c r="L44" s="446">
        <v>3</v>
      </c>
      <c r="M44" s="446">
        <v>2</v>
      </c>
      <c r="N44" s="446"/>
      <c r="O44" s="446"/>
      <c r="P44" s="446"/>
    </row>
    <row r="45" spans="1:16" ht="12" customHeight="1">
      <c r="A45" s="97" t="s">
        <v>443</v>
      </c>
      <c r="B45" s="446">
        <f aca="true" t="shared" si="6" ref="B45:G45">SUM(B19:B44)</f>
        <v>200</v>
      </c>
      <c r="C45" s="446">
        <f t="shared" si="6"/>
        <v>132</v>
      </c>
      <c r="D45" s="446">
        <f t="shared" si="6"/>
        <v>31</v>
      </c>
      <c r="E45" s="446">
        <f t="shared" si="6"/>
        <v>163</v>
      </c>
      <c r="F45" s="446">
        <f t="shared" si="6"/>
        <v>37</v>
      </c>
      <c r="G45" s="446">
        <f t="shared" si="6"/>
        <v>0</v>
      </c>
      <c r="H45" s="446">
        <f t="shared" si="2"/>
        <v>37</v>
      </c>
      <c r="I45" s="446">
        <f t="shared" si="3"/>
        <v>-37</v>
      </c>
      <c r="J45" s="446">
        <f aca="true" t="shared" si="7" ref="J45:P45">SUM(J19:J44)</f>
        <v>0</v>
      </c>
      <c r="K45" s="446">
        <f t="shared" si="7"/>
        <v>-37</v>
      </c>
      <c r="L45" s="446">
        <f t="shared" si="7"/>
        <v>231</v>
      </c>
      <c r="M45" s="446">
        <f t="shared" si="7"/>
        <v>268</v>
      </c>
      <c r="N45" s="446">
        <f t="shared" si="7"/>
        <v>0</v>
      </c>
      <c r="O45" s="446">
        <f t="shared" si="7"/>
        <v>0</v>
      </c>
      <c r="P45" s="446">
        <f t="shared" si="7"/>
        <v>0</v>
      </c>
    </row>
    <row r="46" spans="1:16" ht="12" customHeight="1">
      <c r="A46" s="97" t="s">
        <v>383</v>
      </c>
      <c r="B46" s="446">
        <f aca="true" t="shared" si="8" ref="B46:P46">SUM(B18,B45)</f>
        <v>921</v>
      </c>
      <c r="C46" s="446">
        <f t="shared" si="8"/>
        <v>608</v>
      </c>
      <c r="D46" s="446">
        <f t="shared" si="8"/>
        <v>411</v>
      </c>
      <c r="E46" s="446">
        <f t="shared" si="8"/>
        <v>1019</v>
      </c>
      <c r="F46" s="446">
        <f t="shared" si="8"/>
        <v>-98</v>
      </c>
      <c r="G46" s="446">
        <f t="shared" si="8"/>
        <v>-802</v>
      </c>
      <c r="H46" s="446">
        <f t="shared" si="8"/>
        <v>704</v>
      </c>
      <c r="I46" s="446">
        <f t="shared" si="8"/>
        <v>-704</v>
      </c>
      <c r="J46" s="446">
        <f t="shared" si="8"/>
        <v>0</v>
      </c>
      <c r="K46" s="446">
        <f t="shared" si="8"/>
        <v>-704</v>
      </c>
      <c r="L46" s="446">
        <f t="shared" si="8"/>
        <v>1847</v>
      </c>
      <c r="M46" s="446">
        <f t="shared" si="8"/>
        <v>2551</v>
      </c>
      <c r="N46" s="446">
        <f t="shared" si="8"/>
        <v>0</v>
      </c>
      <c r="O46" s="446">
        <f t="shared" si="8"/>
        <v>0</v>
      </c>
      <c r="P46" s="446">
        <f t="shared" si="8"/>
        <v>0</v>
      </c>
    </row>
    <row r="47" ht="17.25" customHeight="1"/>
    <row r="48" ht="17.25" customHeight="1"/>
    <row r="49" s="517" customFormat="1" ht="17.25" customHeight="1">
      <c r="A49" s="564"/>
    </row>
    <row r="54" spans="1:9" s="548" customFormat="1" ht="17.25" customHeight="1">
      <c r="A54" s="80" t="s">
        <v>444</v>
      </c>
      <c r="B54" s="9"/>
      <c r="C54" s="9"/>
      <c r="D54" s="494"/>
      <c r="E54" s="524"/>
      <c r="F54" s="494"/>
      <c r="G54" s="9" t="s">
        <v>830</v>
      </c>
      <c r="H54" s="494"/>
      <c r="I54" s="517"/>
    </row>
    <row r="56" spans="1:8" s="497" customFormat="1" ht="17.25" customHeight="1">
      <c r="A56" s="566"/>
      <c r="B56" s="567"/>
      <c r="C56" s="494"/>
      <c r="D56" s="568"/>
      <c r="E56" s="494"/>
      <c r="F56" s="568"/>
      <c r="G56" s="568"/>
      <c r="H56" s="494"/>
    </row>
    <row r="58" spans="1:16" s="517" customFormat="1" ht="17.25" customHeight="1">
      <c r="A58" s="551" t="s">
        <v>915</v>
      </c>
      <c r="B58" s="542"/>
      <c r="C58" s="4"/>
      <c r="D58" s="542"/>
      <c r="E58" s="542"/>
      <c r="F58" s="542"/>
      <c r="G58" s="4"/>
      <c r="H58" s="569"/>
      <c r="I58" s="542"/>
      <c r="J58" s="542"/>
      <c r="K58" s="542"/>
      <c r="L58" s="542"/>
      <c r="M58" s="542"/>
      <c r="N58" s="542"/>
      <c r="O58" s="542"/>
      <c r="P58" s="542"/>
    </row>
    <row r="59" s="548" customFormat="1" ht="17.25" customHeight="1">
      <c r="A59" s="565" t="s">
        <v>832</v>
      </c>
    </row>
    <row r="60" spans="1:6" s="548" customFormat="1" ht="17.25" customHeight="1">
      <c r="A60" s="570"/>
      <c r="B60" s="494"/>
      <c r="C60" s="494"/>
      <c r="D60" s="494"/>
      <c r="E60" s="494"/>
      <c r="F60" s="494"/>
    </row>
    <row r="61" ht="24" customHeight="1"/>
    <row r="67" ht="17.25" customHeight="1">
      <c r="A67" s="89"/>
    </row>
    <row r="68" s="89" customFormat="1" ht="17.25" customHeight="1">
      <c r="A68" s="571"/>
    </row>
    <row r="69" ht="17.25" customHeight="1">
      <c r="A69" s="571"/>
    </row>
  </sheetData>
  <mergeCells count="12">
    <mergeCell ref="P7:P9"/>
    <mergeCell ref="J8:O8"/>
    <mergeCell ref="A2:P2"/>
    <mergeCell ref="A4:P4"/>
    <mergeCell ref="A5:P5"/>
    <mergeCell ref="A7:A9"/>
    <mergeCell ref="B7:B9"/>
    <mergeCell ref="C7:E8"/>
    <mergeCell ref="F7:F9"/>
    <mergeCell ref="G7:G9"/>
    <mergeCell ref="H7:H9"/>
    <mergeCell ref="I7:I9"/>
  </mergeCells>
  <printOptions/>
  <pageMargins left="0.75" right="0.17" top="1" bottom="1" header="0.5" footer="0.5"/>
  <pageSetup fitToHeight="2" fitToWidth="1" horizontalDpi="300" verticalDpi="3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8" sqref="A8"/>
    </sheetView>
  </sheetViews>
  <sheetFormatPr defaultColWidth="9.140625" defaultRowHeight="17.25" customHeight="1"/>
  <cols>
    <col min="1" max="1" width="36.28125" style="81" customWidth="1"/>
    <col min="2" max="2" width="14.421875" style="81" customWidth="1"/>
    <col min="3" max="3" width="11.00390625" style="82" customWidth="1"/>
    <col min="4" max="4" width="12.7109375" style="9" customWidth="1"/>
    <col min="5" max="5" width="9.8515625" style="82" customWidth="1"/>
  </cols>
  <sheetData>
    <row r="1" spans="2:5" ht="17.25" customHeight="1">
      <c r="B1" s="1"/>
      <c r="C1" s="84"/>
      <c r="E1" s="87" t="s">
        <v>415</v>
      </c>
    </row>
    <row r="2" ht="17.25" customHeight="1">
      <c r="A2" s="81" t="s">
        <v>834</v>
      </c>
    </row>
    <row r="4" spans="1:5" ht="30" customHeight="1">
      <c r="A4" s="756" t="s">
        <v>416</v>
      </c>
      <c r="B4" s="756"/>
      <c r="C4" s="756"/>
      <c r="D4" s="756"/>
      <c r="E4" s="756"/>
    </row>
    <row r="5" spans="1:5" ht="17.25" customHeight="1">
      <c r="A5" s="773" t="s">
        <v>417</v>
      </c>
      <c r="B5" s="773"/>
      <c r="C5" s="773"/>
      <c r="D5" s="773"/>
      <c r="E5" s="773"/>
    </row>
    <row r="6" ht="17.25" customHeight="1">
      <c r="E6" s="87" t="s">
        <v>837</v>
      </c>
    </row>
    <row r="7" spans="1:5" ht="38.25">
      <c r="A7" s="91" t="s">
        <v>748</v>
      </c>
      <c r="B7" s="534" t="s">
        <v>398</v>
      </c>
      <c r="C7" s="92" t="s">
        <v>795</v>
      </c>
      <c r="D7" s="91" t="s">
        <v>796</v>
      </c>
      <c r="E7" s="11" t="s">
        <v>797</v>
      </c>
    </row>
    <row r="8" spans="1:5" ht="17.25" customHeight="1">
      <c r="A8" s="93">
        <v>1</v>
      </c>
      <c r="B8" s="93">
        <v>2</v>
      </c>
      <c r="C8" s="95">
        <v>3</v>
      </c>
      <c r="D8" s="93">
        <v>4</v>
      </c>
      <c r="E8" s="95">
        <v>5</v>
      </c>
    </row>
    <row r="9" spans="1:5" ht="25.5">
      <c r="A9" s="96" t="s">
        <v>839</v>
      </c>
      <c r="B9" s="93" t="s">
        <v>848</v>
      </c>
      <c r="C9" s="94">
        <f>SUM(C10:C11)</f>
        <v>921</v>
      </c>
      <c r="D9" s="553"/>
      <c r="E9" s="94">
        <f>C9-'[15]februaris'!C9</f>
        <v>300</v>
      </c>
    </row>
    <row r="10" spans="1:5" ht="25.5">
      <c r="A10" s="101" t="s">
        <v>840</v>
      </c>
      <c r="B10" s="93" t="s">
        <v>848</v>
      </c>
      <c r="C10" s="94">
        <v>705</v>
      </c>
      <c r="D10" s="553"/>
      <c r="E10" s="94">
        <f>C10-'[15]februaris'!C10</f>
        <v>204</v>
      </c>
    </row>
    <row r="11" spans="1:5" ht="25.5">
      <c r="A11" s="101" t="s">
        <v>841</v>
      </c>
      <c r="B11" s="93" t="s">
        <v>848</v>
      </c>
      <c r="C11" s="94">
        <v>216</v>
      </c>
      <c r="D11" s="553"/>
      <c r="E11" s="94">
        <f>C11-'[15]februaris'!C11</f>
        <v>96</v>
      </c>
    </row>
    <row r="12" spans="1:5" ht="25.5">
      <c r="A12" s="101" t="s">
        <v>842</v>
      </c>
      <c r="B12" s="93" t="s">
        <v>848</v>
      </c>
      <c r="C12" s="94"/>
      <c r="D12" s="553"/>
      <c r="E12" s="94">
        <f>C12-'[15]februaris'!C12</f>
        <v>0</v>
      </c>
    </row>
    <row r="13" spans="1:5" ht="17.25" customHeight="1">
      <c r="A13" s="96" t="s">
        <v>843</v>
      </c>
      <c r="B13" s="236"/>
      <c r="C13" s="236">
        <f>SUM(C14,C31,)</f>
        <v>1019</v>
      </c>
      <c r="D13" s="447"/>
      <c r="E13" s="236">
        <f>C13-'[15]februaris'!C13</f>
        <v>437</v>
      </c>
    </row>
    <row r="14" spans="1:5" ht="17.25" customHeight="1">
      <c r="A14" s="107" t="s">
        <v>844</v>
      </c>
      <c r="B14" s="236"/>
      <c r="C14" s="236">
        <f>SUM(C15,C25)</f>
        <v>608</v>
      </c>
      <c r="D14" s="447"/>
      <c r="E14" s="236">
        <f>C14-'[15]februaris'!C14</f>
        <v>250</v>
      </c>
    </row>
    <row r="15" spans="1:5" ht="17.25" customHeight="1">
      <c r="A15" s="107" t="s">
        <v>845</v>
      </c>
      <c r="B15" s="112"/>
      <c r="C15" s="112">
        <f>SUM(C17,C16,C18)</f>
        <v>524</v>
      </c>
      <c r="D15" s="447"/>
      <c r="E15" s="112">
        <f>C15-'[15]februaris'!C15</f>
        <v>237</v>
      </c>
    </row>
    <row r="16" spans="1:5" ht="17.25" customHeight="1">
      <c r="A16" s="109" t="s">
        <v>846</v>
      </c>
      <c r="B16" s="103"/>
      <c r="C16" s="94">
        <v>97</v>
      </c>
      <c r="D16" s="447"/>
      <c r="E16" s="94">
        <f>C16-'[15]februaris'!C16</f>
        <v>62</v>
      </c>
    </row>
    <row r="17" spans="1:5" ht="25.5">
      <c r="A17" s="101" t="s">
        <v>847</v>
      </c>
      <c r="B17" s="110" t="s">
        <v>848</v>
      </c>
      <c r="C17" s="94">
        <v>23</v>
      </c>
      <c r="D17" s="110" t="s">
        <v>848</v>
      </c>
      <c r="E17" s="94">
        <f>C17-'[15]februaris'!C17</f>
        <v>15</v>
      </c>
    </row>
    <row r="18" spans="1:5" ht="17.25" customHeight="1">
      <c r="A18" s="101" t="s">
        <v>850</v>
      </c>
      <c r="B18" s="110" t="s">
        <v>848</v>
      </c>
      <c r="C18" s="112">
        <f>SUM(C19:C20)</f>
        <v>404</v>
      </c>
      <c r="D18" s="110" t="s">
        <v>848</v>
      </c>
      <c r="E18" s="112">
        <f>C18-'[15]februaris'!C18</f>
        <v>160</v>
      </c>
    </row>
    <row r="19" spans="1:5" ht="17.25" customHeight="1">
      <c r="A19" s="113" t="s">
        <v>851</v>
      </c>
      <c r="B19" s="114" t="s">
        <v>848</v>
      </c>
      <c r="C19" s="94">
        <f>319+66+2</f>
        <v>387</v>
      </c>
      <c r="D19" s="114" t="s">
        <v>848</v>
      </c>
      <c r="E19" s="94">
        <f>C19-'[15]februaris'!C19</f>
        <v>151</v>
      </c>
    </row>
    <row r="20" spans="1:5" ht="17.25" customHeight="1">
      <c r="A20" s="113" t="s">
        <v>852</v>
      </c>
      <c r="B20" s="114" t="s">
        <v>848</v>
      </c>
      <c r="C20" s="94">
        <f>13+4</f>
        <v>17</v>
      </c>
      <c r="D20" s="114" t="s">
        <v>848</v>
      </c>
      <c r="E20" s="94">
        <f>C20-'[15]februaris'!C20</f>
        <v>9</v>
      </c>
    </row>
    <row r="21" spans="1:5" ht="17.25" customHeight="1">
      <c r="A21" s="101" t="s">
        <v>853</v>
      </c>
      <c r="B21" s="110" t="s">
        <v>848</v>
      </c>
      <c r="C21" s="94"/>
      <c r="D21" s="110" t="s">
        <v>848</v>
      </c>
      <c r="E21" s="94">
        <f>C21-'[15]februaris'!C21</f>
        <v>0</v>
      </c>
    </row>
    <row r="22" spans="1:5" ht="25.5">
      <c r="A22" s="117" t="s">
        <v>854</v>
      </c>
      <c r="B22" s="110" t="s">
        <v>848</v>
      </c>
      <c r="C22" s="112"/>
      <c r="D22" s="554" t="str">
        <f>IF(ISERROR(ROUND(C22,0)/ROUND(g,0))," ",(ROUND(C22,)/ROUND(B22,)))</f>
        <v> </v>
      </c>
      <c r="E22" s="112">
        <f>C22-'[15]februaris'!C22</f>
        <v>0</v>
      </c>
    </row>
    <row r="23" spans="1:5" ht="25.5">
      <c r="A23" s="101" t="s">
        <v>855</v>
      </c>
      <c r="B23" s="110" t="s">
        <v>848</v>
      </c>
      <c r="C23" s="94"/>
      <c r="D23" s="110" t="s">
        <v>848</v>
      </c>
      <c r="E23" s="94">
        <f>C23-'[15]februaris'!C23</f>
        <v>0</v>
      </c>
    </row>
    <row r="24" spans="1:5" ht="25.5">
      <c r="A24" s="101" t="s">
        <v>856</v>
      </c>
      <c r="B24" s="110" t="s">
        <v>848</v>
      </c>
      <c r="C24" s="94"/>
      <c r="D24" s="110" t="s">
        <v>848</v>
      </c>
      <c r="E24" s="94">
        <f>C24-'[15]februaris'!C24</f>
        <v>0</v>
      </c>
    </row>
    <row r="25" spans="1:5" ht="17.25" customHeight="1">
      <c r="A25" s="118" t="s">
        <v>857</v>
      </c>
      <c r="B25" s="103"/>
      <c r="C25" s="112">
        <f>SUM(C26:C30)</f>
        <v>84</v>
      </c>
      <c r="D25" s="447"/>
      <c r="E25" s="112">
        <f>C25-'[15]februaris'!C25</f>
        <v>13</v>
      </c>
    </row>
    <row r="26" spans="1:5" ht="17.25" customHeight="1">
      <c r="A26" s="109" t="s">
        <v>858</v>
      </c>
      <c r="B26" s="110" t="s">
        <v>848</v>
      </c>
      <c r="C26" s="94"/>
      <c r="D26" s="110" t="s">
        <v>848</v>
      </c>
      <c r="E26" s="94">
        <f>C26-'[15]februaris'!C26</f>
        <v>0</v>
      </c>
    </row>
    <row r="27" spans="1:5" ht="17.25" customHeight="1">
      <c r="A27" s="109" t="s">
        <v>859</v>
      </c>
      <c r="B27" s="110" t="s">
        <v>848</v>
      </c>
      <c r="C27" s="94"/>
      <c r="D27" s="110" t="s">
        <v>848</v>
      </c>
      <c r="E27" s="94">
        <f>C27-'[15]februaris'!C27</f>
        <v>0</v>
      </c>
    </row>
    <row r="28" spans="1:5" ht="17.25" customHeight="1">
      <c r="A28" s="101" t="s">
        <v>860</v>
      </c>
      <c r="B28" s="110" t="s">
        <v>848</v>
      </c>
      <c r="C28" s="94"/>
      <c r="D28" s="110" t="s">
        <v>848</v>
      </c>
      <c r="E28" s="94">
        <f>C28-'[15]februaris'!C28</f>
        <v>0</v>
      </c>
    </row>
    <row r="29" spans="1:5" ht="17.25" customHeight="1">
      <c r="A29" s="101" t="s">
        <v>861</v>
      </c>
      <c r="B29" s="110" t="s">
        <v>848</v>
      </c>
      <c r="C29" s="94">
        <v>72</v>
      </c>
      <c r="D29" s="110" t="s">
        <v>848</v>
      </c>
      <c r="E29" s="94">
        <f>C29-'[15]februaris'!C29</f>
        <v>9</v>
      </c>
    </row>
    <row r="30" spans="1:5" ht="17.25" customHeight="1">
      <c r="A30" s="101" t="s">
        <v>862</v>
      </c>
      <c r="B30" s="110" t="s">
        <v>848</v>
      </c>
      <c r="C30" s="94">
        <v>12</v>
      </c>
      <c r="D30" s="110" t="s">
        <v>848</v>
      </c>
      <c r="E30" s="94">
        <f>C30-'[15]februaris'!C30</f>
        <v>4</v>
      </c>
    </row>
    <row r="31" spans="1:5" ht="17.25" customHeight="1">
      <c r="A31" s="119" t="s">
        <v>863</v>
      </c>
      <c r="B31" s="112"/>
      <c r="C31" s="112">
        <f>SUM(C32:C33)</f>
        <v>411</v>
      </c>
      <c r="D31" s="447"/>
      <c r="E31" s="112">
        <f>C31-'[15]februaris'!C31</f>
        <v>187</v>
      </c>
    </row>
    <row r="32" spans="1:5" ht="17.25" customHeight="1">
      <c r="A32" s="101" t="s">
        <v>864</v>
      </c>
      <c r="B32" s="103"/>
      <c r="C32" s="94">
        <f>6+375</f>
        <v>381</v>
      </c>
      <c r="D32" s="447"/>
      <c r="E32" s="94">
        <f>C32-'[15]februaris'!C32</f>
        <v>160</v>
      </c>
    </row>
    <row r="33" spans="1:5" ht="17.25" customHeight="1">
      <c r="A33" s="101" t="s">
        <v>865</v>
      </c>
      <c r="B33" s="103"/>
      <c r="C33" s="94">
        <v>30</v>
      </c>
      <c r="D33" s="447"/>
      <c r="E33" s="94">
        <f>C33-'[15]februaris'!C33</f>
        <v>27</v>
      </c>
    </row>
    <row r="34" spans="1:5" ht="17.25" customHeight="1">
      <c r="A34" s="539" t="s">
        <v>418</v>
      </c>
      <c r="B34" s="94"/>
      <c r="C34" s="94">
        <f>C35-C36</f>
        <v>-802</v>
      </c>
      <c r="D34" s="447"/>
      <c r="E34" s="94">
        <f>C34-'[15]februaris'!C34</f>
        <v>-7</v>
      </c>
    </row>
    <row r="35" spans="1:5" ht="17.25" customHeight="1">
      <c r="A35" s="555" t="s">
        <v>419</v>
      </c>
      <c r="B35" s="103"/>
      <c r="C35" s="94"/>
      <c r="D35" s="447"/>
      <c r="E35" s="94">
        <f>C35-'[15]februaris'!C35</f>
        <v>0</v>
      </c>
    </row>
    <row r="36" spans="1:5" ht="25.5">
      <c r="A36" s="555" t="s">
        <v>420</v>
      </c>
      <c r="B36" s="103"/>
      <c r="C36" s="94">
        <v>802</v>
      </c>
      <c r="D36" s="447"/>
      <c r="E36" s="94">
        <f>C36-'[15]februaris'!C36</f>
        <v>7</v>
      </c>
    </row>
    <row r="37" spans="1:5" ht="17.25" customHeight="1">
      <c r="A37" s="119" t="s">
        <v>421</v>
      </c>
      <c r="B37" s="112"/>
      <c r="C37" s="112">
        <f>C9-C13-C34</f>
        <v>704</v>
      </c>
      <c r="D37" s="110" t="s">
        <v>848</v>
      </c>
      <c r="E37" s="95" t="s">
        <v>848</v>
      </c>
    </row>
    <row r="38" spans="1:5" ht="17.25" customHeight="1">
      <c r="A38" s="119" t="s">
        <v>867</v>
      </c>
      <c r="B38" s="112"/>
      <c r="C38" s="112">
        <f>-C37</f>
        <v>-704</v>
      </c>
      <c r="D38" s="110" t="s">
        <v>848</v>
      </c>
      <c r="E38" s="95" t="s">
        <v>848</v>
      </c>
    </row>
    <row r="39" spans="1:5" ht="25.5">
      <c r="A39" s="123" t="s">
        <v>868</v>
      </c>
      <c r="B39" s="121"/>
      <c r="C39" s="94">
        <v>-704</v>
      </c>
      <c r="D39" s="110" t="s">
        <v>848</v>
      </c>
      <c r="E39" s="95" t="s">
        <v>848</v>
      </c>
    </row>
    <row r="40" spans="1:5" ht="17.25" customHeight="1">
      <c r="A40" s="741"/>
      <c r="B40" s="741"/>
      <c r="C40" s="741"/>
      <c r="D40" s="741"/>
      <c r="E40" s="741"/>
    </row>
    <row r="42" spans="1:5" ht="17.25" customHeight="1">
      <c r="A42" s="76"/>
      <c r="B42" s="77"/>
      <c r="C42" s="78"/>
      <c r="D42" s="79"/>
      <c r="E42" s="78"/>
    </row>
    <row r="43" spans="1:5" ht="17.25" customHeight="1">
      <c r="A43" s="76"/>
      <c r="B43" s="76"/>
      <c r="C43" s="127"/>
      <c r="D43" s="49"/>
      <c r="E43" s="78"/>
    </row>
    <row r="44" spans="1:4" ht="17.25" customHeight="1">
      <c r="A44" s="80" t="s">
        <v>422</v>
      </c>
      <c r="B44" s="9"/>
      <c r="C44" s="9"/>
      <c r="D44" s="9" t="s">
        <v>830</v>
      </c>
    </row>
    <row r="45" spans="1:4" ht="17.25" customHeight="1">
      <c r="A45" s="76"/>
      <c r="B45" s="77"/>
      <c r="C45" s="78"/>
      <c r="D45" s="79"/>
    </row>
    <row r="46" spans="2:5" ht="17.25" customHeight="1">
      <c r="B46" s="83"/>
      <c r="C46" s="84"/>
      <c r="D46" s="85"/>
      <c r="E46" s="84"/>
    </row>
    <row r="47" spans="2:4" ht="17.25" customHeight="1">
      <c r="B47" s="82"/>
      <c r="D47" s="85"/>
    </row>
    <row r="48" spans="2:4" ht="17.25" customHeight="1">
      <c r="B48" s="82"/>
      <c r="D48" s="85"/>
    </row>
    <row r="49" spans="2:4" ht="17.25" customHeight="1">
      <c r="B49" s="82"/>
      <c r="D49" s="85"/>
    </row>
    <row r="50" spans="1:4" ht="17.25" customHeight="1">
      <c r="A50" s="4"/>
      <c r="B50" s="82"/>
      <c r="D50" s="85"/>
    </row>
    <row r="51" ht="17.25" customHeight="1">
      <c r="A51" s="4"/>
    </row>
    <row r="52" ht="17.25" customHeight="1">
      <c r="A52" s="86"/>
    </row>
    <row r="53" spans="2:4" ht="17.25" customHeight="1">
      <c r="B53" s="82"/>
      <c r="D53" s="85"/>
    </row>
    <row r="68" ht="17.25" customHeight="1">
      <c r="A68" s="81" t="s">
        <v>915</v>
      </c>
    </row>
    <row r="69" ht="17.25" customHeight="1">
      <c r="A69" s="81" t="s">
        <v>832</v>
      </c>
    </row>
  </sheetData>
  <mergeCells count="3">
    <mergeCell ref="A4:E4"/>
    <mergeCell ref="A5:E5"/>
    <mergeCell ref="A40:E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B11" sqref="B11"/>
    </sheetView>
  </sheetViews>
  <sheetFormatPr defaultColWidth="9.140625" defaultRowHeight="17.25" customHeight="1"/>
  <cols>
    <col min="1" max="1" width="36.7109375" style="527" customWidth="1"/>
    <col min="2" max="2" width="11.140625" style="552" customWidth="1"/>
    <col min="3" max="3" width="11.421875" style="494" customWidth="1"/>
    <col min="4" max="4" width="14.28125" style="494" customWidth="1"/>
    <col min="5" max="5" width="13.8515625" style="494" customWidth="1"/>
    <col min="6" max="6" width="8.28125" style="0" customWidth="1"/>
    <col min="9" max="9" width="8.421875" style="0" customWidth="1"/>
    <col min="73" max="16384" width="9.140625" style="494" customWidth="1"/>
  </cols>
  <sheetData>
    <row r="1" spans="2:5" ht="17.25" customHeight="1">
      <c r="B1" s="528"/>
      <c r="C1" s="1"/>
      <c r="D1" s="1"/>
      <c r="E1" s="1" t="s">
        <v>396</v>
      </c>
    </row>
    <row r="2" spans="1:5" ht="12.75">
      <c r="A2" s="783" t="s">
        <v>791</v>
      </c>
      <c r="B2" s="783"/>
      <c r="C2" s="783"/>
      <c r="D2" s="783"/>
      <c r="E2" s="783"/>
    </row>
    <row r="3" spans="1:72" s="3" customFormat="1" ht="17.25" customHeight="1">
      <c r="A3" s="528"/>
      <c r="B3" s="530"/>
      <c r="C3" s="327"/>
      <c r="D3" s="327"/>
      <c r="E3" s="32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782" t="s">
        <v>397</v>
      </c>
      <c r="B4" s="782"/>
      <c r="C4" s="782"/>
      <c r="D4" s="782"/>
      <c r="E4" s="782"/>
    </row>
    <row r="5" spans="1:72" s="532" customFormat="1" ht="17.25" customHeight="1">
      <c r="A5" s="783" t="s">
        <v>793</v>
      </c>
      <c r="B5" s="783"/>
      <c r="C5" s="783"/>
      <c r="D5" s="783"/>
      <c r="E5" s="78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533"/>
      <c r="C6" s="3"/>
      <c r="E6" s="10" t="s">
        <v>837</v>
      </c>
    </row>
    <row r="7" spans="1:72" s="3" customFormat="1" ht="22.5">
      <c r="A7" s="534" t="s">
        <v>748</v>
      </c>
      <c r="B7" s="535" t="s">
        <v>398</v>
      </c>
      <c r="C7" s="535" t="s">
        <v>751</v>
      </c>
      <c r="D7" s="535" t="s">
        <v>399</v>
      </c>
      <c r="E7" s="11" t="s">
        <v>797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536" t="s">
        <v>400</v>
      </c>
      <c r="B8" s="537" t="s">
        <v>401</v>
      </c>
      <c r="C8" s="537" t="s">
        <v>402</v>
      </c>
      <c r="D8" s="537" t="s">
        <v>403</v>
      </c>
      <c r="E8" s="537" t="s">
        <v>404</v>
      </c>
    </row>
    <row r="9" spans="1:5" ht="12.75">
      <c r="A9" s="538" t="s">
        <v>405</v>
      </c>
      <c r="B9" s="446"/>
      <c r="C9" s="446">
        <f>C10-C28</f>
        <v>217</v>
      </c>
      <c r="D9" s="456"/>
      <c r="E9" s="446">
        <f>C9-'[14]Februaris'!C9</f>
        <v>430</v>
      </c>
    </row>
    <row r="10" spans="1:72" s="5" customFormat="1" ht="17.25" customHeight="1">
      <c r="A10" s="539" t="s">
        <v>406</v>
      </c>
      <c r="B10" s="446"/>
      <c r="C10" s="446">
        <f>SUM(C11:C27)</f>
        <v>219</v>
      </c>
      <c r="D10" s="456"/>
      <c r="E10" s="446">
        <f>C10-'[14]Februaris'!C10</f>
        <v>432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4" customFormat="1" ht="25.5">
      <c r="A11" s="540" t="s">
        <v>407</v>
      </c>
      <c r="B11" s="446"/>
      <c r="C11" s="446">
        <v>53</v>
      </c>
      <c r="D11" s="456"/>
      <c r="E11" s="446">
        <f>C11-'[14]Februaris'!C11</f>
        <v>36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4" customFormat="1" ht="17.25" customHeight="1">
      <c r="A12" s="540" t="s">
        <v>802</v>
      </c>
      <c r="B12" s="446"/>
      <c r="C12" s="446"/>
      <c r="D12" s="456"/>
      <c r="E12" s="446">
        <f>C12-'[14]Februaris'!C12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4" customFormat="1" ht="25.5">
      <c r="A13" s="540" t="s">
        <v>804</v>
      </c>
      <c r="B13" s="446"/>
      <c r="C13" s="446">
        <v>2</v>
      </c>
      <c r="D13" s="456"/>
      <c r="E13" s="446">
        <f>C13-'[14]Februaris'!C13</f>
        <v>1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4" customFormat="1" ht="12.75">
      <c r="A14" s="540" t="s">
        <v>806</v>
      </c>
      <c r="B14" s="446"/>
      <c r="C14" s="446">
        <v>180</v>
      </c>
      <c r="D14" s="456"/>
      <c r="E14" s="446">
        <f>C14-'[14]Februaris'!C14</f>
        <v>91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4" customFormat="1" ht="12.75">
      <c r="A15" s="540" t="s">
        <v>808</v>
      </c>
      <c r="B15" s="446"/>
      <c r="C15" s="446">
        <v>5</v>
      </c>
      <c r="D15" s="456"/>
      <c r="E15" s="446">
        <f>C15-'[14]Februaris'!C15</f>
        <v>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4" customFormat="1" ht="25.5">
      <c r="A16" s="540" t="s">
        <v>810</v>
      </c>
      <c r="B16" s="446"/>
      <c r="C16" s="446">
        <v>33</v>
      </c>
      <c r="D16" s="456"/>
      <c r="E16" s="446">
        <f>C16-'[14]Februaris'!C16</f>
        <v>19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4" customFormat="1" ht="25.5">
      <c r="A17" s="540" t="s">
        <v>812</v>
      </c>
      <c r="B17" s="446"/>
      <c r="C17" s="446">
        <f>449-1</f>
        <v>448</v>
      </c>
      <c r="D17" s="456"/>
      <c r="E17" s="446">
        <f>C17-'[14]Februaris'!C17</f>
        <v>210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4" customFormat="1" ht="12.75">
      <c r="A18" s="540" t="s">
        <v>814</v>
      </c>
      <c r="B18" s="446"/>
      <c r="C18" s="446">
        <v>229</v>
      </c>
      <c r="D18" s="456"/>
      <c r="E18" s="446">
        <f>C18-'[14]Februaris'!C18</f>
        <v>63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4" customFormat="1" ht="25.5">
      <c r="A19" s="540" t="s">
        <v>816</v>
      </c>
      <c r="B19" s="446"/>
      <c r="C19" s="446">
        <v>-5</v>
      </c>
      <c r="D19" s="456"/>
      <c r="E19" s="446">
        <f>C19-'[14]Februaris'!C19</f>
        <v>-2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4" customFormat="1" ht="25.5">
      <c r="A20" s="540" t="s">
        <v>818</v>
      </c>
      <c r="B20" s="446"/>
      <c r="C20" s="446"/>
      <c r="D20" s="456"/>
      <c r="E20" s="446">
        <f>C20-'[14]Februaris'!C20</f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4" customFormat="1" ht="25.5">
      <c r="A21" s="540" t="s">
        <v>820</v>
      </c>
      <c r="B21" s="446"/>
      <c r="C21" s="446"/>
      <c r="D21" s="456"/>
      <c r="E21" s="446">
        <f>C21-'[14]Februaris'!C21</f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4" customFormat="1" ht="12.75">
      <c r="A22" s="540" t="s">
        <v>408</v>
      </c>
      <c r="B22" s="32"/>
      <c r="C22" s="446">
        <v>-752</v>
      </c>
      <c r="D22" s="456"/>
      <c r="E22" s="446">
        <f>C22-'[14]Februaris'!C22</f>
        <v>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4" customFormat="1" ht="12.75">
      <c r="A23" s="540" t="s">
        <v>824</v>
      </c>
      <c r="B23" s="446"/>
      <c r="C23" s="446">
        <v>23</v>
      </c>
      <c r="D23" s="456"/>
      <c r="E23" s="446">
        <f>C23-'[14]Februaris'!C23</f>
        <v>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4" customFormat="1" ht="25.5">
      <c r="A24" s="540" t="s">
        <v>409</v>
      </c>
      <c r="B24" s="446"/>
      <c r="C24" s="446"/>
      <c r="D24" s="456"/>
      <c r="E24" s="446">
        <f>C24-'[14]Februaris'!C24</f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4" customFormat="1" ht="25.5">
      <c r="A25" s="540" t="s">
        <v>410</v>
      </c>
      <c r="B25" s="446"/>
      <c r="C25" s="446"/>
      <c r="D25" s="456"/>
      <c r="E25" s="446">
        <f>C25-'[14]Februaris'!C25</f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4" customFormat="1" ht="12.75">
      <c r="A26" s="540" t="s">
        <v>411</v>
      </c>
      <c r="B26" s="446"/>
      <c r="C26" s="446"/>
      <c r="D26" s="456"/>
      <c r="E26" s="446">
        <f>C26-'[14]Februaris'!C26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4" customFormat="1" ht="25.5">
      <c r="A27" s="540" t="s">
        <v>412</v>
      </c>
      <c r="B27" s="446"/>
      <c r="C27" s="446">
        <v>3</v>
      </c>
      <c r="D27" s="456"/>
      <c r="E27" s="446">
        <f>C27-'[14]Februaris'!C27</f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4" customFormat="1" ht="12.75">
      <c r="A28" s="538" t="s">
        <v>413</v>
      </c>
      <c r="B28" s="446"/>
      <c r="C28" s="446">
        <v>2</v>
      </c>
      <c r="D28" s="456"/>
      <c r="E28" s="446">
        <f>C28-'[14]Februaris'!C28</f>
        <v>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326" customFormat="1" ht="17.25" customHeight="1">
      <c r="A29" s="541"/>
      <c r="B29" s="542"/>
      <c r="C29" s="542"/>
      <c r="D29" s="542"/>
      <c r="E29" s="54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4" customFormat="1" ht="17.25" customHeight="1">
      <c r="A30" s="543"/>
      <c r="B30" s="544"/>
      <c r="C30" s="545"/>
      <c r="D30" s="542"/>
      <c r="E30" s="49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4" customFormat="1" ht="17.25" customHeight="1">
      <c r="A31" s="543"/>
      <c r="B31" s="544"/>
      <c r="C31" s="545"/>
      <c r="D31" s="542"/>
      <c r="E31" s="49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4" customFormat="1" ht="17.25" customHeight="1">
      <c r="A32" s="80" t="s">
        <v>414</v>
      </c>
      <c r="B32" s="9"/>
      <c r="C32" s="9"/>
      <c r="D32" s="9" t="s">
        <v>830</v>
      </c>
      <c r="E32" s="52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517" customFormat="1" ht="17.25" customHeight="1">
      <c r="A33" s="546"/>
      <c r="B33" s="547"/>
      <c r="C33" s="516"/>
      <c r="D33" s="516"/>
      <c r="E33" s="51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517" customFormat="1" ht="17.25" customHeight="1">
      <c r="A34" s="546"/>
      <c r="B34" s="547"/>
      <c r="C34" s="512"/>
      <c r="D34" s="512"/>
      <c r="E34" s="54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517" customFormat="1" ht="17.25" customHeight="1">
      <c r="A35" s="546"/>
      <c r="B35" s="549"/>
      <c r="E35" s="54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517" customFormat="1" ht="17.25" customHeight="1">
      <c r="A36" s="546"/>
      <c r="B36" s="547"/>
      <c r="C36" s="512"/>
      <c r="D36" s="512"/>
      <c r="E36" s="54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517" customFormat="1" ht="17.25" customHeight="1">
      <c r="A37" s="546"/>
      <c r="B37" s="547"/>
      <c r="C37" s="512"/>
      <c r="E37" s="54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527" t="s">
        <v>915</v>
      </c>
      <c r="B38" s="550"/>
      <c r="C38" s="551"/>
      <c r="D38" s="86"/>
    </row>
    <row r="39" ht="17.25" customHeight="1">
      <c r="A39" s="527" t="s">
        <v>832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51.7109375" style="494" customWidth="1"/>
    <col min="2" max="2" width="19.140625" style="494" customWidth="1"/>
  </cols>
  <sheetData>
    <row r="1" spans="1:2" ht="17.25" customHeight="1">
      <c r="A1" s="3"/>
      <c r="B1" s="5" t="s">
        <v>384</v>
      </c>
    </row>
    <row r="2" spans="1:2" ht="17.25" customHeight="1">
      <c r="A2" s="760" t="s">
        <v>791</v>
      </c>
      <c r="B2" s="760"/>
    </row>
    <row r="3" spans="1:2" ht="17.25" customHeight="1">
      <c r="A3" s="4"/>
      <c r="B3" s="4"/>
    </row>
    <row r="4" spans="1:2" ht="17.25" customHeight="1">
      <c r="A4" s="761" t="s">
        <v>385</v>
      </c>
      <c r="B4" s="761"/>
    </row>
    <row r="5" spans="1:2" ht="17.25" customHeight="1">
      <c r="A5" s="814" t="s">
        <v>901</v>
      </c>
      <c r="B5" s="814"/>
    </row>
    <row r="6" spans="1:2" ht="17.25" customHeight="1">
      <c r="A6" s="497"/>
      <c r="B6" s="497"/>
    </row>
    <row r="7" spans="1:2" ht="17.25" customHeight="1">
      <c r="A7" s="517"/>
      <c r="B7" s="145" t="s">
        <v>746</v>
      </c>
    </row>
    <row r="8" spans="1:2" ht="17.25" customHeight="1">
      <c r="A8" s="93" t="s">
        <v>748</v>
      </c>
      <c r="B8" s="455" t="s">
        <v>386</v>
      </c>
    </row>
    <row r="9" spans="1:2" ht="12.75">
      <c r="A9" s="93">
        <v>1</v>
      </c>
      <c r="B9" s="455">
        <v>2</v>
      </c>
    </row>
    <row r="10" spans="1:2" ht="18.75" customHeight="1">
      <c r="A10" s="117" t="s">
        <v>387</v>
      </c>
      <c r="B10" s="443">
        <f>SUM(B12:B14)</f>
        <v>8624965</v>
      </c>
    </row>
    <row r="11" spans="1:2" ht="25.5">
      <c r="A11" s="521" t="s">
        <v>388</v>
      </c>
      <c r="B11" s="522"/>
    </row>
    <row r="12" spans="1:2" ht="19.5" customHeight="1">
      <c r="A12" s="523" t="s">
        <v>389</v>
      </c>
      <c r="B12" s="522">
        <v>1931289</v>
      </c>
    </row>
    <row r="13" spans="1:2" ht="19.5" customHeight="1">
      <c r="A13" s="101" t="s">
        <v>390</v>
      </c>
      <c r="B13" s="423">
        <v>6693676</v>
      </c>
    </row>
    <row r="14" spans="1:2" ht="19.5" customHeight="1">
      <c r="A14" s="101" t="s">
        <v>391</v>
      </c>
      <c r="B14" s="423"/>
    </row>
    <row r="15" spans="1:2" ht="19.5" customHeight="1">
      <c r="A15" s="107" t="s">
        <v>392</v>
      </c>
      <c r="B15" s="443">
        <f>B16</f>
        <v>8590528</v>
      </c>
    </row>
    <row r="16" spans="1:2" ht="19.5" customHeight="1">
      <c r="A16" s="101" t="s">
        <v>393</v>
      </c>
      <c r="B16" s="423">
        <v>8590528</v>
      </c>
    </row>
    <row r="17" spans="1:2" ht="19.5" customHeight="1">
      <c r="A17" s="107" t="s">
        <v>394</v>
      </c>
      <c r="B17" s="443">
        <f>B18+B10-B15</f>
        <v>43619</v>
      </c>
    </row>
    <row r="18" spans="1:2" ht="19.5" customHeight="1">
      <c r="A18" s="101" t="s">
        <v>395</v>
      </c>
      <c r="B18" s="423">
        <v>9182</v>
      </c>
    </row>
    <row r="19" spans="1:2" ht="17.25" customHeight="1">
      <c r="A19" s="42"/>
      <c r="B19" s="42"/>
    </row>
    <row r="20" spans="1:2" ht="17.25" customHeight="1">
      <c r="A20" s="42"/>
      <c r="B20" s="42"/>
    </row>
    <row r="21" spans="1:2" ht="17.25" customHeight="1">
      <c r="A21" s="42"/>
      <c r="B21" s="42"/>
    </row>
    <row r="22" spans="1:2" ht="17.25" customHeight="1">
      <c r="A22" s="80" t="s">
        <v>895</v>
      </c>
      <c r="B22" s="9" t="s">
        <v>830</v>
      </c>
    </row>
    <row r="23" spans="1:2" ht="17.25" customHeight="1">
      <c r="A23" s="4"/>
      <c r="B23" s="42"/>
    </row>
    <row r="24" spans="1:2" ht="17.25" customHeight="1">
      <c r="A24" s="4"/>
      <c r="B24" s="4"/>
    </row>
    <row r="25" spans="1:2" ht="17.25" customHeight="1">
      <c r="A25" s="8"/>
      <c r="B25" s="525"/>
    </row>
    <row r="26" spans="1:2" ht="17.25" customHeight="1">
      <c r="A26" s="8"/>
      <c r="B26" s="525"/>
    </row>
    <row r="27" spans="1:2" ht="17.25" customHeight="1">
      <c r="A27" s="8"/>
      <c r="B27" s="526"/>
    </row>
    <row r="28" spans="1:2" ht="17.25" customHeight="1">
      <c r="A28" s="8"/>
      <c r="B28" s="4"/>
    </row>
    <row r="29" spans="1:2" ht="17.25" customHeight="1">
      <c r="A29" s="8"/>
      <c r="B29" s="4"/>
    </row>
    <row r="30" spans="1:2" ht="17.25" customHeight="1">
      <c r="A30" s="8"/>
      <c r="B30" s="4"/>
    </row>
    <row r="31" spans="1:2" ht="17.25" customHeight="1">
      <c r="A31" s="8"/>
      <c r="B31" s="4"/>
    </row>
    <row r="32" spans="1:2" ht="17.25" customHeight="1">
      <c r="A32" s="4"/>
      <c r="B32" s="4"/>
    </row>
    <row r="33" spans="1:2" ht="17.25" customHeight="1">
      <c r="A33" s="4"/>
      <c r="B33" s="4"/>
    </row>
    <row r="34" spans="1:2" ht="17.25" customHeight="1">
      <c r="A34" s="8"/>
      <c r="B34" s="4"/>
    </row>
    <row r="35" spans="1:2" ht="17.25" customHeight="1">
      <c r="A35" s="8"/>
      <c r="B35" s="4"/>
    </row>
    <row r="36" spans="1:2" ht="17.25" customHeight="1">
      <c r="A36" s="8"/>
      <c r="B36" s="4"/>
    </row>
    <row r="38" ht="17.25" customHeight="1">
      <c r="A38" s="5" t="s">
        <v>831</v>
      </c>
    </row>
    <row r="39" ht="17.25" customHeight="1">
      <c r="A39" s="5" t="s">
        <v>832</v>
      </c>
    </row>
    <row r="42" ht="17.25" customHeight="1">
      <c r="A42" s="8"/>
    </row>
    <row r="43" ht="17.25" customHeight="1">
      <c r="A43" s="8"/>
    </row>
    <row r="46" ht="17.25" customHeight="1">
      <c r="A46" s="8"/>
    </row>
    <row r="47" ht="17.25" customHeight="1">
      <c r="A47" s="8"/>
    </row>
    <row r="48" ht="17.25" customHeight="1">
      <c r="A48" s="8"/>
    </row>
    <row r="49" ht="17.25" customHeight="1">
      <c r="A49" s="8"/>
    </row>
    <row r="50" ht="17.25" customHeight="1">
      <c r="A50" s="8"/>
    </row>
    <row r="51" ht="17.25" customHeight="1">
      <c r="A51" s="8"/>
    </row>
    <row r="52" ht="17.25" customHeight="1">
      <c r="A52" s="8"/>
    </row>
    <row r="53" ht="17.25" customHeight="1">
      <c r="A53" s="8"/>
    </row>
  </sheetData>
  <mergeCells count="3">
    <mergeCell ref="A2:B2"/>
    <mergeCell ref="A4:B4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B6" sqref="B6"/>
    </sheetView>
  </sheetViews>
  <sheetFormatPr defaultColWidth="9.140625" defaultRowHeight="17.25" customHeight="1"/>
  <cols>
    <col min="1" max="1" width="19.8515625" style="494" customWidth="1"/>
    <col min="2" max="2" width="11.00390625" style="494" customWidth="1"/>
    <col min="3" max="4" width="12.7109375" style="494" customWidth="1"/>
    <col min="5" max="5" width="12.140625" style="494" customWidth="1"/>
    <col min="6" max="6" width="10.7109375" style="494" customWidth="1"/>
    <col min="7" max="7" width="12.7109375" style="494" customWidth="1"/>
    <col min="8" max="8" width="11.140625" style="494" customWidth="1"/>
    <col min="9" max="9" width="14.00390625" style="494" customWidth="1"/>
    <col min="10" max="16384" width="12.7109375" style="494" customWidth="1"/>
  </cols>
  <sheetData>
    <row r="1" spans="2:10" ht="17.25" customHeight="1">
      <c r="B1" s="5"/>
      <c r="C1" s="5"/>
      <c r="D1" s="5"/>
      <c r="E1" s="5"/>
      <c r="F1" s="5"/>
      <c r="G1" s="5"/>
      <c r="H1" s="5"/>
      <c r="I1" s="9" t="s">
        <v>337</v>
      </c>
      <c r="J1" s="495"/>
    </row>
    <row r="2" spans="1:9" ht="17.25" customHeight="1">
      <c r="A2" s="760" t="s">
        <v>791</v>
      </c>
      <c r="B2" s="760"/>
      <c r="C2" s="760"/>
      <c r="D2" s="760"/>
      <c r="E2" s="760"/>
      <c r="F2" s="760"/>
      <c r="G2" s="760"/>
      <c r="H2" s="760"/>
      <c r="I2" s="760"/>
    </row>
    <row r="3" spans="1:9" ht="17.2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7.25" customHeight="1">
      <c r="A4" s="761" t="s">
        <v>338</v>
      </c>
      <c r="B4" s="761"/>
      <c r="C4" s="761"/>
      <c r="D4" s="761"/>
      <c r="E4" s="761"/>
      <c r="F4" s="761"/>
      <c r="G4" s="761"/>
      <c r="H4" s="761"/>
      <c r="I4" s="761"/>
    </row>
    <row r="5" spans="1:9" ht="17.25" customHeight="1">
      <c r="A5" s="814" t="s">
        <v>793</v>
      </c>
      <c r="B5" s="814"/>
      <c r="C5" s="814"/>
      <c r="D5" s="814"/>
      <c r="E5" s="814"/>
      <c r="F5" s="814"/>
      <c r="G5" s="814"/>
      <c r="H5" s="814"/>
      <c r="I5" s="814"/>
    </row>
    <row r="6" spans="1:9" ht="17.25" customHeight="1">
      <c r="A6" s="496"/>
      <c r="B6" s="4"/>
      <c r="C6" s="4"/>
      <c r="D6" s="4"/>
      <c r="E6" s="4"/>
      <c r="F6" s="4"/>
      <c r="G6" s="4"/>
      <c r="H6" s="4"/>
      <c r="I6" s="4"/>
    </row>
    <row r="7" spans="1:9" ht="17.25" customHeight="1">
      <c r="A7" s="497"/>
      <c r="B7" s="497"/>
      <c r="C7" s="497"/>
      <c r="D7" s="497"/>
      <c r="E7" s="497"/>
      <c r="F7" s="497"/>
      <c r="G7" s="497"/>
      <c r="H7" s="497"/>
      <c r="I7" s="497" t="s">
        <v>339</v>
      </c>
    </row>
    <row r="8" spans="1:9" ht="17.25" customHeight="1">
      <c r="A8" s="797" t="s">
        <v>340</v>
      </c>
      <c r="B8" s="797" t="s">
        <v>341</v>
      </c>
      <c r="C8" s="797" t="s">
        <v>342</v>
      </c>
      <c r="D8" s="797" t="s">
        <v>343</v>
      </c>
      <c r="E8" s="797" t="s">
        <v>344</v>
      </c>
      <c r="F8" s="797" t="s">
        <v>345</v>
      </c>
      <c r="G8" s="499" t="s">
        <v>346</v>
      </c>
      <c r="H8" s="500"/>
      <c r="I8" s="797" t="s">
        <v>347</v>
      </c>
    </row>
    <row r="9" spans="1:9" ht="39.75" customHeight="1">
      <c r="A9" s="799"/>
      <c r="B9" s="799"/>
      <c r="C9" s="799"/>
      <c r="D9" s="799"/>
      <c r="E9" s="799"/>
      <c r="F9" s="799"/>
      <c r="G9" s="11" t="s">
        <v>348</v>
      </c>
      <c r="H9" s="11" t="s">
        <v>349</v>
      </c>
      <c r="I9" s="799"/>
    </row>
    <row r="10" spans="1:9" ht="11.25">
      <c r="A10" s="279">
        <v>1</v>
      </c>
      <c r="B10" s="279">
        <v>2</v>
      </c>
      <c r="C10" s="279">
        <v>3</v>
      </c>
      <c r="D10" s="279">
        <v>4</v>
      </c>
      <c r="E10" s="279">
        <v>5</v>
      </c>
      <c r="F10" s="279">
        <v>6</v>
      </c>
      <c r="G10" s="279">
        <v>7</v>
      </c>
      <c r="H10" s="279">
        <v>8</v>
      </c>
      <c r="I10" s="279">
        <v>9</v>
      </c>
    </row>
    <row r="11" spans="1:9" ht="12">
      <c r="A11" s="502" t="s">
        <v>350</v>
      </c>
      <c r="B11" s="423">
        <v>14550</v>
      </c>
      <c r="C11" s="423">
        <v>1080654</v>
      </c>
      <c r="D11" s="140">
        <v>10992</v>
      </c>
      <c r="E11" s="423">
        <v>5233315</v>
      </c>
      <c r="F11" s="140"/>
      <c r="G11" s="140"/>
      <c r="H11" s="140"/>
      <c r="I11" s="423">
        <f>SUM(B11:H11)</f>
        <v>6339511</v>
      </c>
    </row>
    <row r="12" spans="1:9" ht="12">
      <c r="A12" s="502" t="s">
        <v>351</v>
      </c>
      <c r="B12" s="140">
        <v>101000</v>
      </c>
      <c r="C12" s="140">
        <v>138064</v>
      </c>
      <c r="D12" s="140">
        <v>1081</v>
      </c>
      <c r="E12" s="423">
        <v>840338</v>
      </c>
      <c r="F12" s="140"/>
      <c r="G12" s="140">
        <v>11250</v>
      </c>
      <c r="H12" s="140"/>
      <c r="I12" s="423">
        <f aca="true" t="shared" si="0" ref="I12:I43">SUM(B12:H12)</f>
        <v>1091733</v>
      </c>
    </row>
    <row r="13" spans="1:9" ht="12" customHeight="1">
      <c r="A13" s="502" t="s">
        <v>352</v>
      </c>
      <c r="B13" s="140">
        <v>53000</v>
      </c>
      <c r="C13" s="140">
        <v>124200</v>
      </c>
      <c r="D13" s="140">
        <v>3063</v>
      </c>
      <c r="E13" s="423">
        <v>515516</v>
      </c>
      <c r="F13" s="140"/>
      <c r="G13" s="140">
        <v>6092</v>
      </c>
      <c r="H13" s="140"/>
      <c r="I13" s="423">
        <f t="shared" si="0"/>
        <v>701871</v>
      </c>
    </row>
    <row r="14" spans="1:9" ht="12" customHeight="1">
      <c r="A14" s="502" t="s">
        <v>353</v>
      </c>
      <c r="B14" s="140"/>
      <c r="C14" s="140">
        <v>29949</v>
      </c>
      <c r="D14" s="140">
        <v>192</v>
      </c>
      <c r="E14" s="423">
        <v>398178</v>
      </c>
      <c r="F14" s="140"/>
      <c r="G14" s="140"/>
      <c r="H14" s="140"/>
      <c r="I14" s="423">
        <f t="shared" si="0"/>
        <v>428319</v>
      </c>
    </row>
    <row r="15" spans="1:9" ht="12" customHeight="1">
      <c r="A15" s="502" t="s">
        <v>354</v>
      </c>
      <c r="B15" s="140">
        <v>50000</v>
      </c>
      <c r="C15" s="140">
        <v>160609</v>
      </c>
      <c r="D15" s="140">
        <v>1081</v>
      </c>
      <c r="E15" s="423">
        <v>602619</v>
      </c>
      <c r="F15" s="140">
        <v>12501</v>
      </c>
      <c r="G15" s="140"/>
      <c r="H15" s="140"/>
      <c r="I15" s="423">
        <f t="shared" si="0"/>
        <v>826810</v>
      </c>
    </row>
    <row r="16" spans="1:9" ht="12" customHeight="1">
      <c r="A16" s="502" t="s">
        <v>355</v>
      </c>
      <c r="B16" s="140">
        <v>42000</v>
      </c>
      <c r="C16" s="140">
        <v>116059</v>
      </c>
      <c r="D16" s="140">
        <v>901</v>
      </c>
      <c r="E16" s="140">
        <v>287838</v>
      </c>
      <c r="F16" s="140"/>
      <c r="G16" s="140">
        <v>7500</v>
      </c>
      <c r="H16" s="140"/>
      <c r="I16" s="423">
        <f t="shared" si="0"/>
        <v>454298</v>
      </c>
    </row>
    <row r="17" spans="1:9" ht="12" customHeight="1">
      <c r="A17" s="502" t="s">
        <v>356</v>
      </c>
      <c r="C17" s="140">
        <v>11040</v>
      </c>
      <c r="D17" s="140">
        <v>721</v>
      </c>
      <c r="E17" s="423">
        <v>310023</v>
      </c>
      <c r="F17" s="140"/>
      <c r="G17" s="140">
        <v>11250</v>
      </c>
      <c r="H17" s="140"/>
      <c r="I17" s="423">
        <f t="shared" si="0"/>
        <v>333034</v>
      </c>
    </row>
    <row r="18" spans="1:9" ht="12" customHeight="1">
      <c r="A18" s="502" t="s">
        <v>357</v>
      </c>
      <c r="B18" s="140">
        <f>4800+46000+15000+5000</f>
        <v>70800</v>
      </c>
      <c r="C18" s="140">
        <v>108759</v>
      </c>
      <c r="D18" s="140">
        <v>721</v>
      </c>
      <c r="E18" s="423">
        <v>430311</v>
      </c>
      <c r="F18" s="140"/>
      <c r="G18" s="140">
        <v>15750</v>
      </c>
      <c r="H18" s="140"/>
      <c r="I18" s="423">
        <f t="shared" si="0"/>
        <v>626341</v>
      </c>
    </row>
    <row r="19" spans="1:9" ht="12" customHeight="1">
      <c r="A19" s="502" t="s">
        <v>358</v>
      </c>
      <c r="B19" s="140">
        <f>5000+8000</f>
        <v>13000</v>
      </c>
      <c r="C19" s="140">
        <v>129862</v>
      </c>
      <c r="D19" s="140">
        <v>901</v>
      </c>
      <c r="E19" s="140">
        <v>274443</v>
      </c>
      <c r="F19" s="140"/>
      <c r="G19" s="140"/>
      <c r="H19" s="140"/>
      <c r="I19" s="423">
        <f t="shared" si="0"/>
        <v>418206</v>
      </c>
    </row>
    <row r="20" spans="1:9" ht="12" customHeight="1">
      <c r="A20" s="502" t="s">
        <v>359</v>
      </c>
      <c r="B20" s="140">
        <f>102500+0</f>
        <v>102500</v>
      </c>
      <c r="C20" s="140">
        <v>106068</v>
      </c>
      <c r="D20" s="140">
        <v>1442</v>
      </c>
      <c r="E20" s="140">
        <v>309903</v>
      </c>
      <c r="F20" s="140"/>
      <c r="G20" s="140"/>
      <c r="H20" s="140"/>
      <c r="I20" s="423">
        <f t="shared" si="0"/>
        <v>519913</v>
      </c>
    </row>
    <row r="21" spans="1:9" ht="12" customHeight="1">
      <c r="A21" s="502" t="s">
        <v>360</v>
      </c>
      <c r="B21" s="140">
        <f>17000+8000+5000</f>
        <v>30000</v>
      </c>
      <c r="C21" s="140">
        <v>177015</v>
      </c>
      <c r="D21" s="140">
        <v>1261</v>
      </c>
      <c r="E21" s="423">
        <v>503714</v>
      </c>
      <c r="F21" s="140"/>
      <c r="G21" s="140">
        <v>9750</v>
      </c>
      <c r="H21" s="140"/>
      <c r="I21" s="423">
        <f t="shared" si="0"/>
        <v>721740</v>
      </c>
    </row>
    <row r="22" spans="1:9" ht="12" customHeight="1">
      <c r="A22" s="502" t="s">
        <v>361</v>
      </c>
      <c r="B22" s="140">
        <f>6000+7500+5000</f>
        <v>18500</v>
      </c>
      <c r="C22" s="423">
        <v>320001</v>
      </c>
      <c r="D22" s="140">
        <v>1442</v>
      </c>
      <c r="E22" s="423">
        <v>592408</v>
      </c>
      <c r="F22" s="140">
        <v>12500</v>
      </c>
      <c r="G22" s="140">
        <v>19838</v>
      </c>
      <c r="H22" s="140">
        <v>5250</v>
      </c>
      <c r="I22" s="423">
        <f t="shared" si="0"/>
        <v>969939</v>
      </c>
    </row>
    <row r="23" spans="1:9" ht="12" customHeight="1">
      <c r="A23" s="502" t="s">
        <v>362</v>
      </c>
      <c r="B23" s="140">
        <f>7300+4000+7000+11000+30000</f>
        <v>59300</v>
      </c>
      <c r="C23" s="140">
        <v>102627</v>
      </c>
      <c r="D23" s="140">
        <v>541</v>
      </c>
      <c r="E23" s="423">
        <v>345013</v>
      </c>
      <c r="F23" s="140">
        <v>12500</v>
      </c>
      <c r="G23" s="140">
        <v>37500</v>
      </c>
      <c r="H23" s="140"/>
      <c r="I23" s="423">
        <f t="shared" si="0"/>
        <v>557481</v>
      </c>
    </row>
    <row r="24" spans="1:9" ht="12" customHeight="1">
      <c r="A24" s="502" t="s">
        <v>363</v>
      </c>
      <c r="B24" s="140">
        <v>24550</v>
      </c>
      <c r="C24" s="140">
        <v>46050</v>
      </c>
      <c r="D24" s="140">
        <v>901</v>
      </c>
      <c r="E24" s="423">
        <v>430605</v>
      </c>
      <c r="F24" s="140"/>
      <c r="G24" s="140">
        <v>40763</v>
      </c>
      <c r="H24" s="140">
        <v>3750</v>
      </c>
      <c r="I24" s="423">
        <f t="shared" si="0"/>
        <v>546619</v>
      </c>
    </row>
    <row r="25" spans="1:9" ht="12" customHeight="1">
      <c r="A25" s="502" t="s">
        <v>364</v>
      </c>
      <c r="B25" s="140">
        <v>29000</v>
      </c>
      <c r="C25" s="140">
        <v>42600</v>
      </c>
      <c r="D25" s="140">
        <v>541</v>
      </c>
      <c r="E25" s="140">
        <v>298592</v>
      </c>
      <c r="F25" s="140"/>
      <c r="G25" s="140">
        <v>5250</v>
      </c>
      <c r="H25" s="140"/>
      <c r="I25" s="423">
        <f t="shared" si="0"/>
        <v>375983</v>
      </c>
    </row>
    <row r="26" spans="1:9" ht="12" customHeight="1">
      <c r="A26" s="502" t="s">
        <v>365</v>
      </c>
      <c r="B26" s="140">
        <f>10000+15000</f>
        <v>25000</v>
      </c>
      <c r="C26" s="140">
        <v>84600</v>
      </c>
      <c r="D26" s="140">
        <v>721</v>
      </c>
      <c r="E26" s="423">
        <v>374280</v>
      </c>
      <c r="F26" s="140">
        <v>12500</v>
      </c>
      <c r="G26" s="140"/>
      <c r="H26" s="140">
        <v>5250</v>
      </c>
      <c r="I26" s="423">
        <f t="shared" si="0"/>
        <v>502351</v>
      </c>
    </row>
    <row r="27" spans="1:9" ht="12" customHeight="1">
      <c r="A27" s="502" t="s">
        <v>366</v>
      </c>
      <c r="B27" s="140">
        <f>10000+57550+6000+1000</f>
        <v>74550</v>
      </c>
      <c r="C27" s="140">
        <v>133350</v>
      </c>
      <c r="D27" s="140">
        <v>901</v>
      </c>
      <c r="E27" s="423">
        <v>499788</v>
      </c>
      <c r="F27" s="140"/>
      <c r="G27" s="140">
        <v>19819</v>
      </c>
      <c r="H27" s="140"/>
      <c r="I27" s="423">
        <f t="shared" si="0"/>
        <v>728408</v>
      </c>
    </row>
    <row r="28" spans="1:9" ht="12" customHeight="1">
      <c r="A28" s="502" t="s">
        <v>367</v>
      </c>
      <c r="B28" s="140">
        <f>4000</f>
        <v>4000</v>
      </c>
      <c r="C28" s="140">
        <v>56050</v>
      </c>
      <c r="D28" s="140">
        <v>573</v>
      </c>
      <c r="E28" s="423">
        <v>357318</v>
      </c>
      <c r="F28" s="140"/>
      <c r="G28" s="140">
        <v>5250</v>
      </c>
      <c r="H28" s="140">
        <v>5025</v>
      </c>
      <c r="I28" s="423">
        <f t="shared" si="0"/>
        <v>428216</v>
      </c>
    </row>
    <row r="29" spans="1:9" ht="12" customHeight="1">
      <c r="A29" s="502" t="s">
        <v>368</v>
      </c>
      <c r="B29" s="140">
        <f>47000+25000+20000+18500+5000</f>
        <v>115500</v>
      </c>
      <c r="C29" s="140">
        <v>138750</v>
      </c>
      <c r="D29" s="140">
        <v>901</v>
      </c>
      <c r="E29" s="423">
        <v>399432</v>
      </c>
      <c r="F29" s="140"/>
      <c r="G29" s="140">
        <v>41400</v>
      </c>
      <c r="H29" s="140">
        <v>5725</v>
      </c>
      <c r="I29" s="423">
        <f t="shared" si="0"/>
        <v>701708</v>
      </c>
    </row>
    <row r="30" spans="1:9" ht="12" customHeight="1">
      <c r="A30" s="502" t="s">
        <v>369</v>
      </c>
      <c r="B30" s="140">
        <f>2000+4150</f>
        <v>6150</v>
      </c>
      <c r="C30" s="140">
        <v>154236</v>
      </c>
      <c r="D30" s="140">
        <v>901</v>
      </c>
      <c r="E30" s="423">
        <v>463434</v>
      </c>
      <c r="F30" s="140"/>
      <c r="G30" s="140">
        <v>31500</v>
      </c>
      <c r="H30" s="140">
        <v>1750</v>
      </c>
      <c r="I30" s="423">
        <f t="shared" si="0"/>
        <v>657971</v>
      </c>
    </row>
    <row r="31" spans="1:9" ht="12" customHeight="1">
      <c r="A31" s="502" t="s">
        <v>370</v>
      </c>
      <c r="B31" s="140">
        <f>4500+1000</f>
        <v>5500</v>
      </c>
      <c r="C31" s="140">
        <v>46115</v>
      </c>
      <c r="D31" s="140">
        <v>901</v>
      </c>
      <c r="E31" s="423">
        <v>384411</v>
      </c>
      <c r="F31" s="140"/>
      <c r="G31" s="140">
        <v>10200</v>
      </c>
      <c r="H31" s="140"/>
      <c r="I31" s="423">
        <f t="shared" si="0"/>
        <v>447127</v>
      </c>
    </row>
    <row r="32" spans="1:9" ht="12" customHeight="1">
      <c r="A32" s="502" t="s">
        <v>371</v>
      </c>
      <c r="B32" s="140">
        <f>60300+6130+5000</f>
        <v>71430</v>
      </c>
      <c r="C32" s="140">
        <v>46142</v>
      </c>
      <c r="D32" s="140">
        <v>901</v>
      </c>
      <c r="E32" s="423">
        <v>319647</v>
      </c>
      <c r="F32" s="140"/>
      <c r="G32" s="140">
        <v>30135</v>
      </c>
      <c r="H32" s="140"/>
      <c r="I32" s="423">
        <f t="shared" si="0"/>
        <v>468255</v>
      </c>
    </row>
    <row r="33" spans="1:9" ht="12" customHeight="1">
      <c r="A33" s="502" t="s">
        <v>372</v>
      </c>
      <c r="B33" s="140">
        <f>148600+1000+41200+1000</f>
        <v>191800</v>
      </c>
      <c r="C33" s="140">
        <v>84992</v>
      </c>
      <c r="D33" s="140">
        <v>1622</v>
      </c>
      <c r="E33" s="423">
        <v>464895</v>
      </c>
      <c r="F33" s="140"/>
      <c r="G33" s="140">
        <v>4425</v>
      </c>
      <c r="H33" s="140"/>
      <c r="I33" s="423">
        <f t="shared" si="0"/>
        <v>747734</v>
      </c>
    </row>
    <row r="34" spans="1:9" ht="12" customHeight="1">
      <c r="A34" s="502" t="s">
        <v>373</v>
      </c>
      <c r="B34" s="140">
        <f>8000+40000+2357</f>
        <v>50357</v>
      </c>
      <c r="C34" s="140">
        <v>73779</v>
      </c>
      <c r="D34" s="140">
        <v>1442</v>
      </c>
      <c r="E34" s="423">
        <v>529688</v>
      </c>
      <c r="F34" s="140">
        <v>12501</v>
      </c>
      <c r="G34" s="140"/>
      <c r="H34" s="140"/>
      <c r="I34" s="423">
        <f t="shared" si="0"/>
        <v>667767</v>
      </c>
    </row>
    <row r="35" spans="1:9" ht="12" customHeight="1">
      <c r="A35" s="502" t="s">
        <v>374</v>
      </c>
      <c r="B35" s="140">
        <f>80000+31000</f>
        <v>111000</v>
      </c>
      <c r="C35" s="140">
        <v>137221</v>
      </c>
      <c r="D35" s="140">
        <v>1442</v>
      </c>
      <c r="E35" s="423">
        <v>423726</v>
      </c>
      <c r="F35" s="140"/>
      <c r="G35" s="140"/>
      <c r="H35" s="140"/>
      <c r="I35" s="423">
        <f t="shared" si="0"/>
        <v>673389</v>
      </c>
    </row>
    <row r="36" spans="1:9" ht="12" customHeight="1">
      <c r="A36" s="502" t="s">
        <v>375</v>
      </c>
      <c r="B36" s="140">
        <f>3919+15000</f>
        <v>18919</v>
      </c>
      <c r="C36" s="140">
        <v>184386</v>
      </c>
      <c r="D36" s="140">
        <v>901</v>
      </c>
      <c r="E36" s="423">
        <v>439707</v>
      </c>
      <c r="F36" s="140"/>
      <c r="G36" s="140">
        <v>36000</v>
      </c>
      <c r="H36" s="140"/>
      <c r="I36" s="423">
        <f t="shared" si="0"/>
        <v>679913</v>
      </c>
    </row>
    <row r="37" spans="1:9" ht="12" customHeight="1">
      <c r="A37" s="502" t="s">
        <v>376</v>
      </c>
      <c r="B37" s="140">
        <f>13000+10000+49000</f>
        <v>72000</v>
      </c>
      <c r="C37" s="140">
        <v>165615</v>
      </c>
      <c r="D37" s="140">
        <v>2883</v>
      </c>
      <c r="E37" s="423">
        <v>1056504</v>
      </c>
      <c r="F37" s="140"/>
      <c r="G37" s="140">
        <v>12000</v>
      </c>
      <c r="H37" s="140"/>
      <c r="I37" s="423">
        <f t="shared" si="0"/>
        <v>1309002</v>
      </c>
    </row>
    <row r="38" spans="1:9" ht="12" customHeight="1">
      <c r="A38" s="502" t="s">
        <v>377</v>
      </c>
      <c r="B38" s="140">
        <f>15000+3000+5000+7000</f>
        <v>30000</v>
      </c>
      <c r="C38" s="140">
        <v>173646</v>
      </c>
      <c r="D38" s="140">
        <v>901</v>
      </c>
      <c r="E38" s="423">
        <v>431827</v>
      </c>
      <c r="F38" s="140"/>
      <c r="G38" s="140"/>
      <c r="H38" s="140"/>
      <c r="I38" s="423">
        <f t="shared" si="0"/>
        <v>636374</v>
      </c>
    </row>
    <row r="39" spans="1:9" ht="12" customHeight="1">
      <c r="A39" s="502" t="s">
        <v>378</v>
      </c>
      <c r="B39" s="140">
        <f>3500+27400+5000+11000+2000</f>
        <v>48900</v>
      </c>
      <c r="C39" s="140">
        <v>79300</v>
      </c>
      <c r="D39" s="140">
        <v>1261</v>
      </c>
      <c r="E39" s="423">
        <v>503763</v>
      </c>
      <c r="F39" s="140"/>
      <c r="G39" s="140">
        <v>5250</v>
      </c>
      <c r="H39" s="140"/>
      <c r="I39" s="423">
        <f t="shared" si="0"/>
        <v>638474</v>
      </c>
    </row>
    <row r="40" spans="1:9" ht="12" customHeight="1">
      <c r="A40" s="502" t="s">
        <v>379</v>
      </c>
      <c r="B40" s="423">
        <f>25000+32300+5000+39000</f>
        <v>101300</v>
      </c>
      <c r="C40" s="140">
        <v>216940</v>
      </c>
      <c r="D40" s="140">
        <v>901</v>
      </c>
      <c r="E40" s="423">
        <v>525638</v>
      </c>
      <c r="F40" s="423"/>
      <c r="G40" s="423">
        <v>17639</v>
      </c>
      <c r="H40" s="423"/>
      <c r="I40" s="423">
        <f t="shared" si="0"/>
        <v>862418</v>
      </c>
    </row>
    <row r="41" spans="1:9" ht="12" customHeight="1">
      <c r="A41" s="502" t="s">
        <v>380</v>
      </c>
      <c r="B41" s="140">
        <f>1000+1000</f>
        <v>2000</v>
      </c>
      <c r="C41" s="140">
        <v>56500</v>
      </c>
      <c r="D41" s="140">
        <v>1442</v>
      </c>
      <c r="E41" s="423">
        <v>321744</v>
      </c>
      <c r="F41" s="423"/>
      <c r="G41" s="423">
        <v>24600</v>
      </c>
      <c r="H41" s="423"/>
      <c r="I41" s="423">
        <f t="shared" si="0"/>
        <v>406286</v>
      </c>
    </row>
    <row r="42" spans="1:9" ht="12" customHeight="1">
      <c r="A42" s="502" t="s">
        <v>381</v>
      </c>
      <c r="B42" s="140">
        <f>20000</f>
        <v>20000</v>
      </c>
      <c r="C42" s="140">
        <v>260500</v>
      </c>
      <c r="D42" s="140">
        <v>1622</v>
      </c>
      <c r="E42" s="423">
        <v>643905</v>
      </c>
      <c r="F42" s="423"/>
      <c r="G42" s="423">
        <v>7500</v>
      </c>
      <c r="H42" s="423"/>
      <c r="I42" s="423">
        <f t="shared" si="0"/>
        <v>933527</v>
      </c>
    </row>
    <row r="43" spans="1:9" ht="12" customHeight="1">
      <c r="A43" s="502" t="s">
        <v>382</v>
      </c>
      <c r="B43" s="140"/>
      <c r="C43" s="140">
        <v>53952</v>
      </c>
      <c r="D43" s="140">
        <v>689</v>
      </c>
      <c r="E43" s="140">
        <v>148170</v>
      </c>
      <c r="F43" s="503"/>
      <c r="G43" s="423">
        <v>21000</v>
      </c>
      <c r="H43" s="423"/>
      <c r="I43" s="423">
        <f t="shared" si="0"/>
        <v>223811</v>
      </c>
    </row>
    <row r="44" spans="1:9" ht="12" customHeight="1">
      <c r="A44" s="97" t="s">
        <v>383</v>
      </c>
      <c r="B44" s="504">
        <f aca="true" t="shared" si="1" ref="B44:I44">SUM(B11:B43)</f>
        <v>1556606</v>
      </c>
      <c r="C44" s="504">
        <f t="shared" si="1"/>
        <v>4839631</v>
      </c>
      <c r="D44" s="504">
        <f t="shared" si="1"/>
        <v>46686</v>
      </c>
      <c r="E44" s="504">
        <f t="shared" si="1"/>
        <v>19660693</v>
      </c>
      <c r="F44" s="504">
        <f t="shared" si="1"/>
        <v>62502</v>
      </c>
      <c r="G44" s="504">
        <f t="shared" si="1"/>
        <v>431661</v>
      </c>
      <c r="H44" s="504">
        <f t="shared" si="1"/>
        <v>26750</v>
      </c>
      <c r="I44" s="504">
        <f t="shared" si="1"/>
        <v>26624529</v>
      </c>
    </row>
    <row r="45" spans="1:9" ht="17.25" customHeight="1">
      <c r="A45" s="505"/>
      <c r="B45" s="506"/>
      <c r="C45" s="506"/>
      <c r="D45" s="506"/>
      <c r="E45" s="506"/>
      <c r="F45" s="506"/>
      <c r="G45" s="506"/>
      <c r="H45" s="506"/>
      <c r="I45" s="506"/>
    </row>
    <row r="46" spans="1:9" ht="17.25" customHeight="1">
      <c r="A46" s="505"/>
      <c r="B46" s="506"/>
      <c r="C46" s="506"/>
      <c r="D46" s="507"/>
      <c r="E46" s="506"/>
      <c r="F46" s="506"/>
      <c r="G46" s="506"/>
      <c r="H46" s="506"/>
      <c r="I46" s="506"/>
    </row>
    <row r="47" spans="1:9" ht="17.25" customHeight="1">
      <c r="A47" s="505"/>
      <c r="B47" s="506"/>
      <c r="C47" s="506"/>
      <c r="D47" s="506"/>
      <c r="E47" s="506"/>
      <c r="F47" s="506"/>
      <c r="G47" s="506"/>
      <c r="H47" s="506"/>
      <c r="I47" s="506"/>
    </row>
    <row r="48" spans="1:8" ht="17.25" customHeight="1">
      <c r="A48" s="508"/>
      <c r="B48" s="509"/>
      <c r="C48" s="510"/>
      <c r="D48" s="511"/>
      <c r="E48" s="511"/>
      <c r="F48" s="511"/>
      <c r="G48" s="511"/>
      <c r="H48" s="511"/>
    </row>
    <row r="49" spans="1:9" s="517" customFormat="1" ht="17.25" customHeight="1">
      <c r="A49" s="512"/>
      <c r="B49" s="512"/>
      <c r="C49" s="513"/>
      <c r="D49" s="514"/>
      <c r="E49" s="515"/>
      <c r="F49" s="512"/>
      <c r="G49" s="514"/>
      <c r="H49" s="515"/>
      <c r="I49" s="516"/>
    </row>
    <row r="50" spans="1:9" ht="17.25" customHeight="1">
      <c r="A50" s="518"/>
      <c r="B50" s="519"/>
      <c r="C50" s="519"/>
      <c r="D50" s="519"/>
      <c r="E50" s="514"/>
      <c r="F50" s="520"/>
      <c r="G50" s="520"/>
      <c r="H50" s="520"/>
      <c r="I50" s="514"/>
    </row>
    <row r="51" spans="1:7" ht="17.25" customHeight="1">
      <c r="A51" s="80" t="s">
        <v>895</v>
      </c>
      <c r="G51" s="9" t="s">
        <v>830</v>
      </c>
    </row>
    <row r="57" ht="17.25" customHeight="1">
      <c r="A57" s="494" t="s">
        <v>915</v>
      </c>
    </row>
    <row r="58" ht="17.25" customHeight="1">
      <c r="A58" s="494" t="s">
        <v>832</v>
      </c>
    </row>
    <row r="62" ht="17.25" customHeight="1">
      <c r="A62" s="3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M62"/>
  <sheetViews>
    <sheetView workbookViewId="0" topLeftCell="A1">
      <selection activeCell="B7" sqref="B7"/>
    </sheetView>
  </sheetViews>
  <sheetFormatPr defaultColWidth="9.140625" defaultRowHeight="12.75"/>
  <cols>
    <col min="1" max="1" width="4.421875" style="5" customWidth="1"/>
    <col min="2" max="2" width="45.140625" style="5" customWidth="1"/>
    <col min="3" max="4" width="19.8515625" style="5" customWidth="1"/>
    <col min="92" max="16384" width="9.140625" style="5" customWidth="1"/>
  </cols>
  <sheetData>
    <row r="1" ht="12.75">
      <c r="D1" s="125" t="s">
        <v>700</v>
      </c>
    </row>
    <row r="2" spans="1:4" ht="12.75">
      <c r="A2" s="760" t="s">
        <v>791</v>
      </c>
      <c r="B2" s="760"/>
      <c r="C2" s="760"/>
      <c r="D2" s="760"/>
    </row>
    <row r="4" spans="1:91" s="496" customFormat="1" ht="15.75">
      <c r="A4" s="6" t="s">
        <v>701</v>
      </c>
      <c r="B4" s="6"/>
      <c r="C4" s="6"/>
      <c r="D4" s="6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</row>
    <row r="5" spans="1:91" s="496" customFormat="1" ht="15.75">
      <c r="A5" s="7" t="s">
        <v>116</v>
      </c>
      <c r="B5" s="6"/>
      <c r="C5" s="6"/>
      <c r="D5" s="6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</row>
    <row r="7" spans="1:91" s="710" customFormat="1" ht="15">
      <c r="A7" s="707"/>
      <c r="B7" s="708" t="s">
        <v>702</v>
      </c>
      <c r="C7" s="709" t="s">
        <v>703</v>
      </c>
      <c r="D7" s="709" t="s">
        <v>704</v>
      </c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532"/>
      <c r="BZ7" s="532"/>
      <c r="CA7" s="532"/>
      <c r="CB7" s="532"/>
      <c r="CC7" s="532"/>
      <c r="CD7" s="532"/>
      <c r="CE7" s="532"/>
      <c r="CF7" s="532"/>
      <c r="CG7" s="532"/>
      <c r="CH7" s="532"/>
      <c r="CI7" s="532"/>
      <c r="CJ7" s="532"/>
      <c r="CK7" s="532"/>
      <c r="CL7" s="532"/>
      <c r="CM7" s="532"/>
    </row>
    <row r="8" spans="1:91" s="714" customFormat="1" ht="12" customHeight="1">
      <c r="A8" s="711"/>
      <c r="B8" s="712"/>
      <c r="C8" s="713"/>
      <c r="D8" s="71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8" customFormat="1" ht="15">
      <c r="A9" s="715" t="s">
        <v>705</v>
      </c>
      <c r="B9" s="716" t="s">
        <v>706</v>
      </c>
      <c r="D9" s="71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8" customFormat="1" ht="15">
      <c r="A10" s="715"/>
      <c r="B10" s="716" t="s">
        <v>707</v>
      </c>
      <c r="C10" s="718" t="s">
        <v>708</v>
      </c>
      <c r="D10" s="71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8" customFormat="1" ht="12" customHeight="1">
      <c r="A11" s="715"/>
      <c r="B11" s="716"/>
      <c r="C11" s="718"/>
      <c r="D11" s="71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8" customFormat="1" ht="14.25">
      <c r="A12" s="720"/>
      <c r="B12" s="721" t="s">
        <v>709</v>
      </c>
      <c r="C12" s="722">
        <v>20</v>
      </c>
      <c r="D12" s="722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8" customFormat="1" ht="14.25">
      <c r="A13" s="720"/>
      <c r="B13" s="721" t="s">
        <v>710</v>
      </c>
      <c r="C13" s="722">
        <v>46</v>
      </c>
      <c r="D13" s="72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8" customFormat="1" ht="14.25">
      <c r="A14" s="720"/>
      <c r="B14" s="721" t="s">
        <v>711</v>
      </c>
      <c r="C14" s="722">
        <v>62</v>
      </c>
      <c r="D14" s="722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8" customFormat="1" ht="14.25">
      <c r="A15" s="720"/>
      <c r="B15" s="721" t="s">
        <v>712</v>
      </c>
      <c r="C15" s="722">
        <v>79</v>
      </c>
      <c r="D15" s="722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8" customFormat="1" ht="14.25">
      <c r="A16" s="720"/>
      <c r="B16" s="721"/>
      <c r="C16" s="722"/>
      <c r="D16" s="72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8" customFormat="1" ht="14.25">
      <c r="A17" s="723"/>
      <c r="B17" s="721"/>
      <c r="C17" s="722"/>
      <c r="D17" s="72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8" customFormat="1" ht="12" customHeight="1">
      <c r="A18" s="724"/>
      <c r="B18" s="717"/>
      <c r="C18" s="725"/>
      <c r="D18" s="72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8" customFormat="1" ht="15">
      <c r="A19" s="715" t="s">
        <v>713</v>
      </c>
      <c r="B19" s="716" t="s">
        <v>714</v>
      </c>
      <c r="C19" s="718" t="s">
        <v>715</v>
      </c>
      <c r="D19" s="7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8" customFormat="1" ht="15">
      <c r="A20" s="715"/>
      <c r="B20" s="716" t="s">
        <v>716</v>
      </c>
      <c r="C20" s="5"/>
      <c r="D20" s="72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8" customFormat="1" ht="16.5" customHeight="1">
      <c r="A21" s="720"/>
      <c r="C21" s="728" t="s">
        <v>717</v>
      </c>
      <c r="D21" s="728" t="s">
        <v>718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8" customFormat="1" ht="14.25">
      <c r="A22" s="720"/>
      <c r="B22" s="729" t="s">
        <v>719</v>
      </c>
      <c r="C22" s="723" t="s">
        <v>720</v>
      </c>
      <c r="D22" s="723" t="s">
        <v>720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8" customFormat="1" ht="14.25">
      <c r="A23" s="720"/>
      <c r="B23" s="721" t="s">
        <v>721</v>
      </c>
      <c r="C23" s="730" t="s">
        <v>722</v>
      </c>
      <c r="D23" s="730" t="s">
        <v>723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8" customFormat="1" ht="14.25">
      <c r="A24" s="720"/>
      <c r="B24" s="721" t="s">
        <v>724</v>
      </c>
      <c r="C24" s="730" t="s">
        <v>725</v>
      </c>
      <c r="D24" s="730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8" customFormat="1" ht="14.25">
      <c r="A25" s="720"/>
      <c r="B25" s="721" t="s">
        <v>726</v>
      </c>
      <c r="C25" s="730" t="s">
        <v>727</v>
      </c>
      <c r="D25" s="73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8" customFormat="1" ht="14.25">
      <c r="A26" s="720"/>
      <c r="B26" s="721" t="s">
        <v>728</v>
      </c>
      <c r="C26" s="730" t="s">
        <v>729</v>
      </c>
      <c r="D26" s="73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8" customFormat="1" ht="14.25">
      <c r="A27" s="720"/>
      <c r="B27" s="721"/>
      <c r="C27" s="730"/>
      <c r="D27" s="730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8" customFormat="1" ht="14.25">
      <c r="A28" s="723"/>
      <c r="B28" s="721"/>
      <c r="C28" s="730"/>
      <c r="D28" s="73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8" customFormat="1" ht="12" customHeight="1">
      <c r="A29" s="720"/>
      <c r="B29" s="717"/>
      <c r="C29" s="732"/>
      <c r="D29" s="71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8" customFormat="1" ht="15">
      <c r="A30" s="715" t="s">
        <v>730</v>
      </c>
      <c r="B30" s="716" t="s">
        <v>731</v>
      </c>
      <c r="D30" s="71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s="8" customFormat="1" ht="15">
      <c r="A31" s="715"/>
      <c r="B31" s="716" t="s">
        <v>732</v>
      </c>
      <c r="C31" s="718" t="s">
        <v>708</v>
      </c>
      <c r="D31" s="71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4" ht="12" customHeight="1">
      <c r="A32" s="733"/>
      <c r="B32" s="734"/>
      <c r="D32" s="735"/>
    </row>
    <row r="33" spans="1:91" s="8" customFormat="1" ht="14.25">
      <c r="A33" s="720"/>
      <c r="B33" s="721" t="s">
        <v>721</v>
      </c>
      <c r="C33" s="722">
        <v>0</v>
      </c>
      <c r="D33" s="722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8" customFormat="1" ht="14.25">
      <c r="A34" s="720"/>
      <c r="B34" s="721" t="s">
        <v>724</v>
      </c>
      <c r="C34" s="722">
        <v>0</v>
      </c>
      <c r="D34" s="722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8" customFormat="1" ht="14.25">
      <c r="A35" s="720"/>
      <c r="B35" s="721" t="s">
        <v>726</v>
      </c>
      <c r="C35" s="722">
        <v>0</v>
      </c>
      <c r="D35" s="72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8" customFormat="1" ht="14.25">
      <c r="A36" s="720"/>
      <c r="B36" s="721" t="s">
        <v>728</v>
      </c>
      <c r="C36" s="722">
        <v>0</v>
      </c>
      <c r="D36" s="72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8" customFormat="1" ht="14.25">
      <c r="A37" s="720"/>
      <c r="B37" s="721"/>
      <c r="C37" s="722"/>
      <c r="D37" s="722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8" customFormat="1" ht="14.25">
      <c r="A38" s="723"/>
      <c r="B38" s="721"/>
      <c r="C38" s="722"/>
      <c r="D38" s="72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.75">
      <c r="A39" s="733"/>
      <c r="B39" s="727"/>
      <c r="C39" s="49"/>
      <c r="D39" s="736"/>
    </row>
    <row r="40" spans="1:91" s="8" customFormat="1" ht="15">
      <c r="A40" s="715" t="s">
        <v>733</v>
      </c>
      <c r="B40" s="716" t="s">
        <v>734</v>
      </c>
      <c r="D40" s="71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8" customFormat="1" ht="15">
      <c r="A41" s="715"/>
      <c r="B41" s="716" t="s">
        <v>735</v>
      </c>
      <c r="C41" s="718" t="s">
        <v>708</v>
      </c>
      <c r="D41" s="71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4" ht="12" customHeight="1">
      <c r="A42" s="733"/>
      <c r="B42" s="734"/>
      <c r="D42" s="727"/>
    </row>
    <row r="43" spans="1:91" s="8" customFormat="1" ht="14.25">
      <c r="A43" s="720"/>
      <c r="B43" s="721" t="s">
        <v>709</v>
      </c>
      <c r="C43" s="722">
        <v>295</v>
      </c>
      <c r="D43" s="722">
        <v>299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s="8" customFormat="1" ht="14.25">
      <c r="A44" s="720"/>
      <c r="B44" s="721" t="s">
        <v>736</v>
      </c>
      <c r="C44" s="722">
        <v>606</v>
      </c>
      <c r="D44" s="722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s="8" customFormat="1" ht="14.25">
      <c r="A45" s="720"/>
      <c r="B45" s="721" t="s">
        <v>737</v>
      </c>
      <c r="C45" s="722">
        <v>920</v>
      </c>
      <c r="D45" s="72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s="8" customFormat="1" ht="14.25">
      <c r="A46" s="720"/>
      <c r="B46" s="721" t="s">
        <v>738</v>
      </c>
      <c r="C46" s="722">
        <v>1247</v>
      </c>
      <c r="D46" s="722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s="8" customFormat="1" ht="14.25">
      <c r="A47" s="720"/>
      <c r="B47" s="721"/>
      <c r="C47" s="722"/>
      <c r="D47" s="72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91" s="8" customFormat="1" ht="14.25">
      <c r="A48" s="723"/>
      <c r="B48" s="721"/>
      <c r="C48" s="722"/>
      <c r="D48" s="72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</row>
    <row r="53" ht="12.75">
      <c r="A53" s="5" t="s">
        <v>739</v>
      </c>
    </row>
    <row r="56" ht="12.75">
      <c r="A56" s="3" t="s">
        <v>788</v>
      </c>
    </row>
    <row r="57" spans="1:91" s="3" customFormat="1" ht="12.75">
      <c r="A57" s="3" t="s">
        <v>789</v>
      </c>
      <c r="B57" s="5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</row>
    <row r="61" spans="2:91" s="3" customFormat="1" ht="10.5" customHeight="1">
      <c r="B61" s="5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</row>
    <row r="62" spans="2:91" s="3" customFormat="1" ht="12.75">
      <c r="B62" s="5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</sheetData>
  <mergeCells count="1">
    <mergeCell ref="A2:D2"/>
  </mergeCells>
  <printOptions/>
  <pageMargins left="0.75" right="0.19" top="0.17" bottom="0.18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A10" sqref="A10"/>
    </sheetView>
  </sheetViews>
  <sheetFormatPr defaultColWidth="9.140625" defaultRowHeight="12.75"/>
  <cols>
    <col min="1" max="1" width="49.7109375" style="5" hidden="1" customWidth="1"/>
    <col min="2" max="2" width="10.57421875" style="5" hidden="1" customWidth="1"/>
    <col min="3" max="3" width="9.57421875" style="5" hidden="1" customWidth="1"/>
    <col min="4" max="4" width="5.8515625" style="5" hidden="1" customWidth="1"/>
    <col min="5" max="5" width="10.57421875" style="5" hidden="1" customWidth="1"/>
    <col min="6" max="6" width="9.57421875" style="5" hidden="1" customWidth="1"/>
    <col min="7" max="7" width="5.8515625" style="5" hidden="1" customWidth="1"/>
    <col min="8" max="8" width="10.57421875" style="5" hidden="1" customWidth="1"/>
    <col min="9" max="9" width="8.8515625" style="5" hidden="1" customWidth="1"/>
    <col min="10" max="10" width="6.140625" style="5" hidden="1" customWidth="1"/>
    <col min="11" max="11" width="46.28125" style="5" customWidth="1"/>
    <col min="12" max="12" width="9.8515625" style="5" customWidth="1"/>
    <col min="13" max="13" width="9.140625" style="5" customWidth="1"/>
    <col min="14" max="14" width="7.7109375" style="5" customWidth="1"/>
    <col min="15" max="15" width="10.140625" style="5" customWidth="1"/>
    <col min="16" max="16" width="8.8515625" style="5" customWidth="1"/>
    <col min="17" max="17" width="7.8515625" style="5" customWidth="1"/>
    <col min="18" max="18" width="10.140625" style="5" customWidth="1"/>
    <col min="19" max="19" width="8.8515625" style="5" customWidth="1"/>
    <col min="20" max="20" width="8.140625" style="5" customWidth="1"/>
    <col min="21" max="107" width="9.8515625" style="0" customWidth="1"/>
    <col min="108" max="16384" width="9.8515625" style="5" customWidth="1"/>
  </cols>
  <sheetData>
    <row r="1" ht="12.75">
      <c r="T1" s="125" t="s">
        <v>693</v>
      </c>
    </row>
    <row r="2" spans="1:19" ht="17.25" customHeight="1">
      <c r="A2" s="1" t="s">
        <v>740</v>
      </c>
      <c r="B2" s="1"/>
      <c r="C2" s="2"/>
      <c r="D2" s="1"/>
      <c r="E2" s="1"/>
      <c r="F2" s="2"/>
      <c r="G2" s="2"/>
      <c r="H2" s="2"/>
      <c r="I2" s="2"/>
      <c r="K2" s="1" t="s">
        <v>740</v>
      </c>
      <c r="L2" s="1"/>
      <c r="M2" s="2"/>
      <c r="N2" s="1"/>
      <c r="O2" s="1"/>
      <c r="P2" s="2"/>
      <c r="Q2" s="2"/>
      <c r="R2" s="2"/>
      <c r="S2" s="2"/>
    </row>
    <row r="3" spans="1:20" ht="12.75">
      <c r="A3" s="1"/>
      <c r="B3" s="1"/>
      <c r="C3" s="2"/>
      <c r="D3" s="1"/>
      <c r="E3" s="1"/>
      <c r="F3" s="2"/>
      <c r="G3" s="2"/>
      <c r="H3" s="2"/>
      <c r="I3" s="2"/>
      <c r="J3" s="4"/>
      <c r="K3" s="1"/>
      <c r="L3" s="1"/>
      <c r="M3" s="2"/>
      <c r="N3" s="1"/>
      <c r="O3" s="1"/>
      <c r="P3" s="2"/>
      <c r="Q3" s="2"/>
      <c r="R3" s="2"/>
      <c r="S3" s="2"/>
      <c r="T3" s="4"/>
    </row>
    <row r="4" spans="1:20" ht="18.75" customHeight="1">
      <c r="A4" s="761" t="s">
        <v>680</v>
      </c>
      <c r="B4" s="761"/>
      <c r="C4" s="761"/>
      <c r="D4" s="761"/>
      <c r="E4" s="761"/>
      <c r="F4" s="761"/>
      <c r="G4" s="761"/>
      <c r="H4" s="761"/>
      <c r="I4" s="761"/>
      <c r="J4" s="761"/>
      <c r="K4" s="761" t="s">
        <v>679</v>
      </c>
      <c r="L4" s="761"/>
      <c r="M4" s="761"/>
      <c r="N4" s="761"/>
      <c r="O4" s="761"/>
      <c r="P4" s="761"/>
      <c r="Q4" s="761"/>
      <c r="R4" s="761"/>
      <c r="S4" s="761"/>
      <c r="T4" s="761"/>
    </row>
    <row r="5" spans="1:20" ht="18.75" customHeight="1">
      <c r="A5" s="761" t="s">
        <v>694</v>
      </c>
      <c r="B5" s="761"/>
      <c r="C5" s="761"/>
      <c r="D5" s="761"/>
      <c r="E5" s="761"/>
      <c r="F5" s="761"/>
      <c r="G5" s="761"/>
      <c r="H5" s="761"/>
      <c r="I5" s="761"/>
      <c r="J5" s="761"/>
      <c r="K5" s="761" t="s">
        <v>694</v>
      </c>
      <c r="L5" s="761"/>
      <c r="M5" s="761"/>
      <c r="N5" s="761"/>
      <c r="O5" s="761"/>
      <c r="P5" s="761"/>
      <c r="Q5" s="761"/>
      <c r="R5" s="761"/>
      <c r="S5" s="761"/>
      <c r="T5" s="761"/>
    </row>
    <row r="6" spans="1:20" ht="19.5" customHeight="1">
      <c r="A6" s="761" t="s">
        <v>622</v>
      </c>
      <c r="B6" s="761"/>
      <c r="C6" s="761"/>
      <c r="D6" s="761"/>
      <c r="E6" s="761"/>
      <c r="F6" s="761"/>
      <c r="G6" s="761"/>
      <c r="H6" s="761"/>
      <c r="I6" s="761"/>
      <c r="J6" s="761"/>
      <c r="K6" s="773" t="s">
        <v>116</v>
      </c>
      <c r="L6" s="773"/>
      <c r="M6" s="773"/>
      <c r="N6" s="773"/>
      <c r="O6" s="773"/>
      <c r="P6" s="773"/>
      <c r="Q6" s="773"/>
      <c r="R6" s="773"/>
      <c r="S6" s="773"/>
      <c r="T6" s="773"/>
    </row>
    <row r="7" spans="1:20" ht="11.2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</row>
    <row r="8" spans="1:20" ht="11.25" customHeight="1">
      <c r="A8" s="299"/>
      <c r="B8" s="299"/>
      <c r="C8" s="299"/>
      <c r="D8" s="299"/>
      <c r="E8" s="299"/>
      <c r="F8" s="299"/>
      <c r="G8" s="299"/>
      <c r="H8" s="299"/>
      <c r="I8" s="299"/>
      <c r="J8" s="10" t="s">
        <v>746</v>
      </c>
      <c r="K8" s="299"/>
      <c r="L8" s="299"/>
      <c r="M8" s="299"/>
      <c r="N8" s="299"/>
      <c r="O8" s="299"/>
      <c r="P8" s="299"/>
      <c r="Q8" s="299"/>
      <c r="R8" s="299"/>
      <c r="S8" s="299"/>
      <c r="T8" s="10" t="s">
        <v>837</v>
      </c>
    </row>
    <row r="9" spans="1:20" s="3" customFormat="1" ht="24" customHeight="1">
      <c r="A9" s="686"/>
      <c r="B9" s="815" t="s">
        <v>682</v>
      </c>
      <c r="C9" s="816"/>
      <c r="D9" s="817"/>
      <c r="E9" s="815" t="s">
        <v>683</v>
      </c>
      <c r="F9" s="816"/>
      <c r="G9" s="817"/>
      <c r="H9" s="818" t="s">
        <v>684</v>
      </c>
      <c r="I9" s="819"/>
      <c r="J9" s="820"/>
      <c r="K9" s="686"/>
      <c r="L9" s="815" t="s">
        <v>682</v>
      </c>
      <c r="M9" s="816"/>
      <c r="N9" s="817"/>
      <c r="O9" s="815" t="s">
        <v>683</v>
      </c>
      <c r="P9" s="816"/>
      <c r="Q9" s="817"/>
      <c r="R9" s="818" t="s">
        <v>684</v>
      </c>
      <c r="S9" s="819"/>
      <c r="T9" s="820"/>
    </row>
    <row r="10" spans="1:20" ht="56.25">
      <c r="A10" s="501" t="s">
        <v>748</v>
      </c>
      <c r="B10" s="578" t="s">
        <v>685</v>
      </c>
      <c r="C10" s="11" t="s">
        <v>686</v>
      </c>
      <c r="D10" s="11" t="s">
        <v>399</v>
      </c>
      <c r="E10" s="11" t="s">
        <v>685</v>
      </c>
      <c r="F10" s="11" t="s">
        <v>686</v>
      </c>
      <c r="G10" s="11" t="s">
        <v>687</v>
      </c>
      <c r="H10" s="11" t="s">
        <v>685</v>
      </c>
      <c r="I10" s="11" t="s">
        <v>686</v>
      </c>
      <c r="J10" s="11" t="s">
        <v>688</v>
      </c>
      <c r="K10" s="501" t="s">
        <v>748</v>
      </c>
      <c r="L10" s="578" t="s">
        <v>685</v>
      </c>
      <c r="M10" s="11" t="s">
        <v>686</v>
      </c>
      <c r="N10" s="11" t="s">
        <v>399</v>
      </c>
      <c r="O10" s="11" t="s">
        <v>685</v>
      </c>
      <c r="P10" s="11" t="s">
        <v>686</v>
      </c>
      <c r="Q10" s="11" t="s">
        <v>687</v>
      </c>
      <c r="R10" s="11" t="s">
        <v>685</v>
      </c>
      <c r="S10" s="11" t="s">
        <v>686</v>
      </c>
      <c r="T10" s="11" t="s">
        <v>688</v>
      </c>
    </row>
    <row r="11" spans="1:20" ht="12.75">
      <c r="A11" s="50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501">
        <v>1</v>
      </c>
      <c r="L11" s="11">
        <v>2</v>
      </c>
      <c r="M11" s="11">
        <v>3</v>
      </c>
      <c r="N11" s="11">
        <v>4</v>
      </c>
      <c r="O11" s="11">
        <v>5</v>
      </c>
      <c r="P11" s="11">
        <v>6</v>
      </c>
      <c r="Q11" s="11">
        <v>7</v>
      </c>
      <c r="R11" s="11">
        <v>8</v>
      </c>
      <c r="S11" s="11">
        <v>9</v>
      </c>
      <c r="T11" s="11">
        <v>10</v>
      </c>
    </row>
    <row r="12" spans="1:107" ht="12.75">
      <c r="A12" s="14" t="s">
        <v>437</v>
      </c>
      <c r="B12" s="136">
        <f>B19+B23+B26+B30+B35+B40+B46+B51+B56+B59+B63+B66+B69+B72+B77+B79+B83+B81+B85</f>
        <v>103812481</v>
      </c>
      <c r="C12" s="136">
        <f aca="true" t="shared" si="0" ref="C12:I12">C19+C23+C26+C30+C35+C40+C46+C51+C56+C59+C63+C66+C69+C72+C77+C79+C83+C81+C85</f>
        <v>37950120</v>
      </c>
      <c r="D12" s="687">
        <f aca="true" t="shared" si="1" ref="D12:D75">C12/B12*100</f>
        <v>36.55641367438275</v>
      </c>
      <c r="E12" s="136">
        <f>E19+E23+E26+E30+E35+E40+E46+E51+E56+E59+E63+E66+E69+E72+E77+E79+E83+E81+E85</f>
        <v>100366224</v>
      </c>
      <c r="F12" s="136">
        <f>F19+F23+F26+F30+F35+F40+F46+F51+F56+F59+F63+F66+F69+F72+F77+F79+F83+F81+F85</f>
        <v>33293027</v>
      </c>
      <c r="G12" s="687">
        <f aca="true" t="shared" si="2" ref="G12:G75">F12/E12*100</f>
        <v>33.17154484161923</v>
      </c>
      <c r="H12" s="136">
        <f t="shared" si="0"/>
        <v>145335515</v>
      </c>
      <c r="I12" s="136">
        <f t="shared" si="0"/>
        <v>1745000</v>
      </c>
      <c r="J12" s="687">
        <f>I12/H12*100</f>
        <v>1.2006700495745999</v>
      </c>
      <c r="K12" s="14" t="s">
        <v>437</v>
      </c>
      <c r="L12" s="136">
        <f>L19+L23+L26+L30+L35+L40+L46+L51+L56+L59+L63+L66+L69+L72+L77+L79+L83+L81+L85</f>
        <v>103812</v>
      </c>
      <c r="M12" s="136">
        <f aca="true" t="shared" si="3" ref="M12:S12">M19+M23+M26+M30+M35+M40+M46+M51+M56+M59+M63+M66+M69+M72+M77+M79+M83+M81+M85</f>
        <v>37950</v>
      </c>
      <c r="N12" s="687">
        <f aca="true" t="shared" si="4" ref="N12:N75">M12/L12*100</f>
        <v>36.5564674604092</v>
      </c>
      <c r="O12" s="136">
        <f t="shared" si="3"/>
        <v>100366</v>
      </c>
      <c r="P12" s="136">
        <f t="shared" si="3"/>
        <v>33293</v>
      </c>
      <c r="Q12" s="687">
        <f aca="true" t="shared" si="5" ref="Q12:Q75">P12/O12*100</f>
        <v>33.17159197337744</v>
      </c>
      <c r="R12" s="136">
        <f t="shared" si="3"/>
        <v>145335</v>
      </c>
      <c r="S12" s="136">
        <f t="shared" si="3"/>
        <v>1745</v>
      </c>
      <c r="T12" s="687">
        <f>S12/R12*100</f>
        <v>1.2006743041937593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s="689" customFormat="1" ht="15" customHeight="1">
      <c r="A13" s="690" t="s">
        <v>689</v>
      </c>
      <c r="B13" s="30">
        <f>B31+B52+B73</f>
        <v>250090</v>
      </c>
      <c r="C13" s="30">
        <f>C31+C52+C73</f>
        <v>0</v>
      </c>
      <c r="D13" s="618">
        <f t="shared" si="1"/>
        <v>0</v>
      </c>
      <c r="E13" s="30">
        <f>E31+E52+E73</f>
        <v>221504</v>
      </c>
      <c r="F13" s="30">
        <f>F31+F52+F73</f>
        <v>0</v>
      </c>
      <c r="G13" s="618">
        <f t="shared" si="2"/>
        <v>0</v>
      </c>
      <c r="H13" s="30">
        <f>H31+H52+H73</f>
        <v>884917</v>
      </c>
      <c r="I13" s="30">
        <f>I31+I52+I73</f>
        <v>0</v>
      </c>
      <c r="J13" s="618">
        <f aca="true" t="shared" si="6" ref="J13:J75">I13/H13*100</f>
        <v>0</v>
      </c>
      <c r="K13" s="690" t="s">
        <v>689</v>
      </c>
      <c r="L13" s="30">
        <f>L31+L52+L73</f>
        <v>250</v>
      </c>
      <c r="M13" s="30">
        <f>M31+M52+M73</f>
        <v>0</v>
      </c>
      <c r="N13" s="618">
        <f t="shared" si="4"/>
        <v>0</v>
      </c>
      <c r="O13" s="30">
        <f>O31+O52+O73</f>
        <v>221</v>
      </c>
      <c r="P13" s="30">
        <f>P31+P52+P73</f>
        <v>0</v>
      </c>
      <c r="Q13" s="618">
        <f t="shared" si="5"/>
        <v>0</v>
      </c>
      <c r="R13" s="30">
        <f>R31+R52+R73</f>
        <v>885</v>
      </c>
      <c r="S13" s="30">
        <f>S31+S52+S73</f>
        <v>0</v>
      </c>
      <c r="T13" s="618">
        <f aca="true" t="shared" si="7" ref="T13:T75">S13/R13*100</f>
        <v>0</v>
      </c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1"/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1"/>
      <c r="CI13" s="681"/>
      <c r="CJ13" s="681"/>
      <c r="CK13" s="681"/>
      <c r="CL13" s="681"/>
      <c r="CM13" s="681"/>
      <c r="CN13" s="681"/>
      <c r="CO13" s="681"/>
      <c r="CP13" s="681"/>
      <c r="CQ13" s="681"/>
      <c r="CR13" s="681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</row>
    <row r="14" spans="1:107" s="689" customFormat="1" ht="15" customHeight="1">
      <c r="A14" s="690" t="s">
        <v>854</v>
      </c>
      <c r="B14" s="30">
        <f>B32+B36+B41+B53+B60+B74</f>
        <v>54157124</v>
      </c>
      <c r="C14" s="30">
        <f>C32+C36+C41+C53+C60+C20+C74</f>
        <v>33430647</v>
      </c>
      <c r="D14" s="618">
        <f t="shared" si="1"/>
        <v>61.72899247751782</v>
      </c>
      <c r="E14" s="30">
        <f>E32+E36+E41+E53+E60+E74</f>
        <v>59438812</v>
      </c>
      <c r="F14" s="30">
        <f>F32+F36+F41+F53+F60+F74+F20</f>
        <v>30746160</v>
      </c>
      <c r="G14" s="618">
        <f t="shared" si="2"/>
        <v>51.7274133944669</v>
      </c>
      <c r="H14" s="30">
        <f>H32+H36+H41+H53+H60+H74</f>
        <v>552321</v>
      </c>
      <c r="I14" s="30">
        <f>I32+I36+I41+I53+I60+I74</f>
        <v>0</v>
      </c>
      <c r="J14" s="618">
        <f t="shared" si="6"/>
        <v>0</v>
      </c>
      <c r="K14" s="690" t="s">
        <v>854</v>
      </c>
      <c r="L14" s="30">
        <f>L32+L36+L41+L53+L60+L74</f>
        <v>54157</v>
      </c>
      <c r="M14" s="30">
        <f>M32+M36+M41+M53+M60+M20+M74</f>
        <v>33430</v>
      </c>
      <c r="N14" s="618">
        <f t="shared" si="4"/>
        <v>61.72793913990805</v>
      </c>
      <c r="O14" s="30">
        <f>O32+O36+O41+O53+O60+O74</f>
        <v>59439</v>
      </c>
      <c r="P14" s="30">
        <f>P32+P36+P41+P53+P60+P74+P20</f>
        <v>30746</v>
      </c>
      <c r="Q14" s="618">
        <f t="shared" si="5"/>
        <v>51.72698060196167</v>
      </c>
      <c r="R14" s="30">
        <f>R32+R36+R41+R53+R60+R74</f>
        <v>552</v>
      </c>
      <c r="S14" s="30">
        <f>S32+S36+S41+S53+S60+S74+S20</f>
        <v>0</v>
      </c>
      <c r="T14" s="618">
        <f t="shared" si="7"/>
        <v>0</v>
      </c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1"/>
      <c r="AU14" s="681"/>
      <c r="AV14" s="681"/>
      <c r="AW14" s="681"/>
      <c r="AX14" s="681"/>
      <c r="AY14" s="681"/>
      <c r="AZ14" s="681"/>
      <c r="BA14" s="681"/>
      <c r="BB14" s="681"/>
      <c r="BC14" s="681"/>
      <c r="BD14" s="681"/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81"/>
      <c r="BR14" s="681"/>
      <c r="BS14" s="681"/>
      <c r="BT14" s="681"/>
      <c r="BU14" s="681"/>
      <c r="BV14" s="681"/>
      <c r="BW14" s="681"/>
      <c r="BX14" s="681"/>
      <c r="BY14" s="681"/>
      <c r="BZ14" s="681"/>
      <c r="CA14" s="681"/>
      <c r="CB14" s="681"/>
      <c r="CC14" s="681"/>
      <c r="CD14" s="681"/>
      <c r="CE14" s="681"/>
      <c r="CF14" s="681"/>
      <c r="CG14" s="681"/>
      <c r="CH14" s="681"/>
      <c r="CI14" s="681"/>
      <c r="CJ14" s="681"/>
      <c r="CK14" s="681"/>
      <c r="CL14" s="681"/>
      <c r="CM14" s="681"/>
      <c r="CN14" s="681"/>
      <c r="CO14" s="681"/>
      <c r="CP14" s="681"/>
      <c r="CQ14" s="681"/>
      <c r="CR14" s="681"/>
      <c r="CS14" s="681"/>
      <c r="CT14" s="681"/>
      <c r="CU14" s="681"/>
      <c r="CV14" s="681"/>
      <c r="CW14" s="681"/>
      <c r="CX14" s="681"/>
      <c r="CY14" s="681"/>
      <c r="CZ14" s="681"/>
      <c r="DA14" s="681"/>
      <c r="DB14" s="681"/>
      <c r="DC14" s="681"/>
    </row>
    <row r="15" spans="1:107" s="31" customFormat="1" ht="13.5" customHeight="1">
      <c r="A15" s="22" t="s">
        <v>690</v>
      </c>
      <c r="B15" s="30">
        <f>B21+B24+B27+B33+B37+B42+B47+B54+B57+B61+B64+B67+B70+B75+B78+B80</f>
        <v>6665290</v>
      </c>
      <c r="C15" s="30">
        <f>C21+C24+C27+C33+C37+C42+C47+C54+C57+C61+C64+C67+C70+C75+C78+C80</f>
        <v>2550840</v>
      </c>
      <c r="D15" s="618">
        <f t="shared" si="1"/>
        <v>38.27050285884035</v>
      </c>
      <c r="E15" s="30">
        <f>E21+E24+E27+E33+E37+E42+E47+E54+E57+E61+E64+E67+E70+E75+E78+E80</f>
        <v>4960075</v>
      </c>
      <c r="F15" s="30">
        <f>F21+F24+F27+F33+F37+F42+F47+F54+F57+F61+F64+F67+F70+F75+F78+F80</f>
        <v>1661840</v>
      </c>
      <c r="G15" s="618">
        <f t="shared" si="2"/>
        <v>33.504332091752644</v>
      </c>
      <c r="H15" s="30">
        <f>H21+H24+H27+H33+H37+H42+H47+H54+H57+H61+H64+H67+H70+H75+H78+H80</f>
        <v>10717433</v>
      </c>
      <c r="I15" s="30">
        <f>I21+I24+I27+I33+I37+I42+I47+I54+I57+I61+I64+I67+I70+I75+I78+I80</f>
        <v>50000</v>
      </c>
      <c r="J15" s="618">
        <f t="shared" si="6"/>
        <v>0.46652962514437923</v>
      </c>
      <c r="K15" s="22" t="s">
        <v>690</v>
      </c>
      <c r="L15" s="30">
        <f>L21+L24+L27+L33+L37+L42+L47+L54+L57+L61+L64+L67+L70+L75+L78+L80</f>
        <v>6665</v>
      </c>
      <c r="M15" s="30">
        <f>M21+M24+M27+M33+M37+M42+M47+M54+M57+M61+M64+M67+M70+M75+M78+M80</f>
        <v>2551</v>
      </c>
      <c r="N15" s="618">
        <f t="shared" si="4"/>
        <v>38.27456864216054</v>
      </c>
      <c r="O15" s="30">
        <f>O21+O24+O27+O33+O37+O42+O47+O54+O57+O61+O64+O67+O70+O75+O78+O80</f>
        <v>4960</v>
      </c>
      <c r="P15" s="30">
        <f>P21+P24+P27+P33+P37+P42+P47+P54+P57+P61+P64+P67+P70+P75+P78+P80</f>
        <v>1662</v>
      </c>
      <c r="Q15" s="618">
        <f t="shared" si="5"/>
        <v>33.50806451612903</v>
      </c>
      <c r="R15" s="30">
        <f>R21+R24+R27+R33+R37+R42+R47+R54+R57+R61+R64+R67+R70+R75+R78+R80</f>
        <v>10717</v>
      </c>
      <c r="S15" s="30">
        <f>S21+S24+S27+S33+S37+S42+S47+S54+S57+S61+S64+S67+S70+S75+S78+S80</f>
        <v>50</v>
      </c>
      <c r="T15" s="618">
        <f t="shared" si="7"/>
        <v>0.4665484743864887</v>
      </c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681"/>
      <c r="AX15" s="681"/>
      <c r="AY15" s="681"/>
      <c r="AZ15" s="681"/>
      <c r="BA15" s="681"/>
      <c r="BB15" s="681"/>
      <c r="BC15" s="681"/>
      <c r="BD15" s="681"/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S15" s="681"/>
      <c r="BT15" s="681"/>
      <c r="BU15" s="681"/>
      <c r="BV15" s="681"/>
      <c r="BW15" s="681"/>
      <c r="BX15" s="681"/>
      <c r="BY15" s="681"/>
      <c r="BZ15" s="681"/>
      <c r="CA15" s="681"/>
      <c r="CB15" s="681"/>
      <c r="CC15" s="681"/>
      <c r="CD15" s="681"/>
      <c r="CE15" s="681"/>
      <c r="CF15" s="681"/>
      <c r="CG15" s="681"/>
      <c r="CH15" s="681"/>
      <c r="CI15" s="681"/>
      <c r="CJ15" s="681"/>
      <c r="CK15" s="681"/>
      <c r="CL15" s="681"/>
      <c r="CM15" s="681"/>
      <c r="CN15" s="681"/>
      <c r="CO15" s="681"/>
      <c r="CP15" s="681"/>
      <c r="CQ15" s="681"/>
      <c r="CR15" s="681"/>
      <c r="CS15" s="681"/>
      <c r="CT15" s="681"/>
      <c r="CU15" s="681"/>
      <c r="CV15" s="681"/>
      <c r="CW15" s="681"/>
      <c r="CX15" s="681"/>
      <c r="CY15" s="681"/>
      <c r="CZ15" s="681"/>
      <c r="DA15" s="681"/>
      <c r="DB15" s="681"/>
      <c r="DC15" s="681"/>
    </row>
    <row r="16" spans="1:107" s="31" customFormat="1" ht="14.25" customHeight="1">
      <c r="A16" s="22" t="s">
        <v>865</v>
      </c>
      <c r="B16" s="30">
        <f>B25+B38+B43+B48+B55+B58+B62+B65+B68+B71+B76+B84+B86</f>
        <v>37789881</v>
      </c>
      <c r="C16" s="30">
        <f aca="true" t="shared" si="8" ref="C16:I16">C25+C38+C43+C48+C55+C58+C62+C65+C68+C71+C76+C84+C86</f>
        <v>1764662</v>
      </c>
      <c r="D16" s="618">
        <f t="shared" si="1"/>
        <v>4.669668052143376</v>
      </c>
      <c r="E16" s="30">
        <f>E25+E38+E43+E48+E55+E58+E62+E65+E68+E71+E76+E84+E86</f>
        <v>33023681</v>
      </c>
      <c r="F16" s="30">
        <f t="shared" si="8"/>
        <v>862000</v>
      </c>
      <c r="G16" s="618">
        <f t="shared" si="2"/>
        <v>2.6102480822776846</v>
      </c>
      <c r="H16" s="30">
        <f t="shared" si="8"/>
        <v>124710064</v>
      </c>
      <c r="I16" s="30">
        <f t="shared" si="8"/>
        <v>1695000</v>
      </c>
      <c r="J16" s="618">
        <f t="shared" si="6"/>
        <v>1.3591525380020655</v>
      </c>
      <c r="K16" s="22" t="s">
        <v>865</v>
      </c>
      <c r="L16" s="30">
        <f>L25+L38+L43+L48+L55+L58+L62+L65+L68+L71+L76+L84+L86</f>
        <v>37790</v>
      </c>
      <c r="M16" s="30">
        <f aca="true" t="shared" si="9" ref="M16:S16">M25+M38+M43+M48+M55+M58+M62+M65+M68+M71+M76+M84+M86</f>
        <v>1765</v>
      </c>
      <c r="N16" s="618">
        <f t="shared" si="4"/>
        <v>4.670547763958719</v>
      </c>
      <c r="O16" s="30">
        <f t="shared" si="9"/>
        <v>33024</v>
      </c>
      <c r="P16" s="30">
        <f t="shared" si="9"/>
        <v>862</v>
      </c>
      <c r="Q16" s="618">
        <f t="shared" si="5"/>
        <v>2.6102228682170545</v>
      </c>
      <c r="R16" s="30">
        <f t="shared" si="9"/>
        <v>124710</v>
      </c>
      <c r="S16" s="30">
        <f t="shared" si="9"/>
        <v>1695</v>
      </c>
      <c r="T16" s="618">
        <f t="shared" si="7"/>
        <v>1.3591532355063747</v>
      </c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  <c r="AZ16" s="681"/>
      <c r="BA16" s="681"/>
      <c r="BB16" s="681"/>
      <c r="BC16" s="681"/>
      <c r="BD16" s="681"/>
      <c r="BE16" s="681"/>
      <c r="BF16" s="681"/>
      <c r="BG16" s="681"/>
      <c r="BH16" s="681"/>
      <c r="BI16" s="681"/>
      <c r="BJ16" s="681"/>
      <c r="BK16" s="681"/>
      <c r="BL16" s="681"/>
      <c r="BM16" s="681"/>
      <c r="BN16" s="681"/>
      <c r="BO16" s="681"/>
      <c r="BP16" s="681"/>
      <c r="BQ16" s="681"/>
      <c r="BR16" s="681"/>
      <c r="BS16" s="681"/>
      <c r="BT16" s="681"/>
      <c r="BU16" s="681"/>
      <c r="BV16" s="681"/>
      <c r="BW16" s="681"/>
      <c r="BX16" s="681"/>
      <c r="BY16" s="681"/>
      <c r="BZ16" s="681"/>
      <c r="CA16" s="681"/>
      <c r="CB16" s="681"/>
      <c r="CC16" s="681"/>
      <c r="CD16" s="681"/>
      <c r="CE16" s="681"/>
      <c r="CF16" s="681"/>
      <c r="CG16" s="681"/>
      <c r="CH16" s="681"/>
      <c r="CI16" s="681"/>
      <c r="CJ16" s="681"/>
      <c r="CK16" s="681"/>
      <c r="CL16" s="681"/>
      <c r="CM16" s="681"/>
      <c r="CN16" s="681"/>
      <c r="CO16" s="681"/>
      <c r="CP16" s="681"/>
      <c r="CQ16" s="681"/>
      <c r="CR16" s="681"/>
      <c r="CS16" s="681"/>
      <c r="CT16" s="681"/>
      <c r="CU16" s="681"/>
      <c r="CV16" s="681"/>
      <c r="CW16" s="681"/>
      <c r="CX16" s="681"/>
      <c r="CY16" s="681"/>
      <c r="CZ16" s="681"/>
      <c r="DA16" s="681"/>
      <c r="DB16" s="681"/>
      <c r="DC16" s="681"/>
    </row>
    <row r="17" spans="1:107" s="31" customFormat="1" ht="14.25" customHeight="1">
      <c r="A17" s="690" t="s">
        <v>695</v>
      </c>
      <c r="B17" s="30">
        <f>B28+B44+B49</f>
        <v>269904</v>
      </c>
      <c r="C17" s="30">
        <f>C28+C44+C49+C22</f>
        <v>28171</v>
      </c>
      <c r="D17" s="618">
        <f t="shared" si="1"/>
        <v>10.437414784515976</v>
      </c>
      <c r="E17" s="30">
        <f>E28+E44+E49</f>
        <v>149500</v>
      </c>
      <c r="F17" s="30">
        <f>F28+F44+F49+F22</f>
        <v>23027</v>
      </c>
      <c r="G17" s="618">
        <f t="shared" si="2"/>
        <v>15.402675585284282</v>
      </c>
      <c r="H17" s="30">
        <f>H28+H44+H49</f>
        <v>9600</v>
      </c>
      <c r="I17" s="30">
        <f>I28+I44+I49</f>
        <v>0</v>
      </c>
      <c r="J17" s="618">
        <f t="shared" si="6"/>
        <v>0</v>
      </c>
      <c r="K17" s="690" t="s">
        <v>695</v>
      </c>
      <c r="L17" s="30">
        <f>L28+L44+L49</f>
        <v>270</v>
      </c>
      <c r="M17" s="30">
        <f>M28+M44+M22+M49</f>
        <v>28</v>
      </c>
      <c r="N17" s="618">
        <f t="shared" si="4"/>
        <v>10.37037037037037</v>
      </c>
      <c r="O17" s="30">
        <f>O28+O44+O49</f>
        <v>149</v>
      </c>
      <c r="P17" s="30">
        <f>P28+P44+P49+P22</f>
        <v>23</v>
      </c>
      <c r="Q17" s="618">
        <f t="shared" si="5"/>
        <v>15.436241610738255</v>
      </c>
      <c r="R17" s="30">
        <f>R28+R44+R49</f>
        <v>10</v>
      </c>
      <c r="S17" s="30">
        <f>S28+S44+S49+S22</f>
        <v>0</v>
      </c>
      <c r="T17" s="618">
        <f t="shared" si="7"/>
        <v>0</v>
      </c>
      <c r="U17" s="681"/>
      <c r="V17" s="681"/>
      <c r="W17" s="681"/>
      <c r="X17" s="681"/>
      <c r="Y17" s="681"/>
      <c r="Z17" s="681"/>
      <c r="AA17" s="681"/>
      <c r="AB17" s="681"/>
      <c r="AC17" s="681"/>
      <c r="AD17" s="681"/>
      <c r="AE17" s="681"/>
      <c r="AF17" s="681"/>
      <c r="AG17" s="681"/>
      <c r="AH17" s="681"/>
      <c r="AI17" s="681"/>
      <c r="AJ17" s="681"/>
      <c r="AK17" s="681"/>
      <c r="AL17" s="681"/>
      <c r="AM17" s="681"/>
      <c r="AN17" s="681"/>
      <c r="AO17" s="681"/>
      <c r="AP17" s="681"/>
      <c r="AQ17" s="681"/>
      <c r="AR17" s="681"/>
      <c r="AS17" s="681"/>
      <c r="AT17" s="681"/>
      <c r="AU17" s="681"/>
      <c r="AV17" s="681"/>
      <c r="AW17" s="681"/>
      <c r="AX17" s="681"/>
      <c r="AY17" s="681"/>
      <c r="AZ17" s="681"/>
      <c r="BA17" s="681"/>
      <c r="BB17" s="681"/>
      <c r="BC17" s="681"/>
      <c r="BD17" s="681"/>
      <c r="BE17" s="681"/>
      <c r="BF17" s="681"/>
      <c r="BG17" s="681"/>
      <c r="BH17" s="681"/>
      <c r="BI17" s="681"/>
      <c r="BJ17" s="681"/>
      <c r="BK17" s="681"/>
      <c r="BL17" s="681"/>
      <c r="BM17" s="681"/>
      <c r="BN17" s="681"/>
      <c r="BO17" s="681"/>
      <c r="BP17" s="681"/>
      <c r="BQ17" s="681"/>
      <c r="BR17" s="681"/>
      <c r="BS17" s="681"/>
      <c r="BT17" s="681"/>
      <c r="BU17" s="681"/>
      <c r="BV17" s="681"/>
      <c r="BW17" s="681"/>
      <c r="BX17" s="681"/>
      <c r="BY17" s="681"/>
      <c r="BZ17" s="681"/>
      <c r="CA17" s="681"/>
      <c r="CB17" s="681"/>
      <c r="CC17" s="681"/>
      <c r="CD17" s="681"/>
      <c r="CE17" s="681"/>
      <c r="CF17" s="681"/>
      <c r="CG17" s="681"/>
      <c r="CH17" s="681"/>
      <c r="CI17" s="681"/>
      <c r="CJ17" s="681"/>
      <c r="CK17" s="681"/>
      <c r="CL17" s="681"/>
      <c r="CM17" s="681"/>
      <c r="CN17" s="681"/>
      <c r="CO17" s="681"/>
      <c r="CP17" s="681"/>
      <c r="CQ17" s="681"/>
      <c r="CR17" s="681"/>
      <c r="CS17" s="681"/>
      <c r="CT17" s="681"/>
      <c r="CU17" s="681"/>
      <c r="CV17" s="681"/>
      <c r="CW17" s="681"/>
      <c r="CX17" s="681"/>
      <c r="CY17" s="681"/>
      <c r="CZ17" s="681"/>
      <c r="DA17" s="681"/>
      <c r="DB17" s="681"/>
      <c r="DC17" s="681"/>
    </row>
    <row r="18" spans="1:107" s="31" customFormat="1" ht="13.5" customHeight="1">
      <c r="A18" s="22" t="s">
        <v>696</v>
      </c>
      <c r="B18" s="30">
        <f>B29+B34+B39+B45+B50+B82</f>
        <v>4680192</v>
      </c>
      <c r="C18" s="30">
        <f aca="true" t="shared" si="10" ref="C18:I18">C29+C34+C39+C45+C50+C82</f>
        <v>175800</v>
      </c>
      <c r="D18" s="618">
        <f t="shared" si="1"/>
        <v>3.756256153593699</v>
      </c>
      <c r="E18" s="30">
        <f t="shared" si="10"/>
        <v>2572652</v>
      </c>
      <c r="F18" s="30">
        <f t="shared" si="10"/>
        <v>0</v>
      </c>
      <c r="G18" s="618">
        <f t="shared" si="2"/>
        <v>0</v>
      </c>
      <c r="H18" s="30">
        <f t="shared" si="10"/>
        <v>8461180</v>
      </c>
      <c r="I18" s="30">
        <f t="shared" si="10"/>
        <v>0</v>
      </c>
      <c r="J18" s="618">
        <f t="shared" si="6"/>
        <v>0</v>
      </c>
      <c r="K18" s="22" t="s">
        <v>696</v>
      </c>
      <c r="L18" s="30">
        <f>L29+L34+L39+L45+L50+L82</f>
        <v>4680</v>
      </c>
      <c r="M18" s="30">
        <f aca="true" t="shared" si="11" ref="M18:S18">M29+M34+M39+M45+M50+M82</f>
        <v>176</v>
      </c>
      <c r="N18" s="618">
        <f t="shared" si="4"/>
        <v>3.7606837606837606</v>
      </c>
      <c r="O18" s="30">
        <f t="shared" si="11"/>
        <v>2573</v>
      </c>
      <c r="P18" s="30">
        <f t="shared" si="11"/>
        <v>0</v>
      </c>
      <c r="Q18" s="618">
        <f t="shared" si="5"/>
        <v>0</v>
      </c>
      <c r="R18" s="30">
        <f t="shared" si="11"/>
        <v>8461</v>
      </c>
      <c r="S18" s="30">
        <f t="shared" si="11"/>
        <v>0</v>
      </c>
      <c r="T18" s="618">
        <f t="shared" si="7"/>
        <v>0</v>
      </c>
      <c r="U18" s="681"/>
      <c r="V18" s="681"/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1"/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1"/>
      <c r="AZ18" s="681"/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1"/>
      <c r="CE18" s="681"/>
      <c r="CF18" s="681"/>
      <c r="CG18" s="681"/>
      <c r="CH18" s="681"/>
      <c r="CI18" s="681"/>
      <c r="CJ18" s="681"/>
      <c r="CK18" s="681"/>
      <c r="CL18" s="681"/>
      <c r="CM18" s="681"/>
      <c r="CN18" s="681"/>
      <c r="CO18" s="681"/>
      <c r="CP18" s="681"/>
      <c r="CQ18" s="681"/>
      <c r="CR18" s="681"/>
      <c r="CS18" s="681"/>
      <c r="CT18" s="681"/>
      <c r="CU18" s="681"/>
      <c r="CV18" s="681"/>
      <c r="CW18" s="681"/>
      <c r="CX18" s="681"/>
      <c r="CY18" s="681"/>
      <c r="CZ18" s="681"/>
      <c r="DA18" s="681"/>
      <c r="DB18" s="681"/>
      <c r="DC18" s="681"/>
    </row>
    <row r="19" spans="1:107" s="28" customFormat="1" ht="12.75">
      <c r="A19" s="22" t="s">
        <v>762</v>
      </c>
      <c r="B19" s="23">
        <f>B21</f>
        <v>77100</v>
      </c>
      <c r="C19" s="23">
        <f>SUM(C20:C22)</f>
        <v>31402</v>
      </c>
      <c r="D19" s="691">
        <f>C19/B19*100</f>
        <v>40.728923476005185</v>
      </c>
      <c r="E19" s="23">
        <f>E21</f>
        <v>80000</v>
      </c>
      <c r="F19" s="23">
        <f>SUM(F20:F22)</f>
        <v>23841</v>
      </c>
      <c r="G19" s="691">
        <f>F19/E19*100</f>
        <v>29.801250000000003</v>
      </c>
      <c r="H19" s="23">
        <f>H21</f>
        <v>0</v>
      </c>
      <c r="I19" s="23">
        <f>I21</f>
        <v>0</v>
      </c>
      <c r="J19" s="691" t="e">
        <f>I19/H19*100</f>
        <v>#DIV/0!</v>
      </c>
      <c r="K19" s="22" t="s">
        <v>762</v>
      </c>
      <c r="L19" s="23">
        <f>L21</f>
        <v>77</v>
      </c>
      <c r="M19" s="23">
        <f>SUM(M20:M22)</f>
        <v>31</v>
      </c>
      <c r="N19" s="691">
        <f>M19/L19*100</f>
        <v>40.25974025974026</v>
      </c>
      <c r="O19" s="23">
        <f>O21</f>
        <v>80</v>
      </c>
      <c r="P19" s="23">
        <f>SUM(P20:P22)</f>
        <v>24</v>
      </c>
      <c r="Q19" s="691">
        <f>P19/O19*100</f>
        <v>30</v>
      </c>
      <c r="R19" s="23">
        <f>R21</f>
        <v>0</v>
      </c>
      <c r="S19" s="23">
        <f>S21</f>
        <v>0</v>
      </c>
      <c r="T19" s="69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</row>
    <row r="20" spans="1:107" s="28" customFormat="1" ht="12.75">
      <c r="A20" s="36" t="s">
        <v>854</v>
      </c>
      <c r="B20" s="284"/>
      <c r="C20" s="284">
        <v>3231</v>
      </c>
      <c r="D20" s="692" t="e">
        <f t="shared" si="1"/>
        <v>#DIV/0!</v>
      </c>
      <c r="E20" s="284"/>
      <c r="F20" s="284">
        <v>814</v>
      </c>
      <c r="G20" s="692" t="e">
        <f t="shared" si="2"/>
        <v>#DIV/0!</v>
      </c>
      <c r="H20" s="284"/>
      <c r="I20" s="284"/>
      <c r="J20" s="692"/>
      <c r="K20" s="36" t="s">
        <v>854</v>
      </c>
      <c r="L20" s="284"/>
      <c r="M20" s="284">
        <f>ROUND(C20/1000,0)</f>
        <v>3</v>
      </c>
      <c r="N20" s="692"/>
      <c r="O20" s="284"/>
      <c r="P20" s="284">
        <f>ROUND(F20/1000,0)</f>
        <v>1</v>
      </c>
      <c r="Q20" s="692"/>
      <c r="R20" s="284"/>
      <c r="S20" s="284"/>
      <c r="T20" s="692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</row>
    <row r="21" spans="1:107" s="28" customFormat="1" ht="12.75">
      <c r="A21" s="36" t="s">
        <v>690</v>
      </c>
      <c r="B21" s="284">
        <v>77100</v>
      </c>
      <c r="C21" s="284"/>
      <c r="D21" s="692">
        <f t="shared" si="1"/>
        <v>0</v>
      </c>
      <c r="E21" s="284">
        <v>80000</v>
      </c>
      <c r="F21" s="284"/>
      <c r="G21" s="692">
        <f t="shared" si="2"/>
        <v>0</v>
      </c>
      <c r="H21" s="284"/>
      <c r="I21" s="284"/>
      <c r="J21" s="692" t="e">
        <f t="shared" si="6"/>
        <v>#DIV/0!</v>
      </c>
      <c r="K21" s="36" t="s">
        <v>690</v>
      </c>
      <c r="L21" s="284">
        <f>ROUND(B21/1000,0)</f>
        <v>77</v>
      </c>
      <c r="M21" s="284">
        <f>ROUND(C21/1000,0)</f>
        <v>0</v>
      </c>
      <c r="N21" s="692">
        <f t="shared" si="4"/>
        <v>0</v>
      </c>
      <c r="O21" s="284">
        <f>ROUND(E21/1000,0)</f>
        <v>80</v>
      </c>
      <c r="P21" s="284">
        <f>ROUND(F21/1000,0)</f>
        <v>0</v>
      </c>
      <c r="Q21" s="692">
        <f t="shared" si="5"/>
        <v>0</v>
      </c>
      <c r="R21" s="284">
        <f>ROUND(H21/1000,0)</f>
        <v>0</v>
      </c>
      <c r="S21" s="284">
        <f>ROUND(I21/1000,0)</f>
        <v>0</v>
      </c>
      <c r="T21" s="692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</row>
    <row r="22" spans="1:107" s="28" customFormat="1" ht="12.75">
      <c r="A22" s="36" t="s">
        <v>695</v>
      </c>
      <c r="B22" s="284"/>
      <c r="C22" s="284">
        <v>28171</v>
      </c>
      <c r="D22" s="692" t="e">
        <f t="shared" si="1"/>
        <v>#DIV/0!</v>
      </c>
      <c r="E22" s="284"/>
      <c r="F22" s="284">
        <v>23027</v>
      </c>
      <c r="G22" s="692" t="e">
        <f t="shared" si="2"/>
        <v>#DIV/0!</v>
      </c>
      <c r="H22" s="284"/>
      <c r="I22" s="284"/>
      <c r="J22" s="692"/>
      <c r="K22" s="36" t="s">
        <v>695</v>
      </c>
      <c r="L22" s="284"/>
      <c r="M22" s="284">
        <f>ROUND(C22/1000,0)</f>
        <v>28</v>
      </c>
      <c r="N22" s="692"/>
      <c r="O22" s="284"/>
      <c r="P22" s="284">
        <f>ROUND(F22/1000,0)</f>
        <v>23</v>
      </c>
      <c r="Q22" s="692"/>
      <c r="R22" s="284"/>
      <c r="S22" s="284"/>
      <c r="T22" s="692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</row>
    <row r="23" spans="1:20" ht="12.75">
      <c r="A23" s="31" t="s">
        <v>880</v>
      </c>
      <c r="B23" s="34">
        <f>SUM(B24:B25)</f>
        <v>3445510</v>
      </c>
      <c r="C23" s="34">
        <f aca="true" t="shared" si="12" ref="C23:I23">SUM(C24:C25)</f>
        <v>0</v>
      </c>
      <c r="D23" s="691">
        <f t="shared" si="1"/>
        <v>0</v>
      </c>
      <c r="E23" s="34">
        <f t="shared" si="12"/>
        <v>3279510</v>
      </c>
      <c r="F23" s="34">
        <f t="shared" si="12"/>
        <v>0</v>
      </c>
      <c r="G23" s="691">
        <f t="shared" si="2"/>
        <v>0</v>
      </c>
      <c r="H23" s="34">
        <f t="shared" si="12"/>
        <v>7392100</v>
      </c>
      <c r="I23" s="34">
        <f t="shared" si="12"/>
        <v>0</v>
      </c>
      <c r="J23" s="691">
        <f t="shared" si="6"/>
        <v>0</v>
      </c>
      <c r="K23" s="31" t="s">
        <v>880</v>
      </c>
      <c r="L23" s="34">
        <f aca="true" t="shared" si="13" ref="L23:S23">SUM(L24:L25)</f>
        <v>3445</v>
      </c>
      <c r="M23" s="34">
        <f t="shared" si="13"/>
        <v>0</v>
      </c>
      <c r="N23" s="691">
        <f t="shared" si="4"/>
        <v>0</v>
      </c>
      <c r="O23" s="34">
        <f t="shared" si="13"/>
        <v>3280</v>
      </c>
      <c r="P23" s="34">
        <f t="shared" si="13"/>
        <v>0</v>
      </c>
      <c r="Q23" s="691">
        <f t="shared" si="5"/>
        <v>0</v>
      </c>
      <c r="R23" s="34">
        <f t="shared" si="13"/>
        <v>7392</v>
      </c>
      <c r="S23" s="34">
        <f t="shared" si="13"/>
        <v>0</v>
      </c>
      <c r="T23" s="691">
        <f t="shared" si="7"/>
        <v>0</v>
      </c>
    </row>
    <row r="24" spans="1:107" s="28" customFormat="1" ht="12.75">
      <c r="A24" s="36" t="s">
        <v>690</v>
      </c>
      <c r="B24" s="284">
        <v>4510</v>
      </c>
      <c r="C24" s="284"/>
      <c r="D24" s="692">
        <f t="shared" si="1"/>
        <v>0</v>
      </c>
      <c r="E24" s="284">
        <v>4510</v>
      </c>
      <c r="F24" s="284"/>
      <c r="G24" s="692"/>
      <c r="H24" s="284"/>
      <c r="I24" s="284"/>
      <c r="J24" s="692"/>
      <c r="K24" s="36" t="s">
        <v>690</v>
      </c>
      <c r="L24" s="284">
        <f>ROUND(B24/1000,0)-1</f>
        <v>4</v>
      </c>
      <c r="M24" s="284">
        <f aca="true" t="shared" si="14" ref="M24:S25">ROUND(C24/1000,0)</f>
        <v>0</v>
      </c>
      <c r="N24" s="692">
        <f t="shared" si="4"/>
        <v>0</v>
      </c>
      <c r="O24" s="284">
        <f t="shared" si="14"/>
        <v>5</v>
      </c>
      <c r="P24" s="284">
        <f t="shared" si="14"/>
        <v>0</v>
      </c>
      <c r="Q24" s="692">
        <f t="shared" si="5"/>
        <v>0</v>
      </c>
      <c r="R24" s="284">
        <f t="shared" si="14"/>
        <v>0</v>
      </c>
      <c r="S24" s="284">
        <f t="shared" si="14"/>
        <v>0</v>
      </c>
      <c r="T24" s="692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</row>
    <row r="25" spans="1:107" s="28" customFormat="1" ht="12.75">
      <c r="A25" s="36" t="s">
        <v>865</v>
      </c>
      <c r="B25" s="284">
        <v>3441000</v>
      </c>
      <c r="D25" s="692">
        <f t="shared" si="1"/>
        <v>0</v>
      </c>
      <c r="E25" s="284">
        <v>3275000</v>
      </c>
      <c r="F25" s="284"/>
      <c r="G25" s="692">
        <f t="shared" si="2"/>
        <v>0</v>
      </c>
      <c r="H25" s="284">
        <v>7392100</v>
      </c>
      <c r="I25" s="284"/>
      <c r="J25" s="692">
        <f t="shared" si="6"/>
        <v>0</v>
      </c>
      <c r="K25" s="36" t="s">
        <v>865</v>
      </c>
      <c r="L25" s="284">
        <f>ROUND(B25/1000,0)</f>
        <v>3441</v>
      </c>
      <c r="M25" s="284">
        <f t="shared" si="14"/>
        <v>0</v>
      </c>
      <c r="N25" s="692">
        <f t="shared" si="4"/>
        <v>0</v>
      </c>
      <c r="O25" s="284">
        <f t="shared" si="14"/>
        <v>3275</v>
      </c>
      <c r="P25" s="284">
        <f t="shared" si="14"/>
        <v>0</v>
      </c>
      <c r="Q25" s="692">
        <f t="shared" si="5"/>
        <v>0</v>
      </c>
      <c r="R25" s="284">
        <f t="shared" si="14"/>
        <v>7392</v>
      </c>
      <c r="S25" s="284">
        <f t="shared" si="14"/>
        <v>0</v>
      </c>
      <c r="T25" s="692">
        <f t="shared" si="7"/>
        <v>0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</row>
    <row r="26" spans="1:20" ht="12.75">
      <c r="A26" s="31" t="s">
        <v>766</v>
      </c>
      <c r="B26" s="34">
        <f>SUM(B27:B29)</f>
        <v>1416488</v>
      </c>
      <c r="C26" s="34">
        <f>SUM(C27:C29)</f>
        <v>1651840</v>
      </c>
      <c r="D26" s="691">
        <f t="shared" si="1"/>
        <v>116.61517782007331</v>
      </c>
      <c r="E26" s="34">
        <f>SUM(E27:E29)</f>
        <v>687936</v>
      </c>
      <c r="F26" s="34">
        <f>SUM(F27:F29)</f>
        <v>1651840</v>
      </c>
      <c r="G26" s="691">
        <f t="shared" si="2"/>
        <v>240.11535956833194</v>
      </c>
      <c r="H26" s="34">
        <f>SUM(H27:H29)</f>
        <v>893064</v>
      </c>
      <c r="I26" s="34">
        <f>SUM(I27:I29)</f>
        <v>0</v>
      </c>
      <c r="J26" s="691">
        <f t="shared" si="6"/>
        <v>0</v>
      </c>
      <c r="K26" s="31" t="s">
        <v>766</v>
      </c>
      <c r="L26" s="34">
        <f>SUM(L27:L29)</f>
        <v>1417</v>
      </c>
      <c r="M26" s="34">
        <f>SUM(M27:M29)</f>
        <v>1652</v>
      </c>
      <c r="N26" s="691">
        <f t="shared" si="4"/>
        <v>116.58433309809458</v>
      </c>
      <c r="O26" s="34">
        <f>SUM(O27:O29)</f>
        <v>688</v>
      </c>
      <c r="P26" s="34">
        <f>SUM(P27:P29)</f>
        <v>1652</v>
      </c>
      <c r="Q26" s="691">
        <f t="shared" si="5"/>
        <v>240.11627906976742</v>
      </c>
      <c r="R26" s="34">
        <f>SUM(R27:R29)</f>
        <v>894</v>
      </c>
      <c r="S26" s="34">
        <f>SUM(S27:S29)</f>
        <v>0</v>
      </c>
      <c r="T26" s="691">
        <f t="shared" si="7"/>
        <v>0</v>
      </c>
    </row>
    <row r="27" spans="1:107" s="28" customFormat="1" ht="12.75">
      <c r="A27" s="36" t="s">
        <v>690</v>
      </c>
      <c r="B27" s="284">
        <v>1388740</v>
      </c>
      <c r="C27" s="284">
        <v>1651840</v>
      </c>
      <c r="D27" s="692">
        <f t="shared" si="1"/>
        <v>118.94523092875555</v>
      </c>
      <c r="E27" s="284">
        <v>660740</v>
      </c>
      <c r="F27" s="284">
        <v>1651840</v>
      </c>
      <c r="G27" s="692">
        <f t="shared" si="2"/>
        <v>249.9984865453885</v>
      </c>
      <c r="H27" s="284">
        <v>654740</v>
      </c>
      <c r="I27" s="284"/>
      <c r="J27" s="692">
        <f t="shared" si="6"/>
        <v>0</v>
      </c>
      <c r="K27" s="36" t="s">
        <v>690</v>
      </c>
      <c r="L27" s="284">
        <f aca="true" t="shared" si="15" ref="L27:M29">ROUND(B27/1000,0)</f>
        <v>1389</v>
      </c>
      <c r="M27" s="284">
        <f t="shared" si="15"/>
        <v>1652</v>
      </c>
      <c r="N27" s="692">
        <f t="shared" si="4"/>
        <v>118.93448524118071</v>
      </c>
      <c r="O27" s="284">
        <f aca="true" t="shared" si="16" ref="O27:P29">ROUND(E27/1000,0)</f>
        <v>661</v>
      </c>
      <c r="P27" s="284">
        <f t="shared" si="16"/>
        <v>1652</v>
      </c>
      <c r="Q27" s="692">
        <f t="shared" si="5"/>
        <v>249.92435703479578</v>
      </c>
      <c r="R27" s="284">
        <f aca="true" t="shared" si="17" ref="R27:S29">ROUND(H27/1000,0)</f>
        <v>655</v>
      </c>
      <c r="S27" s="284">
        <f t="shared" si="17"/>
        <v>0</v>
      </c>
      <c r="T27" s="692">
        <f t="shared" si="7"/>
        <v>0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</row>
    <row r="28" spans="1:107" s="28" customFormat="1" ht="12.75">
      <c r="A28" s="36" t="s">
        <v>695</v>
      </c>
      <c r="B28" s="284">
        <v>2400</v>
      </c>
      <c r="C28" s="284"/>
      <c r="D28" s="692">
        <f t="shared" si="1"/>
        <v>0</v>
      </c>
      <c r="E28" s="284">
        <v>2400</v>
      </c>
      <c r="F28" s="284"/>
      <c r="G28" s="692">
        <f t="shared" si="2"/>
        <v>0</v>
      </c>
      <c r="H28" s="284">
        <v>9600</v>
      </c>
      <c r="I28" s="284"/>
      <c r="J28" s="692">
        <f t="shared" si="6"/>
        <v>0</v>
      </c>
      <c r="K28" s="703" t="s">
        <v>695</v>
      </c>
      <c r="L28" s="284">
        <f>ROUND(B28/1000,0)+1</f>
        <v>3</v>
      </c>
      <c r="M28" s="284">
        <f t="shared" si="15"/>
        <v>0</v>
      </c>
      <c r="N28" s="692">
        <f t="shared" si="4"/>
        <v>0</v>
      </c>
      <c r="O28" s="284">
        <f t="shared" si="16"/>
        <v>2</v>
      </c>
      <c r="P28" s="284">
        <f t="shared" si="16"/>
        <v>0</v>
      </c>
      <c r="Q28" s="692">
        <f t="shared" si="5"/>
        <v>0</v>
      </c>
      <c r="R28" s="284">
        <f t="shared" si="17"/>
        <v>10</v>
      </c>
      <c r="S28" s="284">
        <f t="shared" si="17"/>
        <v>0</v>
      </c>
      <c r="T28" s="692">
        <f t="shared" si="7"/>
        <v>0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</row>
    <row r="29" spans="1:107" s="41" customFormat="1" ht="12.75">
      <c r="A29" s="36" t="s">
        <v>696</v>
      </c>
      <c r="B29" s="284">
        <v>25348</v>
      </c>
      <c r="C29" s="284"/>
      <c r="D29" s="692">
        <f t="shared" si="1"/>
        <v>0</v>
      </c>
      <c r="E29" s="284">
        <v>24796</v>
      </c>
      <c r="F29" s="284"/>
      <c r="G29" s="692">
        <f t="shared" si="2"/>
        <v>0</v>
      </c>
      <c r="H29" s="284">
        <v>228724</v>
      </c>
      <c r="I29" s="284"/>
      <c r="J29" s="704">
        <f t="shared" si="6"/>
        <v>0</v>
      </c>
      <c r="K29" s="36" t="s">
        <v>696</v>
      </c>
      <c r="L29" s="705">
        <f t="shared" si="15"/>
        <v>25</v>
      </c>
      <c r="M29" s="284">
        <f t="shared" si="15"/>
        <v>0</v>
      </c>
      <c r="N29" s="692">
        <f t="shared" si="4"/>
        <v>0</v>
      </c>
      <c r="O29" s="284">
        <f t="shared" si="16"/>
        <v>25</v>
      </c>
      <c r="P29" s="284">
        <f t="shared" si="16"/>
        <v>0</v>
      </c>
      <c r="Q29" s="692">
        <f t="shared" si="5"/>
        <v>0</v>
      </c>
      <c r="R29" s="284">
        <f t="shared" si="17"/>
        <v>229</v>
      </c>
      <c r="S29" s="284">
        <f t="shared" si="17"/>
        <v>0</v>
      </c>
      <c r="T29" s="692">
        <f t="shared" si="7"/>
        <v>0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</row>
    <row r="30" spans="1:20" ht="12.75">
      <c r="A30" s="31" t="s">
        <v>767</v>
      </c>
      <c r="B30" s="34">
        <f>SUM(B31:B34)</f>
        <v>971281</v>
      </c>
      <c r="C30" s="34">
        <f>SUM(C31:C34)</f>
        <v>0</v>
      </c>
      <c r="D30" s="691">
        <f t="shared" si="1"/>
        <v>0</v>
      </c>
      <c r="E30" s="34">
        <f>SUM(E31:E34)</f>
        <v>987980</v>
      </c>
      <c r="F30" s="34">
        <f>SUM(F31:F34)</f>
        <v>0</v>
      </c>
      <c r="G30" s="691">
        <f t="shared" si="2"/>
        <v>0</v>
      </c>
      <c r="H30" s="34">
        <f>SUM(H31:H34)</f>
        <v>4179644</v>
      </c>
      <c r="I30" s="34">
        <f>SUM(I31:I34)</f>
        <v>0</v>
      </c>
      <c r="J30" s="691">
        <f t="shared" si="6"/>
        <v>0</v>
      </c>
      <c r="K30" s="706" t="s">
        <v>767</v>
      </c>
      <c r="L30" s="34">
        <f>SUM(L31:L34)</f>
        <v>971</v>
      </c>
      <c r="M30" s="34">
        <f>SUM(M31:M34)</f>
        <v>0</v>
      </c>
      <c r="N30" s="691">
        <f t="shared" si="4"/>
        <v>0</v>
      </c>
      <c r="O30" s="34">
        <f>SUM(O31:O34)</f>
        <v>988</v>
      </c>
      <c r="P30" s="34">
        <f>SUM(P31:P34)</f>
        <v>0</v>
      </c>
      <c r="Q30" s="691">
        <f t="shared" si="5"/>
        <v>0</v>
      </c>
      <c r="R30" s="34">
        <f>SUM(R31:R34)</f>
        <v>4180</v>
      </c>
      <c r="S30" s="34">
        <f>SUM(S31:S34)</f>
        <v>0</v>
      </c>
      <c r="T30" s="691">
        <f t="shared" si="7"/>
        <v>0</v>
      </c>
    </row>
    <row r="31" spans="1:107" s="28" customFormat="1" ht="12.75">
      <c r="A31" s="36" t="s">
        <v>689</v>
      </c>
      <c r="B31" s="284">
        <v>102930</v>
      </c>
      <c r="C31" s="284"/>
      <c r="D31" s="692">
        <f t="shared" si="1"/>
        <v>0</v>
      </c>
      <c r="E31" s="284">
        <v>77944</v>
      </c>
      <c r="F31" s="284"/>
      <c r="G31" s="692">
        <f t="shared" si="2"/>
        <v>0</v>
      </c>
      <c r="H31" s="284">
        <v>26847</v>
      </c>
      <c r="I31" s="284"/>
      <c r="J31" s="692">
        <f t="shared" si="6"/>
        <v>0</v>
      </c>
      <c r="K31" s="36" t="s">
        <v>689</v>
      </c>
      <c r="L31" s="284">
        <f aca="true" t="shared" si="18" ref="L31:M34">ROUND(B31/1000,0)</f>
        <v>103</v>
      </c>
      <c r="M31" s="284">
        <f t="shared" si="18"/>
        <v>0</v>
      </c>
      <c r="N31" s="692">
        <f t="shared" si="4"/>
        <v>0</v>
      </c>
      <c r="O31" s="284">
        <f aca="true" t="shared" si="19" ref="O31:P34">ROUND(E31/1000,0)</f>
        <v>78</v>
      </c>
      <c r="P31" s="284">
        <f t="shared" si="19"/>
        <v>0</v>
      </c>
      <c r="Q31" s="692">
        <f t="shared" si="5"/>
        <v>0</v>
      </c>
      <c r="R31" s="284">
        <f aca="true" t="shared" si="20" ref="R31:S34">ROUND(H31/1000,0)</f>
        <v>27</v>
      </c>
      <c r="S31" s="284">
        <f t="shared" si="20"/>
        <v>0</v>
      </c>
      <c r="T31" s="692">
        <f t="shared" si="7"/>
        <v>0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</row>
    <row r="32" spans="1:107" s="28" customFormat="1" ht="12.75">
      <c r="A32" s="36" t="s">
        <v>854</v>
      </c>
      <c r="B32" s="284">
        <v>18351</v>
      </c>
      <c r="C32" s="284"/>
      <c r="D32" s="692">
        <f t="shared" si="1"/>
        <v>0</v>
      </c>
      <c r="E32" s="284">
        <v>10036</v>
      </c>
      <c r="F32" s="284"/>
      <c r="G32" s="692">
        <f t="shared" si="2"/>
        <v>0</v>
      </c>
      <c r="H32" s="284">
        <v>2797</v>
      </c>
      <c r="I32" s="284"/>
      <c r="J32" s="692">
        <f t="shared" si="6"/>
        <v>0</v>
      </c>
      <c r="K32" s="36" t="s">
        <v>854</v>
      </c>
      <c r="L32" s="284">
        <f t="shared" si="18"/>
        <v>18</v>
      </c>
      <c r="M32" s="284">
        <f t="shared" si="18"/>
        <v>0</v>
      </c>
      <c r="N32" s="692">
        <f t="shared" si="4"/>
        <v>0</v>
      </c>
      <c r="O32" s="284">
        <f t="shared" si="19"/>
        <v>10</v>
      </c>
      <c r="P32" s="284">
        <f t="shared" si="19"/>
        <v>0</v>
      </c>
      <c r="Q32" s="692">
        <f t="shared" si="5"/>
        <v>0</v>
      </c>
      <c r="R32" s="284">
        <f t="shared" si="20"/>
        <v>3</v>
      </c>
      <c r="S32" s="284">
        <f t="shared" si="20"/>
        <v>0</v>
      </c>
      <c r="T32" s="692">
        <f t="shared" si="7"/>
        <v>0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</row>
    <row r="33" spans="1:107" s="28" customFormat="1" ht="12.75">
      <c r="A33" s="36" t="s">
        <v>690</v>
      </c>
      <c r="B33" s="284">
        <v>50000</v>
      </c>
      <c r="C33" s="284"/>
      <c r="D33" s="692">
        <f t="shared" si="1"/>
        <v>0</v>
      </c>
      <c r="E33" s="284">
        <v>50000</v>
      </c>
      <c r="F33" s="284"/>
      <c r="G33" s="692">
        <f t="shared" si="2"/>
        <v>0</v>
      </c>
      <c r="H33" s="284">
        <v>150000</v>
      </c>
      <c r="I33" s="284"/>
      <c r="J33" s="692">
        <f t="shared" si="6"/>
        <v>0</v>
      </c>
      <c r="K33" s="36" t="s">
        <v>690</v>
      </c>
      <c r="L33" s="284">
        <f t="shared" si="18"/>
        <v>50</v>
      </c>
      <c r="M33" s="284">
        <f t="shared" si="18"/>
        <v>0</v>
      </c>
      <c r="N33" s="692">
        <f t="shared" si="4"/>
        <v>0</v>
      </c>
      <c r="O33" s="284">
        <f t="shared" si="19"/>
        <v>50</v>
      </c>
      <c r="P33" s="284">
        <f t="shared" si="19"/>
        <v>0</v>
      </c>
      <c r="Q33" s="692">
        <f>P33/O33*100</f>
        <v>0</v>
      </c>
      <c r="R33" s="284">
        <f t="shared" si="20"/>
        <v>150</v>
      </c>
      <c r="S33" s="284">
        <f t="shared" si="20"/>
        <v>0</v>
      </c>
      <c r="T33" s="692">
        <f t="shared" si="7"/>
        <v>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</row>
    <row r="34" spans="1:107" s="41" customFormat="1" ht="12.75">
      <c r="A34" s="36" t="s">
        <v>696</v>
      </c>
      <c r="B34" s="284">
        <v>800000</v>
      </c>
      <c r="C34" s="284"/>
      <c r="D34" s="692">
        <f t="shared" si="1"/>
        <v>0</v>
      </c>
      <c r="E34" s="284">
        <v>850000</v>
      </c>
      <c r="F34" s="284"/>
      <c r="G34" s="692">
        <f t="shared" si="2"/>
        <v>0</v>
      </c>
      <c r="H34" s="284">
        <v>4000000</v>
      </c>
      <c r="I34" s="284"/>
      <c r="J34" s="692">
        <f t="shared" si="6"/>
        <v>0</v>
      </c>
      <c r="K34" s="36" t="s">
        <v>696</v>
      </c>
      <c r="L34" s="284">
        <f t="shared" si="18"/>
        <v>800</v>
      </c>
      <c r="M34" s="284">
        <f t="shared" si="18"/>
        <v>0</v>
      </c>
      <c r="N34" s="692">
        <f t="shared" si="4"/>
        <v>0</v>
      </c>
      <c r="O34" s="284">
        <f t="shared" si="19"/>
        <v>850</v>
      </c>
      <c r="P34" s="284">
        <f t="shared" si="19"/>
        <v>0</v>
      </c>
      <c r="Q34" s="692">
        <f>P34/O34*100</f>
        <v>0</v>
      </c>
      <c r="R34" s="284">
        <f t="shared" si="20"/>
        <v>4000</v>
      </c>
      <c r="S34" s="284">
        <f t="shared" si="20"/>
        <v>0</v>
      </c>
      <c r="T34" s="692">
        <f t="shared" si="7"/>
        <v>0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</row>
    <row r="35" spans="1:20" ht="12.75">
      <c r="A35" s="31" t="s">
        <v>768</v>
      </c>
      <c r="B35" s="34">
        <f>SUM(B36:B39)</f>
        <v>61070319</v>
      </c>
      <c r="C35" s="34">
        <f aca="true" t="shared" si="21" ref="C35:I35">SUM(C36:C39)</f>
        <v>34530216</v>
      </c>
      <c r="D35" s="691">
        <f t="shared" si="1"/>
        <v>56.541731835394536</v>
      </c>
      <c r="E35" s="34">
        <f t="shared" si="21"/>
        <v>65437000</v>
      </c>
      <c r="F35" s="34">
        <f t="shared" si="21"/>
        <v>30745346</v>
      </c>
      <c r="G35" s="691">
        <f t="shared" si="2"/>
        <v>46.98465088558461</v>
      </c>
      <c r="H35" s="34">
        <f t="shared" si="21"/>
        <v>2743403</v>
      </c>
      <c r="I35" s="34">
        <f t="shared" si="21"/>
        <v>0</v>
      </c>
      <c r="J35" s="691">
        <f t="shared" si="6"/>
        <v>0</v>
      </c>
      <c r="K35" s="31" t="s">
        <v>768</v>
      </c>
      <c r="L35" s="34">
        <f aca="true" t="shared" si="22" ref="L35:S35">SUM(L36:L39)</f>
        <v>61070</v>
      </c>
      <c r="M35" s="34">
        <f t="shared" si="22"/>
        <v>34530</v>
      </c>
      <c r="N35" s="691">
        <f t="shared" si="4"/>
        <v>56.54167348943835</v>
      </c>
      <c r="O35" s="34">
        <f t="shared" si="22"/>
        <v>65437</v>
      </c>
      <c r="P35" s="34">
        <f t="shared" si="22"/>
        <v>30745</v>
      </c>
      <c r="Q35" s="691">
        <f t="shared" si="5"/>
        <v>46.98412213273836</v>
      </c>
      <c r="R35" s="34">
        <f t="shared" si="22"/>
        <v>2743</v>
      </c>
      <c r="S35" s="34">
        <f t="shared" si="22"/>
        <v>0</v>
      </c>
      <c r="T35" s="691">
        <f t="shared" si="7"/>
        <v>0</v>
      </c>
    </row>
    <row r="36" spans="1:107" s="28" customFormat="1" ht="12.75">
      <c r="A36" s="36" t="s">
        <v>854</v>
      </c>
      <c r="B36" s="284">
        <v>54000000</v>
      </c>
      <c r="C36" s="284">
        <f>185100+14926150+18316166</f>
        <v>33427416</v>
      </c>
      <c r="D36" s="692">
        <f t="shared" si="1"/>
        <v>61.90262222222223</v>
      </c>
      <c r="E36" s="284">
        <v>59300000</v>
      </c>
      <c r="F36" s="284">
        <f>13414130+17331216</f>
        <v>30745346</v>
      </c>
      <c r="G36" s="692">
        <f t="shared" si="2"/>
        <v>51.84712647554805</v>
      </c>
      <c r="H36" s="284"/>
      <c r="I36" s="284"/>
      <c r="J36" s="692"/>
      <c r="K36" s="36" t="s">
        <v>854</v>
      </c>
      <c r="L36" s="284">
        <f aca="true" t="shared" si="23" ref="L36:M39">ROUND(B36/1000,0)</f>
        <v>54000</v>
      </c>
      <c r="M36" s="284">
        <f t="shared" si="23"/>
        <v>33427</v>
      </c>
      <c r="N36" s="692">
        <f t="shared" si="4"/>
        <v>61.90185185185185</v>
      </c>
      <c r="O36" s="284">
        <f aca="true" t="shared" si="24" ref="O36:P39">ROUND(E36/1000,0)</f>
        <v>59300</v>
      </c>
      <c r="P36" s="284">
        <f>ROUND(F36/1000,0)</f>
        <v>30745</v>
      </c>
      <c r="Q36" s="692">
        <f t="shared" si="5"/>
        <v>51.84654300168634</v>
      </c>
      <c r="R36" s="284">
        <f aca="true" t="shared" si="25" ref="R36:S39">ROUND(H36/1000,0)</f>
        <v>0</v>
      </c>
      <c r="S36" s="284">
        <f t="shared" si="25"/>
        <v>0</v>
      </c>
      <c r="T36" s="692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</row>
    <row r="37" spans="1:107" s="28" customFormat="1" ht="12.75">
      <c r="A37" s="36" t="s">
        <v>690</v>
      </c>
      <c r="B37" s="284">
        <v>947000</v>
      </c>
      <c r="C37" s="284">
        <f>886000+3000</f>
        <v>889000</v>
      </c>
      <c r="D37" s="692">
        <f t="shared" si="1"/>
        <v>93.8753959873284</v>
      </c>
      <c r="E37" s="284">
        <v>859000</v>
      </c>
      <c r="F37" s="284"/>
      <c r="G37" s="692">
        <f t="shared" si="2"/>
        <v>0</v>
      </c>
      <c r="H37" s="284">
        <v>2623403</v>
      </c>
      <c r="I37" s="284"/>
      <c r="J37" s="692"/>
      <c r="K37" s="36" t="s">
        <v>690</v>
      </c>
      <c r="L37" s="284">
        <f t="shared" si="23"/>
        <v>947</v>
      </c>
      <c r="M37" s="284">
        <f t="shared" si="23"/>
        <v>889</v>
      </c>
      <c r="N37" s="692">
        <f t="shared" si="4"/>
        <v>93.8753959873284</v>
      </c>
      <c r="O37" s="284">
        <f t="shared" si="24"/>
        <v>859</v>
      </c>
      <c r="P37" s="284">
        <f t="shared" si="24"/>
        <v>0</v>
      </c>
      <c r="Q37" s="692">
        <f t="shared" si="5"/>
        <v>0</v>
      </c>
      <c r="R37" s="284">
        <f t="shared" si="25"/>
        <v>2623</v>
      </c>
      <c r="S37" s="284">
        <f t="shared" si="25"/>
        <v>0</v>
      </c>
      <c r="T37" s="692">
        <f t="shared" si="7"/>
        <v>0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</row>
    <row r="38" spans="1:107" s="28" customFormat="1" ht="12.75">
      <c r="A38" s="36" t="s">
        <v>865</v>
      </c>
      <c r="B38" s="284">
        <v>5278000</v>
      </c>
      <c r="C38" s="284">
        <v>38000</v>
      </c>
      <c r="D38" s="692">
        <f t="shared" si="1"/>
        <v>0.7199696854869269</v>
      </c>
      <c r="E38" s="284">
        <v>5278000</v>
      </c>
      <c r="F38" s="284"/>
      <c r="G38" s="692">
        <f t="shared" si="2"/>
        <v>0</v>
      </c>
      <c r="H38" s="284">
        <v>120000</v>
      </c>
      <c r="I38" s="284"/>
      <c r="J38" s="692">
        <f t="shared" si="6"/>
        <v>0</v>
      </c>
      <c r="K38" s="36" t="s">
        <v>865</v>
      </c>
      <c r="L38" s="284">
        <f t="shared" si="23"/>
        <v>5278</v>
      </c>
      <c r="M38" s="284">
        <f t="shared" si="23"/>
        <v>38</v>
      </c>
      <c r="N38" s="692">
        <f t="shared" si="4"/>
        <v>0.7199696854869269</v>
      </c>
      <c r="O38" s="284">
        <f t="shared" si="24"/>
        <v>5278</v>
      </c>
      <c r="P38" s="284">
        <f t="shared" si="24"/>
        <v>0</v>
      </c>
      <c r="Q38" s="692">
        <f t="shared" si="5"/>
        <v>0</v>
      </c>
      <c r="R38" s="284">
        <f t="shared" si="25"/>
        <v>120</v>
      </c>
      <c r="S38" s="284">
        <f t="shared" si="25"/>
        <v>0</v>
      </c>
      <c r="T38" s="692">
        <f t="shared" si="7"/>
        <v>0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</row>
    <row r="39" spans="1:107" s="41" customFormat="1" ht="12.75">
      <c r="A39" s="36" t="s">
        <v>696</v>
      </c>
      <c r="B39" s="284">
        <v>845319</v>
      </c>
      <c r="C39" s="284">
        <v>175800</v>
      </c>
      <c r="D39" s="692">
        <f t="shared" si="1"/>
        <v>20.796882596984098</v>
      </c>
      <c r="E39" s="284"/>
      <c r="F39" s="284"/>
      <c r="G39" s="692" t="e">
        <f t="shared" si="2"/>
        <v>#DIV/0!</v>
      </c>
      <c r="H39" s="284"/>
      <c r="I39" s="284"/>
      <c r="J39" s="704"/>
      <c r="K39" s="36" t="s">
        <v>696</v>
      </c>
      <c r="L39" s="705">
        <f t="shared" si="23"/>
        <v>845</v>
      </c>
      <c r="M39" s="284">
        <f t="shared" si="23"/>
        <v>176</v>
      </c>
      <c r="N39" s="692">
        <f t="shared" si="4"/>
        <v>20.828402366863905</v>
      </c>
      <c r="O39" s="284">
        <f>ROUND(E39/1000,0)</f>
        <v>0</v>
      </c>
      <c r="P39" s="284">
        <f t="shared" si="24"/>
        <v>0</v>
      </c>
      <c r="Q39" s="692"/>
      <c r="R39" s="284">
        <f t="shared" si="25"/>
        <v>0</v>
      </c>
      <c r="S39" s="284">
        <f t="shared" si="25"/>
        <v>0</v>
      </c>
      <c r="T39" s="692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</row>
    <row r="40" spans="1:20" ht="12.75">
      <c r="A40" s="31" t="s">
        <v>769</v>
      </c>
      <c r="B40" s="34">
        <f>SUM(B41:B45)</f>
        <v>13991372</v>
      </c>
      <c r="C40" s="34">
        <f>SUM(C41:C45)</f>
        <v>761662</v>
      </c>
      <c r="D40" s="691">
        <f t="shared" si="1"/>
        <v>5.443797791953498</v>
      </c>
      <c r="E40" s="34">
        <f>SUM(E41:E45)</f>
        <v>11569875</v>
      </c>
      <c r="F40" s="34">
        <f>SUM(F41:F45)</f>
        <v>0</v>
      </c>
      <c r="G40" s="691">
        <f t="shared" si="2"/>
        <v>0</v>
      </c>
      <c r="H40" s="34">
        <f>SUM(H41:H45)</f>
        <v>71576564</v>
      </c>
      <c r="I40" s="34">
        <f>SUM(I41:I45)</f>
        <v>0</v>
      </c>
      <c r="J40" s="691">
        <f t="shared" si="6"/>
        <v>0</v>
      </c>
      <c r="K40" s="706" t="s">
        <v>769</v>
      </c>
      <c r="L40" s="34">
        <f>SUM(L41:L45)</f>
        <v>13991</v>
      </c>
      <c r="M40" s="34">
        <f>SUM(M41:M45)</f>
        <v>762</v>
      </c>
      <c r="N40" s="691">
        <f t="shared" si="4"/>
        <v>5.44635837323994</v>
      </c>
      <c r="O40" s="34">
        <f>SUM(O41:O45)</f>
        <v>11571</v>
      </c>
      <c r="P40" s="34">
        <f>SUM(P41:P45)</f>
        <v>0</v>
      </c>
      <c r="Q40" s="691">
        <f t="shared" si="5"/>
        <v>0</v>
      </c>
      <c r="R40" s="34">
        <f>SUM(R41:R45)</f>
        <v>71576</v>
      </c>
      <c r="S40" s="34">
        <f>SUM(S41:S45)</f>
        <v>0</v>
      </c>
      <c r="T40" s="691">
        <f t="shared" si="7"/>
        <v>0</v>
      </c>
    </row>
    <row r="41" spans="1:107" s="28" customFormat="1" ht="12.75">
      <c r="A41" s="36" t="s">
        <v>854</v>
      </c>
      <c r="B41" s="284">
        <v>17200</v>
      </c>
      <c r="C41" s="284"/>
      <c r="D41" s="692">
        <f t="shared" si="1"/>
        <v>0</v>
      </c>
      <c r="E41" s="284">
        <v>7400</v>
      </c>
      <c r="F41" s="284"/>
      <c r="G41" s="692">
        <f t="shared" si="2"/>
        <v>0</v>
      </c>
      <c r="H41" s="284"/>
      <c r="I41" s="284"/>
      <c r="J41" s="692" t="e">
        <f t="shared" si="6"/>
        <v>#DIV/0!</v>
      </c>
      <c r="K41" s="36" t="s">
        <v>854</v>
      </c>
      <c r="L41" s="284">
        <f aca="true" t="shared" si="26" ref="L41:M44">ROUND(B41/1000,0)</f>
        <v>17</v>
      </c>
      <c r="M41" s="284">
        <f t="shared" si="26"/>
        <v>0</v>
      </c>
      <c r="N41" s="692">
        <f t="shared" si="4"/>
        <v>0</v>
      </c>
      <c r="O41" s="284">
        <f>ROUND(E41/1000,0)+1</f>
        <v>8</v>
      </c>
      <c r="P41" s="284">
        <f aca="true" t="shared" si="27" ref="O41:P44">ROUND(F41/1000,0)</f>
        <v>0</v>
      </c>
      <c r="Q41" s="692">
        <f t="shared" si="5"/>
        <v>0</v>
      </c>
      <c r="R41" s="284">
        <f aca="true" t="shared" si="28" ref="R41:S44">ROUND(H41/1000,0)</f>
        <v>0</v>
      </c>
      <c r="S41" s="284">
        <f t="shared" si="28"/>
        <v>0</v>
      </c>
      <c r="T41" s="692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</row>
    <row r="42" spans="1:107" s="28" customFormat="1" ht="12.75">
      <c r="A42" s="36" t="s">
        <v>690</v>
      </c>
      <c r="B42" s="284">
        <v>26680</v>
      </c>
      <c r="C42" s="284"/>
      <c r="D42" s="692">
        <f t="shared" si="1"/>
        <v>0</v>
      </c>
      <c r="E42" s="284">
        <v>26680</v>
      </c>
      <c r="F42" s="284"/>
      <c r="G42" s="692">
        <f t="shared" si="2"/>
        <v>0</v>
      </c>
      <c r="H42" s="284"/>
      <c r="I42" s="284"/>
      <c r="J42" s="692" t="e">
        <f t="shared" si="6"/>
        <v>#DIV/0!</v>
      </c>
      <c r="K42" s="36" t="s">
        <v>690</v>
      </c>
      <c r="L42" s="284">
        <f t="shared" si="26"/>
        <v>27</v>
      </c>
      <c r="M42" s="284">
        <f t="shared" si="26"/>
        <v>0</v>
      </c>
      <c r="N42" s="692">
        <f t="shared" si="4"/>
        <v>0</v>
      </c>
      <c r="O42" s="284">
        <f t="shared" si="27"/>
        <v>27</v>
      </c>
      <c r="P42" s="284">
        <f t="shared" si="27"/>
        <v>0</v>
      </c>
      <c r="Q42" s="692">
        <f t="shared" si="5"/>
        <v>0</v>
      </c>
      <c r="R42" s="284">
        <f t="shared" si="28"/>
        <v>0</v>
      </c>
      <c r="S42" s="284">
        <f t="shared" si="28"/>
        <v>0</v>
      </c>
      <c r="T42" s="692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</row>
    <row r="43" spans="1:107" s="28" customFormat="1" ht="12.75">
      <c r="A43" s="36" t="s">
        <v>865</v>
      </c>
      <c r="B43" s="284">
        <v>10849457</v>
      </c>
      <c r="C43" s="284">
        <v>761662</v>
      </c>
      <c r="D43" s="692">
        <f t="shared" si="1"/>
        <v>7.020277604676436</v>
      </c>
      <c r="E43" s="284">
        <v>9882457</v>
      </c>
      <c r="F43" s="284"/>
      <c r="G43" s="692">
        <f t="shared" si="2"/>
        <v>0</v>
      </c>
      <c r="H43" s="284">
        <v>67534464</v>
      </c>
      <c r="I43" s="284"/>
      <c r="J43" s="692">
        <f t="shared" si="6"/>
        <v>0</v>
      </c>
      <c r="K43" s="36" t="s">
        <v>865</v>
      </c>
      <c r="L43" s="284">
        <f t="shared" si="26"/>
        <v>10849</v>
      </c>
      <c r="M43" s="284">
        <f t="shared" si="26"/>
        <v>762</v>
      </c>
      <c r="N43" s="692">
        <f t="shared" si="4"/>
        <v>7.023688819246013</v>
      </c>
      <c r="O43" s="284">
        <f t="shared" si="27"/>
        <v>9882</v>
      </c>
      <c r="P43" s="284">
        <f>ROUND(F43/1000,0)</f>
        <v>0</v>
      </c>
      <c r="Q43" s="692">
        <f t="shared" si="5"/>
        <v>0</v>
      </c>
      <c r="R43" s="284">
        <f t="shared" si="28"/>
        <v>67534</v>
      </c>
      <c r="S43" s="284">
        <f t="shared" si="28"/>
        <v>0</v>
      </c>
      <c r="T43" s="692">
        <f t="shared" si="7"/>
        <v>0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</row>
    <row r="44" spans="1:107" s="28" customFormat="1" ht="12.75">
      <c r="A44" s="36" t="s">
        <v>695</v>
      </c>
      <c r="B44" s="284">
        <v>249235</v>
      </c>
      <c r="C44" s="284"/>
      <c r="D44" s="692">
        <f t="shared" si="1"/>
        <v>0</v>
      </c>
      <c r="E44" s="284">
        <v>145838</v>
      </c>
      <c r="F44" s="284"/>
      <c r="G44" s="692">
        <f t="shared" si="2"/>
        <v>0</v>
      </c>
      <c r="H44" s="284"/>
      <c r="I44" s="284"/>
      <c r="J44" s="692" t="e">
        <f t="shared" si="6"/>
        <v>#DIV/0!</v>
      </c>
      <c r="K44" s="36" t="s">
        <v>695</v>
      </c>
      <c r="L44" s="284">
        <f t="shared" si="26"/>
        <v>249</v>
      </c>
      <c r="M44" s="284">
        <f t="shared" si="26"/>
        <v>0</v>
      </c>
      <c r="N44" s="692">
        <f t="shared" si="4"/>
        <v>0</v>
      </c>
      <c r="O44" s="284">
        <f t="shared" si="27"/>
        <v>146</v>
      </c>
      <c r="P44" s="284">
        <f t="shared" si="27"/>
        <v>0</v>
      </c>
      <c r="Q44" s="692">
        <f t="shared" si="5"/>
        <v>0</v>
      </c>
      <c r="R44" s="284">
        <f t="shared" si="28"/>
        <v>0</v>
      </c>
      <c r="S44" s="284">
        <f t="shared" si="28"/>
        <v>0</v>
      </c>
      <c r="T44" s="692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</row>
    <row r="45" spans="1:107" s="28" customFormat="1" ht="12.75">
      <c r="A45" s="36" t="s">
        <v>696</v>
      </c>
      <c r="B45" s="284">
        <v>2848800</v>
      </c>
      <c r="C45" s="284"/>
      <c r="D45" s="692">
        <f t="shared" si="1"/>
        <v>0</v>
      </c>
      <c r="E45" s="284">
        <v>1507500</v>
      </c>
      <c r="F45" s="284"/>
      <c r="G45" s="692">
        <f t="shared" si="2"/>
        <v>0</v>
      </c>
      <c r="H45" s="284">
        <v>4042100</v>
      </c>
      <c r="I45" s="284"/>
      <c r="J45" s="692">
        <f t="shared" si="6"/>
        <v>0</v>
      </c>
      <c r="K45" s="36" t="s">
        <v>696</v>
      </c>
      <c r="L45" s="284">
        <f>ROUND(B45/1000,0)</f>
        <v>2849</v>
      </c>
      <c r="M45" s="284">
        <f>ROUND(C45/1000,0)</f>
        <v>0</v>
      </c>
      <c r="N45" s="692">
        <f>M45/L45*100</f>
        <v>0</v>
      </c>
      <c r="O45" s="284">
        <f>ROUND(E45/1000,0)</f>
        <v>1508</v>
      </c>
      <c r="P45" s="284">
        <f>ROUND(F45/1000,0)</f>
        <v>0</v>
      </c>
      <c r="Q45" s="692">
        <f>P45/O45*100</f>
        <v>0</v>
      </c>
      <c r="R45" s="284">
        <f>ROUND(H45/1000,0)</f>
        <v>4042</v>
      </c>
      <c r="S45" s="284">
        <f>ROUND(I45/1000,0)</f>
        <v>0</v>
      </c>
      <c r="T45" s="692">
        <f>S45/R45*100</f>
        <v>0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</row>
    <row r="46" spans="1:20" ht="12.75">
      <c r="A46" s="31" t="s">
        <v>770</v>
      </c>
      <c r="B46" s="34">
        <f>SUM(B47:B50)</f>
        <v>9583378</v>
      </c>
      <c r="C46" s="34">
        <f>SUM(C47:C50)</f>
        <v>0</v>
      </c>
      <c r="D46" s="691">
        <f t="shared" si="1"/>
        <v>0</v>
      </c>
      <c r="E46" s="34">
        <f>SUM(E47:E50)</f>
        <v>6944857</v>
      </c>
      <c r="F46" s="34">
        <f>SUM(F47:F50)</f>
        <v>0</v>
      </c>
      <c r="G46" s="691">
        <f t="shared" si="2"/>
        <v>0</v>
      </c>
      <c r="H46" s="34">
        <f>SUM(H47:H50)</f>
        <v>22381290</v>
      </c>
      <c r="I46" s="34">
        <f>SUM(I47:I50)</f>
        <v>0</v>
      </c>
      <c r="J46" s="691">
        <f t="shared" si="6"/>
        <v>0</v>
      </c>
      <c r="K46" s="31" t="s">
        <v>770</v>
      </c>
      <c r="L46" s="34">
        <f>SUM(L47:L50)</f>
        <v>9583</v>
      </c>
      <c r="M46" s="34">
        <f>SUM(M47:M50)</f>
        <v>0</v>
      </c>
      <c r="N46" s="691">
        <f t="shared" si="4"/>
        <v>0</v>
      </c>
      <c r="O46" s="34">
        <f>SUM(O47:O50)</f>
        <v>6944</v>
      </c>
      <c r="P46" s="34">
        <f>SUM(P47:P50)</f>
        <v>0</v>
      </c>
      <c r="Q46" s="691">
        <f t="shared" si="5"/>
        <v>0</v>
      </c>
      <c r="R46" s="34">
        <f>SUM(R47:R50)</f>
        <v>22381</v>
      </c>
      <c r="S46" s="34">
        <f>SUM(S47:S50)</f>
        <v>0</v>
      </c>
      <c r="T46" s="691">
        <f t="shared" si="7"/>
        <v>0</v>
      </c>
    </row>
    <row r="47" spans="1:107" s="28" customFormat="1" ht="12.75">
      <c r="A47" s="36" t="s">
        <v>690</v>
      </c>
      <c r="B47" s="284">
        <v>2873860</v>
      </c>
      <c r="C47" s="284"/>
      <c r="D47" s="692">
        <f t="shared" si="1"/>
        <v>0</v>
      </c>
      <c r="E47" s="284">
        <v>1813595</v>
      </c>
      <c r="F47" s="284"/>
      <c r="G47" s="692">
        <f t="shared" si="2"/>
        <v>0</v>
      </c>
      <c r="H47" s="284">
        <v>5623290</v>
      </c>
      <c r="I47" s="284"/>
      <c r="J47" s="692">
        <f t="shared" si="6"/>
        <v>0</v>
      </c>
      <c r="K47" s="36" t="s">
        <v>690</v>
      </c>
      <c r="L47" s="284">
        <f aca="true" t="shared" si="29" ref="L47:M50">ROUND(B47/1000,0)</f>
        <v>2874</v>
      </c>
      <c r="M47" s="284">
        <f t="shared" si="29"/>
        <v>0</v>
      </c>
      <c r="N47" s="692">
        <f t="shared" si="4"/>
        <v>0</v>
      </c>
      <c r="O47" s="284">
        <f>ROUND(E47/1000,0)-1</f>
        <v>1813</v>
      </c>
      <c r="P47" s="284">
        <f aca="true" t="shared" si="30" ref="O47:P50">ROUND(F47/1000,0)</f>
        <v>0</v>
      </c>
      <c r="Q47" s="692">
        <f t="shared" si="5"/>
        <v>0</v>
      </c>
      <c r="R47" s="284">
        <f aca="true" t="shared" si="31" ref="R47:S50">ROUND(H47/1000,0)</f>
        <v>5623</v>
      </c>
      <c r="S47" s="284">
        <f t="shared" si="31"/>
        <v>0</v>
      </c>
      <c r="T47" s="692">
        <f t="shared" si="7"/>
        <v>0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</row>
    <row r="48" spans="1:107" s="28" customFormat="1" ht="12.75">
      <c r="A48" s="36" t="s">
        <v>865</v>
      </c>
      <c r="B48" s="284">
        <v>6674000</v>
      </c>
      <c r="C48" s="284"/>
      <c r="D48" s="692">
        <f t="shared" si="1"/>
        <v>0</v>
      </c>
      <c r="E48" s="284">
        <v>5130000</v>
      </c>
      <c r="F48" s="284"/>
      <c r="G48" s="692">
        <f t="shared" si="2"/>
        <v>0</v>
      </c>
      <c r="H48" s="284">
        <v>16758000</v>
      </c>
      <c r="I48" s="284"/>
      <c r="J48" s="692">
        <f t="shared" si="6"/>
        <v>0</v>
      </c>
      <c r="K48" s="36" t="s">
        <v>865</v>
      </c>
      <c r="L48" s="284">
        <f t="shared" si="29"/>
        <v>6674</v>
      </c>
      <c r="M48" s="284">
        <f t="shared" si="29"/>
        <v>0</v>
      </c>
      <c r="N48" s="692">
        <f t="shared" si="4"/>
        <v>0</v>
      </c>
      <c r="O48" s="284">
        <f t="shared" si="30"/>
        <v>5130</v>
      </c>
      <c r="P48" s="284">
        <f t="shared" si="30"/>
        <v>0</v>
      </c>
      <c r="Q48" s="692">
        <f t="shared" si="5"/>
        <v>0</v>
      </c>
      <c r="R48" s="284">
        <f t="shared" si="31"/>
        <v>16758</v>
      </c>
      <c r="S48" s="284">
        <f t="shared" si="31"/>
        <v>0</v>
      </c>
      <c r="T48" s="692">
        <f t="shared" si="7"/>
        <v>0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</row>
    <row r="49" spans="1:107" s="28" customFormat="1" ht="12.75">
      <c r="A49" s="36" t="s">
        <v>695</v>
      </c>
      <c r="B49" s="284">
        <v>18269</v>
      </c>
      <c r="C49" s="284"/>
      <c r="D49" s="692">
        <f t="shared" si="1"/>
        <v>0</v>
      </c>
      <c r="E49" s="284">
        <v>1262</v>
      </c>
      <c r="F49" s="284"/>
      <c r="G49" s="692">
        <f t="shared" si="2"/>
        <v>0</v>
      </c>
      <c r="H49" s="284"/>
      <c r="I49" s="284"/>
      <c r="J49" s="692" t="e">
        <f t="shared" si="6"/>
        <v>#DIV/0!</v>
      </c>
      <c r="K49" s="36" t="s">
        <v>695</v>
      </c>
      <c r="L49" s="284">
        <f t="shared" si="29"/>
        <v>18</v>
      </c>
      <c r="M49" s="284">
        <f t="shared" si="29"/>
        <v>0</v>
      </c>
      <c r="N49" s="692">
        <f t="shared" si="4"/>
        <v>0</v>
      </c>
      <c r="O49" s="284">
        <f t="shared" si="30"/>
        <v>1</v>
      </c>
      <c r="P49" s="284">
        <f t="shared" si="30"/>
        <v>0</v>
      </c>
      <c r="Q49" s="692">
        <f t="shared" si="5"/>
        <v>0</v>
      </c>
      <c r="R49" s="284">
        <f t="shared" si="31"/>
        <v>0</v>
      </c>
      <c r="S49" s="284">
        <f t="shared" si="31"/>
        <v>0</v>
      </c>
      <c r="T49" s="692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</row>
    <row r="50" spans="1:107" s="28" customFormat="1" ht="12.75">
      <c r="A50" s="36" t="s">
        <v>696</v>
      </c>
      <c r="B50" s="284">
        <v>17249</v>
      </c>
      <c r="C50" s="284"/>
      <c r="D50" s="692">
        <f t="shared" si="1"/>
        <v>0</v>
      </c>
      <c r="E50" s="284"/>
      <c r="F50" s="284"/>
      <c r="G50" s="692" t="e">
        <f t="shared" si="2"/>
        <v>#DIV/0!</v>
      </c>
      <c r="H50" s="284"/>
      <c r="I50" s="284"/>
      <c r="J50" s="692"/>
      <c r="K50" s="36" t="s">
        <v>696</v>
      </c>
      <c r="L50" s="284">
        <f t="shared" si="29"/>
        <v>17</v>
      </c>
      <c r="M50" s="284">
        <f t="shared" si="29"/>
        <v>0</v>
      </c>
      <c r="N50" s="692">
        <f t="shared" si="4"/>
        <v>0</v>
      </c>
      <c r="O50" s="284">
        <f t="shared" si="30"/>
        <v>0</v>
      </c>
      <c r="P50" s="284">
        <f t="shared" si="30"/>
        <v>0</v>
      </c>
      <c r="Q50" s="692"/>
      <c r="R50" s="284">
        <f t="shared" si="31"/>
        <v>0</v>
      </c>
      <c r="S50" s="284">
        <f t="shared" si="31"/>
        <v>0</v>
      </c>
      <c r="T50" s="692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</row>
    <row r="51" spans="1:20" ht="12.75">
      <c r="A51" s="31" t="s">
        <v>771</v>
      </c>
      <c r="B51" s="34">
        <f>SUM(B52:B55)</f>
        <v>2137309</v>
      </c>
      <c r="C51" s="34">
        <f>SUM(C52:C55)</f>
        <v>0</v>
      </c>
      <c r="D51" s="691">
        <f t="shared" si="1"/>
        <v>0</v>
      </c>
      <c r="E51" s="34">
        <f>SUM(E52:E55)</f>
        <v>2105430</v>
      </c>
      <c r="F51" s="34">
        <f>SUM(F52:F55)</f>
        <v>0</v>
      </c>
      <c r="G51" s="691">
        <f t="shared" si="2"/>
        <v>0</v>
      </c>
      <c r="H51" s="34">
        <f>SUM(H52:H55)</f>
        <v>16732560</v>
      </c>
      <c r="I51" s="34">
        <f>SUM(I52:I55)</f>
        <v>0</v>
      </c>
      <c r="J51" s="691">
        <f t="shared" si="6"/>
        <v>0</v>
      </c>
      <c r="K51" s="31" t="s">
        <v>771</v>
      </c>
      <c r="L51" s="34">
        <f>SUM(L52:L55)</f>
        <v>2138</v>
      </c>
      <c r="M51" s="34">
        <f>SUM(M52:M55)</f>
        <v>0</v>
      </c>
      <c r="N51" s="691">
        <f t="shared" si="4"/>
        <v>0</v>
      </c>
      <c r="O51" s="34">
        <f>SUM(O52:O55)</f>
        <v>2105</v>
      </c>
      <c r="P51" s="34">
        <f>SUM(P52:P55)</f>
        <v>0</v>
      </c>
      <c r="Q51" s="691">
        <f t="shared" si="5"/>
        <v>0</v>
      </c>
      <c r="R51" s="34">
        <f>SUM(R52:R55)</f>
        <v>16732</v>
      </c>
      <c r="S51" s="34">
        <f>SUM(S52:S55)</f>
        <v>0</v>
      </c>
      <c r="T51" s="691">
        <f t="shared" si="7"/>
        <v>0</v>
      </c>
    </row>
    <row r="52" spans="1:107" s="28" customFormat="1" ht="12.75">
      <c r="A52" s="36" t="s">
        <v>689</v>
      </c>
      <c r="B52" s="284">
        <v>43888</v>
      </c>
      <c r="C52" s="284"/>
      <c r="D52" s="692">
        <f t="shared" si="1"/>
        <v>0</v>
      </c>
      <c r="E52" s="284">
        <v>40288</v>
      </c>
      <c r="F52" s="284"/>
      <c r="G52" s="692">
        <f t="shared" si="2"/>
        <v>0</v>
      </c>
      <c r="H52" s="284">
        <v>37522</v>
      </c>
      <c r="I52" s="284"/>
      <c r="J52" s="692">
        <f t="shared" si="6"/>
        <v>0</v>
      </c>
      <c r="K52" s="36" t="s">
        <v>689</v>
      </c>
      <c r="L52" s="284">
        <f>ROUND(B52/1000,0)</f>
        <v>44</v>
      </c>
      <c r="M52" s="284">
        <f>ROUND(C52/1000,0)</f>
        <v>0</v>
      </c>
      <c r="N52" s="692">
        <f t="shared" si="4"/>
        <v>0</v>
      </c>
      <c r="O52" s="284">
        <f>ROUND(E52/1000,0)</f>
        <v>40</v>
      </c>
      <c r="P52" s="284">
        <f>ROUND(F52/1000,0)</f>
        <v>0</v>
      </c>
      <c r="Q52" s="692">
        <f t="shared" si="5"/>
        <v>0</v>
      </c>
      <c r="R52" s="284">
        <f>ROUND(H52/1000,0)-1</f>
        <v>37</v>
      </c>
      <c r="S52" s="284">
        <f>ROUND(I52/1000,0)</f>
        <v>0</v>
      </c>
      <c r="T52" s="692">
        <f t="shared" si="7"/>
        <v>0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</row>
    <row r="53" spans="1:107" s="28" customFormat="1" ht="12.75">
      <c r="A53" s="36" t="s">
        <v>854</v>
      </c>
      <c r="B53" s="284">
        <v>29487</v>
      </c>
      <c r="C53" s="284"/>
      <c r="D53" s="692">
        <f t="shared" si="1"/>
        <v>0</v>
      </c>
      <c r="E53" s="284">
        <v>28208</v>
      </c>
      <c r="F53" s="284"/>
      <c r="G53" s="692">
        <f t="shared" si="2"/>
        <v>0</v>
      </c>
      <c r="H53" s="284">
        <v>40008</v>
      </c>
      <c r="I53" s="284"/>
      <c r="J53" s="692">
        <f t="shared" si="6"/>
        <v>0</v>
      </c>
      <c r="K53" s="36" t="s">
        <v>854</v>
      </c>
      <c r="L53" s="284">
        <f>ROUND(B53/1000,0)+1</f>
        <v>30</v>
      </c>
      <c r="M53" s="284">
        <f>ROUND(C53/1000,0)</f>
        <v>0</v>
      </c>
      <c r="N53" s="692">
        <f t="shared" si="4"/>
        <v>0</v>
      </c>
      <c r="O53" s="284">
        <f aca="true" t="shared" si="32" ref="O53:P55">ROUND(E53/1000,0)</f>
        <v>28</v>
      </c>
      <c r="P53" s="284">
        <f t="shared" si="32"/>
        <v>0</v>
      </c>
      <c r="Q53" s="692">
        <f t="shared" si="5"/>
        <v>0</v>
      </c>
      <c r="R53" s="284">
        <f aca="true" t="shared" si="33" ref="R53:S55">ROUND(H53/1000,0)</f>
        <v>40</v>
      </c>
      <c r="S53" s="284">
        <f t="shared" si="33"/>
        <v>0</v>
      </c>
      <c r="T53" s="692">
        <f t="shared" si="7"/>
        <v>0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</row>
    <row r="54" spans="1:107" s="28" customFormat="1" ht="12.75">
      <c r="A54" s="36" t="s">
        <v>690</v>
      </c>
      <c r="B54" s="284">
        <v>242510</v>
      </c>
      <c r="C54" s="284"/>
      <c r="D54" s="692">
        <f t="shared" si="1"/>
        <v>0</v>
      </c>
      <c r="E54" s="284">
        <v>242510</v>
      </c>
      <c r="F54" s="284"/>
      <c r="G54" s="692">
        <f t="shared" si="2"/>
        <v>0</v>
      </c>
      <c r="H54" s="284">
        <v>727530</v>
      </c>
      <c r="I54" s="284"/>
      <c r="J54" s="692">
        <f t="shared" si="6"/>
        <v>0</v>
      </c>
      <c r="K54" s="36" t="s">
        <v>690</v>
      </c>
      <c r="L54" s="284">
        <f>ROUND(B54/1000,0)-1</f>
        <v>242</v>
      </c>
      <c r="M54" s="284">
        <f>ROUND(C54/1000,0)</f>
        <v>0</v>
      </c>
      <c r="N54" s="692">
        <f t="shared" si="4"/>
        <v>0</v>
      </c>
      <c r="O54" s="284">
        <f>ROUND(E54/1000,0)-1</f>
        <v>242</v>
      </c>
      <c r="P54" s="284">
        <f t="shared" si="32"/>
        <v>0</v>
      </c>
      <c r="Q54" s="692">
        <f t="shared" si="5"/>
        <v>0</v>
      </c>
      <c r="R54" s="284">
        <f>ROUND(H54/1000,0)-1</f>
        <v>727</v>
      </c>
      <c r="S54" s="284">
        <f t="shared" si="33"/>
        <v>0</v>
      </c>
      <c r="T54" s="692">
        <f t="shared" si="7"/>
        <v>0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</row>
    <row r="55" spans="1:107" s="28" customFormat="1" ht="12.75">
      <c r="A55" s="36" t="s">
        <v>865</v>
      </c>
      <c r="B55" s="284">
        <v>1821424</v>
      </c>
      <c r="C55" s="284"/>
      <c r="D55" s="692">
        <f t="shared" si="1"/>
        <v>0</v>
      </c>
      <c r="E55" s="284">
        <v>1794424</v>
      </c>
      <c r="F55" s="284"/>
      <c r="G55" s="692">
        <f t="shared" si="2"/>
        <v>0</v>
      </c>
      <c r="H55" s="284">
        <v>15927500</v>
      </c>
      <c r="I55" s="284"/>
      <c r="J55" s="692">
        <f t="shared" si="6"/>
        <v>0</v>
      </c>
      <c r="K55" s="36" t="s">
        <v>865</v>
      </c>
      <c r="L55" s="284">
        <f>ROUND(B55/1000,0)+1</f>
        <v>1822</v>
      </c>
      <c r="M55" s="284">
        <f>ROUND(C55/1000,0)</f>
        <v>0</v>
      </c>
      <c r="N55" s="692">
        <f t="shared" si="4"/>
        <v>0</v>
      </c>
      <c r="O55" s="284">
        <f>ROUND(E55/1000,0)+1</f>
        <v>1795</v>
      </c>
      <c r="P55" s="284">
        <f t="shared" si="32"/>
        <v>0</v>
      </c>
      <c r="Q55" s="692">
        <f t="shared" si="5"/>
        <v>0</v>
      </c>
      <c r="R55" s="284">
        <f t="shared" si="33"/>
        <v>15928</v>
      </c>
      <c r="S55" s="284">
        <f t="shared" si="33"/>
        <v>0</v>
      </c>
      <c r="T55" s="692">
        <f t="shared" si="7"/>
        <v>0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</row>
    <row r="56" spans="1:20" ht="12.75">
      <c r="A56" s="31" t="s">
        <v>772</v>
      </c>
      <c r="B56" s="34">
        <f>SUM(B57:B58)</f>
        <v>2770580</v>
      </c>
      <c r="C56" s="34">
        <f aca="true" t="shared" si="34" ref="C56:I56">SUM(C57:C58)</f>
        <v>0</v>
      </c>
      <c r="D56" s="691">
        <f t="shared" si="1"/>
        <v>0</v>
      </c>
      <c r="E56" s="34">
        <f t="shared" si="34"/>
        <v>2475580</v>
      </c>
      <c r="F56" s="34">
        <f t="shared" si="34"/>
        <v>0</v>
      </c>
      <c r="G56" s="691">
        <f t="shared" si="2"/>
        <v>0</v>
      </c>
      <c r="H56" s="34">
        <f t="shared" si="34"/>
        <v>11251580</v>
      </c>
      <c r="I56" s="34">
        <f t="shared" si="34"/>
        <v>0</v>
      </c>
      <c r="J56" s="691">
        <f t="shared" si="6"/>
        <v>0</v>
      </c>
      <c r="K56" s="31" t="s">
        <v>772</v>
      </c>
      <c r="L56" s="34">
        <f aca="true" t="shared" si="35" ref="L56:S56">SUM(L57:L58)</f>
        <v>2771</v>
      </c>
      <c r="M56" s="34">
        <f t="shared" si="35"/>
        <v>0</v>
      </c>
      <c r="N56" s="691">
        <f t="shared" si="4"/>
        <v>0</v>
      </c>
      <c r="O56" s="34">
        <f t="shared" si="35"/>
        <v>2475</v>
      </c>
      <c r="P56" s="34">
        <f t="shared" si="35"/>
        <v>0</v>
      </c>
      <c r="Q56" s="691">
        <f t="shared" si="5"/>
        <v>0</v>
      </c>
      <c r="R56" s="34">
        <f t="shared" si="35"/>
        <v>11252</v>
      </c>
      <c r="S56" s="34">
        <f t="shared" si="35"/>
        <v>0</v>
      </c>
      <c r="T56" s="691">
        <f t="shared" si="7"/>
        <v>0</v>
      </c>
    </row>
    <row r="57" spans="1:107" s="28" customFormat="1" ht="12.75">
      <c r="A57" s="36" t="s">
        <v>690</v>
      </c>
      <c r="B57" s="284">
        <v>75580</v>
      </c>
      <c r="C57" s="284"/>
      <c r="D57" s="692">
        <f t="shared" si="1"/>
        <v>0</v>
      </c>
      <c r="E57" s="284">
        <v>75580</v>
      </c>
      <c r="F57" s="284"/>
      <c r="G57" s="692">
        <f t="shared" si="2"/>
        <v>0</v>
      </c>
      <c r="H57" s="284">
        <v>75580</v>
      </c>
      <c r="I57" s="284"/>
      <c r="J57" s="692">
        <f t="shared" si="6"/>
        <v>0</v>
      </c>
      <c r="K57" s="36" t="s">
        <v>690</v>
      </c>
      <c r="L57" s="284">
        <f>ROUND(B57/1000,0)</f>
        <v>76</v>
      </c>
      <c r="M57" s="284">
        <f>ROUND(C57/1000,0)</f>
        <v>0</v>
      </c>
      <c r="N57" s="692">
        <f t="shared" si="4"/>
        <v>0</v>
      </c>
      <c r="O57" s="284">
        <f>ROUND(E57/1000,0)-1</f>
        <v>75</v>
      </c>
      <c r="P57" s="284">
        <f>ROUND(F57/1000,0)</f>
        <v>0</v>
      </c>
      <c r="Q57" s="692">
        <f t="shared" si="5"/>
        <v>0</v>
      </c>
      <c r="R57" s="284">
        <f>ROUND(H57/1000,0)</f>
        <v>76</v>
      </c>
      <c r="S57" s="284">
        <f>ROUND(I57/1000,0)</f>
        <v>0</v>
      </c>
      <c r="T57" s="692">
        <f t="shared" si="7"/>
        <v>0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</row>
    <row r="58" spans="1:107" s="28" customFormat="1" ht="12.75">
      <c r="A58" s="36" t="s">
        <v>865</v>
      </c>
      <c r="B58" s="284">
        <v>2695000</v>
      </c>
      <c r="C58" s="284"/>
      <c r="D58" s="692">
        <f t="shared" si="1"/>
        <v>0</v>
      </c>
      <c r="E58" s="284">
        <v>2400000</v>
      </c>
      <c r="F58" s="284"/>
      <c r="G58" s="692">
        <f t="shared" si="2"/>
        <v>0</v>
      </c>
      <c r="H58" s="284">
        <v>11176000</v>
      </c>
      <c r="I58" s="284"/>
      <c r="J58" s="692">
        <f t="shared" si="6"/>
        <v>0</v>
      </c>
      <c r="K58" s="36" t="s">
        <v>865</v>
      </c>
      <c r="L58" s="284">
        <f>ROUND(B58/1000,0)</f>
        <v>2695</v>
      </c>
      <c r="M58" s="284">
        <f>ROUND(C58/1000,0)</f>
        <v>0</v>
      </c>
      <c r="N58" s="692">
        <f t="shared" si="4"/>
        <v>0</v>
      </c>
      <c r="O58" s="284">
        <f>ROUND(E58/1000,0)</f>
        <v>2400</v>
      </c>
      <c r="P58" s="284">
        <f>ROUND(F58/1000,0)</f>
        <v>0</v>
      </c>
      <c r="Q58" s="692">
        <f t="shared" si="5"/>
        <v>0</v>
      </c>
      <c r="R58" s="284">
        <f>ROUND(H58/1000,0)</f>
        <v>11176</v>
      </c>
      <c r="S58" s="284">
        <f>ROUND(I58/1000,0)</f>
        <v>0</v>
      </c>
      <c r="T58" s="692">
        <f t="shared" si="7"/>
        <v>0</v>
      </c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</row>
    <row r="59" spans="1:20" ht="12.75">
      <c r="A59" s="31" t="s">
        <v>773</v>
      </c>
      <c r="B59" s="34">
        <f>SUM(B60:B62)</f>
        <v>1855383</v>
      </c>
      <c r="C59" s="34">
        <f aca="true" t="shared" si="36" ref="C59:I59">SUM(C60:C62)</f>
        <v>0</v>
      </c>
      <c r="D59" s="691">
        <f t="shared" si="1"/>
        <v>0</v>
      </c>
      <c r="E59" s="34">
        <f t="shared" si="36"/>
        <v>3176974</v>
      </c>
      <c r="F59" s="34">
        <f t="shared" si="36"/>
        <v>0</v>
      </c>
      <c r="G59" s="691">
        <f t="shared" si="2"/>
        <v>0</v>
      </c>
      <c r="H59" s="34">
        <f t="shared" si="36"/>
        <v>973330</v>
      </c>
      <c r="I59" s="34">
        <f t="shared" si="36"/>
        <v>0</v>
      </c>
      <c r="J59" s="691">
        <f t="shared" si="6"/>
        <v>0</v>
      </c>
      <c r="K59" s="31" t="s">
        <v>773</v>
      </c>
      <c r="L59" s="34">
        <f aca="true" t="shared" si="37" ref="L59:S59">SUM(L60:L62)</f>
        <v>1855</v>
      </c>
      <c r="M59" s="34">
        <f t="shared" si="37"/>
        <v>0</v>
      </c>
      <c r="N59" s="691">
        <f t="shared" si="4"/>
        <v>0</v>
      </c>
      <c r="O59" s="34">
        <f t="shared" si="37"/>
        <v>3177</v>
      </c>
      <c r="P59" s="34">
        <f t="shared" si="37"/>
        <v>0</v>
      </c>
      <c r="Q59" s="691">
        <f t="shared" si="5"/>
        <v>0</v>
      </c>
      <c r="R59" s="34">
        <f t="shared" si="37"/>
        <v>973</v>
      </c>
      <c r="S59" s="34">
        <f t="shared" si="37"/>
        <v>0</v>
      </c>
      <c r="T59" s="691">
        <f t="shared" si="7"/>
        <v>0</v>
      </c>
    </row>
    <row r="60" spans="1:107" s="28" customFormat="1" ht="12.75">
      <c r="A60" s="36" t="s">
        <v>854</v>
      </c>
      <c r="B60" s="284">
        <v>33983</v>
      </c>
      <c r="C60" s="284"/>
      <c r="D60" s="692">
        <f t="shared" si="1"/>
        <v>0</v>
      </c>
      <c r="E60" s="284">
        <v>38774</v>
      </c>
      <c r="F60" s="284"/>
      <c r="G60" s="692">
        <f t="shared" si="2"/>
        <v>0</v>
      </c>
      <c r="H60" s="284">
        <v>72330</v>
      </c>
      <c r="I60" s="284"/>
      <c r="J60" s="692">
        <f t="shared" si="6"/>
        <v>0</v>
      </c>
      <c r="K60" s="36" t="s">
        <v>854</v>
      </c>
      <c r="L60" s="284">
        <f aca="true" t="shared" si="38" ref="L60:M62">ROUND(B60/1000,0)</f>
        <v>34</v>
      </c>
      <c r="M60" s="284">
        <f t="shared" si="38"/>
        <v>0</v>
      </c>
      <c r="N60" s="692">
        <f t="shared" si="4"/>
        <v>0</v>
      </c>
      <c r="O60" s="284">
        <f aca="true" t="shared" si="39" ref="O60:P62">ROUND(E60/1000,0)</f>
        <v>39</v>
      </c>
      <c r="P60" s="284">
        <f t="shared" si="39"/>
        <v>0</v>
      </c>
      <c r="Q60" s="692">
        <f t="shared" si="5"/>
        <v>0</v>
      </c>
      <c r="R60" s="284">
        <f aca="true" t="shared" si="40" ref="R60:S62">ROUND(H60/1000,0)</f>
        <v>72</v>
      </c>
      <c r="S60" s="284">
        <f t="shared" si="40"/>
        <v>0</v>
      </c>
      <c r="T60" s="692">
        <f t="shared" si="7"/>
        <v>0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</row>
    <row r="61" spans="1:107" s="28" customFormat="1" ht="12.75">
      <c r="A61" s="36" t="s">
        <v>690</v>
      </c>
      <c r="B61" s="284">
        <v>514400</v>
      </c>
      <c r="C61" s="284"/>
      <c r="D61" s="692">
        <f t="shared" si="1"/>
        <v>0</v>
      </c>
      <c r="E61" s="284">
        <v>514400</v>
      </c>
      <c r="F61" s="284"/>
      <c r="G61" s="692">
        <f t="shared" si="2"/>
        <v>0</v>
      </c>
      <c r="H61" s="284"/>
      <c r="I61" s="284"/>
      <c r="J61" s="692" t="e">
        <f t="shared" si="6"/>
        <v>#DIV/0!</v>
      </c>
      <c r="K61" s="36" t="s">
        <v>690</v>
      </c>
      <c r="L61" s="284">
        <f t="shared" si="38"/>
        <v>514</v>
      </c>
      <c r="M61" s="284">
        <f t="shared" si="38"/>
        <v>0</v>
      </c>
      <c r="N61" s="692">
        <f t="shared" si="4"/>
        <v>0</v>
      </c>
      <c r="O61" s="284">
        <f t="shared" si="39"/>
        <v>514</v>
      </c>
      <c r="P61" s="284">
        <f t="shared" si="39"/>
        <v>0</v>
      </c>
      <c r="Q61" s="692">
        <f t="shared" si="5"/>
        <v>0</v>
      </c>
      <c r="R61" s="284">
        <f t="shared" si="40"/>
        <v>0</v>
      </c>
      <c r="S61" s="284">
        <f t="shared" si="40"/>
        <v>0</v>
      </c>
      <c r="T61" s="692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</row>
    <row r="62" spans="1:107" s="28" customFormat="1" ht="12.75">
      <c r="A62" s="36" t="s">
        <v>865</v>
      </c>
      <c r="B62" s="284">
        <v>1307000</v>
      </c>
      <c r="C62" s="284"/>
      <c r="D62" s="692">
        <f t="shared" si="1"/>
        <v>0</v>
      </c>
      <c r="E62" s="284">
        <v>2623800</v>
      </c>
      <c r="F62" s="284"/>
      <c r="G62" s="692">
        <f t="shared" si="2"/>
        <v>0</v>
      </c>
      <c r="H62" s="284">
        <v>901000</v>
      </c>
      <c r="I62" s="284"/>
      <c r="J62" s="692">
        <f t="shared" si="6"/>
        <v>0</v>
      </c>
      <c r="K62" s="36" t="s">
        <v>865</v>
      </c>
      <c r="L62" s="284">
        <f t="shared" si="38"/>
        <v>1307</v>
      </c>
      <c r="M62" s="284">
        <f t="shared" si="38"/>
        <v>0</v>
      </c>
      <c r="N62" s="692">
        <f t="shared" si="4"/>
        <v>0</v>
      </c>
      <c r="O62" s="284">
        <f t="shared" si="39"/>
        <v>2624</v>
      </c>
      <c r="P62" s="284">
        <f t="shared" si="39"/>
        <v>0</v>
      </c>
      <c r="Q62" s="692">
        <f t="shared" si="5"/>
        <v>0</v>
      </c>
      <c r="R62" s="284">
        <f t="shared" si="40"/>
        <v>901</v>
      </c>
      <c r="S62" s="284">
        <f t="shared" si="40"/>
        <v>0</v>
      </c>
      <c r="T62" s="692">
        <f t="shared" si="7"/>
        <v>0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</row>
    <row r="63" spans="1:20" ht="12.75">
      <c r="A63" s="31" t="s">
        <v>774</v>
      </c>
      <c r="B63" s="34">
        <f>SUM(B64:B65)</f>
        <v>2884000</v>
      </c>
      <c r="C63" s="34">
        <f aca="true" t="shared" si="41" ref="C63:H63">SUM(C64:C65)</f>
        <v>975000</v>
      </c>
      <c r="D63" s="691">
        <f t="shared" si="1"/>
        <v>33.80721220527046</v>
      </c>
      <c r="E63" s="34">
        <f t="shared" si="41"/>
        <v>1642000</v>
      </c>
      <c r="F63" s="34">
        <f t="shared" si="41"/>
        <v>872000</v>
      </c>
      <c r="G63" s="691">
        <f t="shared" si="2"/>
        <v>53.10596833130329</v>
      </c>
      <c r="H63" s="34">
        <f t="shared" si="41"/>
        <v>2880000</v>
      </c>
      <c r="I63" s="34">
        <f>SUM(I64:I65)</f>
        <v>1745000</v>
      </c>
      <c r="J63" s="691">
        <f t="shared" si="6"/>
        <v>60.59027777777778</v>
      </c>
      <c r="K63" s="31" t="s">
        <v>774</v>
      </c>
      <c r="L63" s="34">
        <f aca="true" t="shared" si="42" ref="L63:S63">SUM(L64:L65)</f>
        <v>2884</v>
      </c>
      <c r="M63" s="34">
        <f t="shared" si="42"/>
        <v>975</v>
      </c>
      <c r="N63" s="691">
        <f t="shared" si="4"/>
        <v>33.80721220527046</v>
      </c>
      <c r="O63" s="34">
        <f t="shared" si="42"/>
        <v>1642</v>
      </c>
      <c r="P63" s="34">
        <f t="shared" si="42"/>
        <v>872</v>
      </c>
      <c r="Q63" s="691">
        <f t="shared" si="5"/>
        <v>53.10596833130329</v>
      </c>
      <c r="R63" s="34">
        <f t="shared" si="42"/>
        <v>2880</v>
      </c>
      <c r="S63" s="34">
        <f t="shared" si="42"/>
        <v>1745</v>
      </c>
      <c r="T63" s="691">
        <f t="shared" si="7"/>
        <v>60.59027777777778</v>
      </c>
    </row>
    <row r="64" spans="1:107" s="28" customFormat="1" ht="12.75">
      <c r="A64" s="36" t="s">
        <v>690</v>
      </c>
      <c r="B64" s="284">
        <v>10000</v>
      </c>
      <c r="C64" s="284">
        <v>10000</v>
      </c>
      <c r="D64" s="692">
        <f t="shared" si="1"/>
        <v>100</v>
      </c>
      <c r="E64" s="284">
        <v>10000</v>
      </c>
      <c r="F64" s="284">
        <v>10000</v>
      </c>
      <c r="G64" s="692">
        <f t="shared" si="2"/>
        <v>100</v>
      </c>
      <c r="H64" s="284">
        <v>50000</v>
      </c>
      <c r="I64" s="284">
        <v>50000</v>
      </c>
      <c r="J64" s="692">
        <f t="shared" si="6"/>
        <v>100</v>
      </c>
      <c r="K64" s="36" t="s">
        <v>690</v>
      </c>
      <c r="L64" s="284">
        <f>ROUND(B64/1000,0)</f>
        <v>10</v>
      </c>
      <c r="M64" s="284">
        <f>ROUND(C64/1000,0)</f>
        <v>10</v>
      </c>
      <c r="N64" s="692">
        <f t="shared" si="4"/>
        <v>100</v>
      </c>
      <c r="O64" s="284">
        <f>ROUND(E64/1000,0)</f>
        <v>10</v>
      </c>
      <c r="P64" s="284">
        <f>ROUND(F64/1000,0)</f>
        <v>10</v>
      </c>
      <c r="Q64" s="692">
        <f t="shared" si="5"/>
        <v>100</v>
      </c>
      <c r="R64" s="284">
        <f>ROUND(H64/1000,0)</f>
        <v>50</v>
      </c>
      <c r="S64" s="284">
        <f>ROUND(I64/1000,0)</f>
        <v>50</v>
      </c>
      <c r="T64" s="692">
        <f t="shared" si="7"/>
        <v>100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</row>
    <row r="65" spans="1:107" s="28" customFormat="1" ht="12.75">
      <c r="A65" s="36" t="s">
        <v>865</v>
      </c>
      <c r="B65" s="284">
        <v>2874000</v>
      </c>
      <c r="C65" s="284">
        <f>800000+165000</f>
        <v>965000</v>
      </c>
      <c r="D65" s="692">
        <f t="shared" si="1"/>
        <v>33.57689631176061</v>
      </c>
      <c r="E65" s="284">
        <v>1632000</v>
      </c>
      <c r="F65" s="284">
        <f>800000+62000</f>
        <v>862000</v>
      </c>
      <c r="G65" s="692">
        <f t="shared" si="2"/>
        <v>52.818627450980394</v>
      </c>
      <c r="H65" s="284">
        <v>2830000</v>
      </c>
      <c r="I65" s="284">
        <v>1695000</v>
      </c>
      <c r="J65" s="692">
        <f t="shared" si="6"/>
        <v>59.8939929328622</v>
      </c>
      <c r="K65" s="36" t="s">
        <v>865</v>
      </c>
      <c r="L65" s="284">
        <f>ROUND(B65/1000,0)</f>
        <v>2874</v>
      </c>
      <c r="M65" s="284">
        <f>ROUND(C65/1000,0)</f>
        <v>965</v>
      </c>
      <c r="N65" s="692">
        <f t="shared" si="4"/>
        <v>33.57689631176061</v>
      </c>
      <c r="O65" s="284">
        <f>ROUND(E65/1000,0)</f>
        <v>1632</v>
      </c>
      <c r="P65" s="284">
        <f>ROUND(F65/1000,0)</f>
        <v>862</v>
      </c>
      <c r="Q65" s="692">
        <f t="shared" si="5"/>
        <v>52.818627450980394</v>
      </c>
      <c r="R65" s="284">
        <f>ROUND(H65/1000,0)</f>
        <v>2830</v>
      </c>
      <c r="S65" s="284">
        <f>ROUND(I65/1000,0)</f>
        <v>1695</v>
      </c>
      <c r="T65" s="692">
        <f t="shared" si="7"/>
        <v>59.8939929328622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</row>
    <row r="66" spans="1:20" s="681" customFormat="1" ht="12">
      <c r="A66" s="40" t="s">
        <v>883</v>
      </c>
      <c r="B66" s="34">
        <f>SUM(B67:B68)</f>
        <v>2105510</v>
      </c>
      <c r="C66" s="34">
        <f aca="true" t="shared" si="43" ref="C66:H66">SUM(C67:C68)</f>
        <v>0</v>
      </c>
      <c r="D66" s="691">
        <f t="shared" si="1"/>
        <v>0</v>
      </c>
      <c r="E66" s="34">
        <f t="shared" si="43"/>
        <v>888660</v>
      </c>
      <c r="F66" s="34">
        <f t="shared" si="43"/>
        <v>0</v>
      </c>
      <c r="G66" s="691">
        <f t="shared" si="2"/>
        <v>0</v>
      </c>
      <c r="H66" s="34">
        <f t="shared" si="43"/>
        <v>618660</v>
      </c>
      <c r="I66" s="34">
        <f>SUM(I67:I68)</f>
        <v>0</v>
      </c>
      <c r="J66" s="691">
        <f t="shared" si="6"/>
        <v>0</v>
      </c>
      <c r="K66" s="40" t="s">
        <v>883</v>
      </c>
      <c r="L66" s="34">
        <f aca="true" t="shared" si="44" ref="L66:S66">SUM(L67:L68)</f>
        <v>2105</v>
      </c>
      <c r="M66" s="34">
        <f t="shared" si="44"/>
        <v>0</v>
      </c>
      <c r="N66" s="691">
        <f t="shared" si="4"/>
        <v>0</v>
      </c>
      <c r="O66" s="34">
        <f t="shared" si="44"/>
        <v>889</v>
      </c>
      <c r="P66" s="34">
        <f t="shared" si="44"/>
        <v>0</v>
      </c>
      <c r="Q66" s="691">
        <f t="shared" si="5"/>
        <v>0</v>
      </c>
      <c r="R66" s="34">
        <f t="shared" si="44"/>
        <v>619</v>
      </c>
      <c r="S66" s="34">
        <f t="shared" si="44"/>
        <v>0</v>
      </c>
      <c r="T66" s="691">
        <f t="shared" si="7"/>
        <v>0</v>
      </c>
    </row>
    <row r="67" spans="1:107" s="28" customFormat="1" ht="12.75">
      <c r="A67" s="36" t="s">
        <v>690</v>
      </c>
      <c r="B67" s="284">
        <v>390510</v>
      </c>
      <c r="C67" s="284"/>
      <c r="D67" s="692">
        <f t="shared" si="1"/>
        <v>0</v>
      </c>
      <c r="E67" s="284">
        <v>558660</v>
      </c>
      <c r="F67" s="284"/>
      <c r="G67" s="692">
        <f t="shared" si="2"/>
        <v>0</v>
      </c>
      <c r="H67" s="284">
        <v>558660</v>
      </c>
      <c r="I67" s="284"/>
      <c r="J67" s="692">
        <f t="shared" si="6"/>
        <v>0</v>
      </c>
      <c r="K67" s="36" t="s">
        <v>690</v>
      </c>
      <c r="L67" s="284">
        <f>ROUND(B67/1000,0)-1</f>
        <v>390</v>
      </c>
      <c r="M67" s="284">
        <f>ROUND(C67/1000,0)</f>
        <v>0</v>
      </c>
      <c r="N67" s="692">
        <f t="shared" si="4"/>
        <v>0</v>
      </c>
      <c r="O67" s="284">
        <f>ROUND(E67/1000,0)</f>
        <v>559</v>
      </c>
      <c r="P67" s="284">
        <f>ROUND(F67/1000,0)</f>
        <v>0</v>
      </c>
      <c r="Q67" s="692">
        <f t="shared" si="5"/>
        <v>0</v>
      </c>
      <c r="R67" s="284">
        <f>ROUND(H67/1000,0)</f>
        <v>559</v>
      </c>
      <c r="S67" s="284">
        <f>ROUND(I67/1000,0)</f>
        <v>0</v>
      </c>
      <c r="T67" s="692">
        <f t="shared" si="7"/>
        <v>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</row>
    <row r="68" spans="1:107" s="28" customFormat="1" ht="12.75">
      <c r="A68" s="36" t="s">
        <v>865</v>
      </c>
      <c r="B68" s="284">
        <v>1715000</v>
      </c>
      <c r="C68" s="284"/>
      <c r="D68" s="692">
        <f t="shared" si="1"/>
        <v>0</v>
      </c>
      <c r="E68" s="284">
        <v>330000</v>
      </c>
      <c r="F68" s="284"/>
      <c r="G68" s="692">
        <f t="shared" si="2"/>
        <v>0</v>
      </c>
      <c r="H68" s="284">
        <v>60000</v>
      </c>
      <c r="I68" s="284"/>
      <c r="J68" s="692">
        <f t="shared" si="6"/>
        <v>0</v>
      </c>
      <c r="K68" s="36" t="s">
        <v>865</v>
      </c>
      <c r="L68" s="284">
        <f>ROUND(B68/1000,0)</f>
        <v>1715</v>
      </c>
      <c r="M68" s="284">
        <f>ROUND(C68/1000,0)</f>
        <v>0</v>
      </c>
      <c r="N68" s="692">
        <f t="shared" si="4"/>
        <v>0</v>
      </c>
      <c r="O68" s="284">
        <f>ROUND(E68/1000,0)</f>
        <v>330</v>
      </c>
      <c r="P68" s="284">
        <f>ROUND(F68/1000,0)</f>
        <v>0</v>
      </c>
      <c r="Q68" s="692">
        <f t="shared" si="5"/>
        <v>0</v>
      </c>
      <c r="R68" s="284">
        <f>ROUND(H68/1000,0)</f>
        <v>60</v>
      </c>
      <c r="S68" s="284">
        <f>ROUND(I68/1000,0)</f>
        <v>0</v>
      </c>
      <c r="T68" s="692">
        <f t="shared" si="7"/>
        <v>0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</row>
    <row r="69" spans="1:20" ht="12.75">
      <c r="A69" s="31" t="s">
        <v>697</v>
      </c>
      <c r="B69" s="34">
        <f>SUM(B70:B71)</f>
        <v>429090</v>
      </c>
      <c r="C69" s="34">
        <f aca="true" t="shared" si="45" ref="C69:I69">SUM(C70:C71)</f>
        <v>0</v>
      </c>
      <c r="D69" s="691">
        <f t="shared" si="1"/>
        <v>0</v>
      </c>
      <c r="E69" s="34">
        <f t="shared" si="45"/>
        <v>429090</v>
      </c>
      <c r="F69" s="34">
        <f t="shared" si="45"/>
        <v>0</v>
      </c>
      <c r="G69" s="691">
        <f t="shared" si="2"/>
        <v>0</v>
      </c>
      <c r="H69" s="34">
        <f t="shared" si="45"/>
        <v>1853180</v>
      </c>
      <c r="I69" s="34">
        <f t="shared" si="45"/>
        <v>0</v>
      </c>
      <c r="J69" s="691"/>
      <c r="K69" s="31" t="s">
        <v>697</v>
      </c>
      <c r="L69" s="34">
        <f aca="true" t="shared" si="46" ref="L69:S69">SUM(L70:L71)</f>
        <v>429</v>
      </c>
      <c r="M69" s="34">
        <f t="shared" si="46"/>
        <v>0</v>
      </c>
      <c r="N69" s="691">
        <f t="shared" si="4"/>
        <v>0</v>
      </c>
      <c r="O69" s="34">
        <f t="shared" si="46"/>
        <v>429</v>
      </c>
      <c r="P69" s="34">
        <f t="shared" si="46"/>
        <v>0</v>
      </c>
      <c r="Q69" s="691">
        <f t="shared" si="5"/>
        <v>0</v>
      </c>
      <c r="R69" s="34">
        <f t="shared" si="46"/>
        <v>1853</v>
      </c>
      <c r="S69" s="34">
        <f t="shared" si="46"/>
        <v>0</v>
      </c>
      <c r="T69" s="691">
        <f t="shared" si="7"/>
        <v>0</v>
      </c>
    </row>
    <row r="70" spans="1:107" s="28" customFormat="1" ht="12.75">
      <c r="A70" s="36" t="s">
        <v>690</v>
      </c>
      <c r="B70" s="284">
        <v>61090</v>
      </c>
      <c r="C70" s="284"/>
      <c r="D70" s="692">
        <f t="shared" si="1"/>
        <v>0</v>
      </c>
      <c r="E70" s="284">
        <v>61090</v>
      </c>
      <c r="F70" s="284"/>
      <c r="G70" s="692">
        <f t="shared" si="2"/>
        <v>0</v>
      </c>
      <c r="H70" s="284">
        <v>242180</v>
      </c>
      <c r="I70" s="284"/>
      <c r="J70" s="692"/>
      <c r="K70" s="36" t="s">
        <v>690</v>
      </c>
      <c r="L70" s="284">
        <f>ROUND(B70/1000,0)</f>
        <v>61</v>
      </c>
      <c r="M70" s="284">
        <f>ROUND(C70/1000,0)</f>
        <v>0</v>
      </c>
      <c r="N70" s="692">
        <f t="shared" si="4"/>
        <v>0</v>
      </c>
      <c r="O70" s="284">
        <f>ROUND(E70/1000,0)</f>
        <v>61</v>
      </c>
      <c r="P70" s="284">
        <f>ROUND(F70/1000,0)</f>
        <v>0</v>
      </c>
      <c r="Q70" s="692">
        <f t="shared" si="5"/>
        <v>0</v>
      </c>
      <c r="R70" s="284">
        <f>ROUND(H70/1000,0)</f>
        <v>242</v>
      </c>
      <c r="S70" s="284">
        <f>ROUND(I70/1000,0)</f>
        <v>0</v>
      </c>
      <c r="T70" s="692">
        <f t="shared" si="7"/>
        <v>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</row>
    <row r="71" spans="1:107" s="28" customFormat="1" ht="12.75">
      <c r="A71" s="36" t="s">
        <v>865</v>
      </c>
      <c r="B71" s="284">
        <v>368000</v>
      </c>
      <c r="C71" s="284"/>
      <c r="D71" s="692">
        <f t="shared" si="1"/>
        <v>0</v>
      </c>
      <c r="E71" s="284">
        <v>368000</v>
      </c>
      <c r="F71" s="284"/>
      <c r="G71" s="692">
        <f t="shared" si="2"/>
        <v>0</v>
      </c>
      <c r="H71" s="284">
        <v>1611000</v>
      </c>
      <c r="I71" s="284"/>
      <c r="J71" s="692"/>
      <c r="K71" s="36" t="s">
        <v>865</v>
      </c>
      <c r="L71" s="284">
        <f>ROUND(B71/1000,0)</f>
        <v>368</v>
      </c>
      <c r="M71" s="284">
        <f>ROUND(C71/1000,0)</f>
        <v>0</v>
      </c>
      <c r="N71" s="692">
        <f t="shared" si="4"/>
        <v>0</v>
      </c>
      <c r="O71" s="284">
        <f>ROUND(E71/1000,0)</f>
        <v>368</v>
      </c>
      <c r="P71" s="284">
        <f>ROUND(F71/1000,0)</f>
        <v>0</v>
      </c>
      <c r="Q71" s="692">
        <f t="shared" si="5"/>
        <v>0</v>
      </c>
      <c r="R71" s="284">
        <f>ROUND(H71/1000,0)</f>
        <v>1611</v>
      </c>
      <c r="S71" s="284">
        <f>ROUND(I71/1000,0)</f>
        <v>0</v>
      </c>
      <c r="T71" s="692">
        <f t="shared" si="7"/>
        <v>0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</row>
    <row r="72" spans="1:20" ht="12.75">
      <c r="A72" s="31" t="s">
        <v>884</v>
      </c>
      <c r="B72" s="34">
        <f>SUM(B73:B76)</f>
        <v>174585</v>
      </c>
      <c r="C72" s="34">
        <f>SUM(C73:C76)</f>
        <v>0</v>
      </c>
      <c r="D72" s="691">
        <f t="shared" si="1"/>
        <v>0</v>
      </c>
      <c r="E72" s="34">
        <f>SUM(E73:E76)</f>
        <v>159876</v>
      </c>
      <c r="F72" s="34">
        <f>SUM(F73:F76)</f>
        <v>0</v>
      </c>
      <c r="G72" s="691">
        <f t="shared" si="2"/>
        <v>0</v>
      </c>
      <c r="H72" s="34">
        <f>SUM(H73:H76)</f>
        <v>1268784</v>
      </c>
      <c r="I72" s="34">
        <f>SUM(I73:I76)</f>
        <v>0</v>
      </c>
      <c r="J72" s="691">
        <f t="shared" si="6"/>
        <v>0</v>
      </c>
      <c r="K72" s="31" t="s">
        <v>884</v>
      </c>
      <c r="L72" s="34">
        <f>SUM(L73:L76)</f>
        <v>174</v>
      </c>
      <c r="M72" s="34">
        <f>SUM(M73:M76)</f>
        <v>0</v>
      </c>
      <c r="N72" s="691">
        <f t="shared" si="4"/>
        <v>0</v>
      </c>
      <c r="O72" s="34">
        <f>SUM(O73:O76)</f>
        <v>159</v>
      </c>
      <c r="P72" s="34">
        <f>SUM(P73:P76)</f>
        <v>0</v>
      </c>
      <c r="Q72" s="691">
        <f t="shared" si="5"/>
        <v>0</v>
      </c>
      <c r="R72" s="34">
        <f>SUM(R73:R76)</f>
        <v>1269</v>
      </c>
      <c r="S72" s="34">
        <f>SUM(S73:S76)</f>
        <v>0</v>
      </c>
      <c r="T72" s="691">
        <f t="shared" si="7"/>
        <v>0</v>
      </c>
    </row>
    <row r="73" spans="1:107" s="28" customFormat="1" ht="12.75">
      <c r="A73" s="36" t="s">
        <v>689</v>
      </c>
      <c r="B73" s="284">
        <v>103272</v>
      </c>
      <c r="C73" s="284"/>
      <c r="D73" s="692">
        <f t="shared" si="1"/>
        <v>0</v>
      </c>
      <c r="E73" s="284">
        <v>103272</v>
      </c>
      <c r="F73" s="284"/>
      <c r="G73" s="692">
        <f t="shared" si="2"/>
        <v>0</v>
      </c>
      <c r="H73" s="284">
        <v>820548</v>
      </c>
      <c r="I73" s="284"/>
      <c r="J73" s="692">
        <f t="shared" si="6"/>
        <v>0</v>
      </c>
      <c r="K73" s="36" t="s">
        <v>689</v>
      </c>
      <c r="L73" s="284">
        <f>ROUND(B73/1000,0)</f>
        <v>103</v>
      </c>
      <c r="M73" s="284">
        <f>ROUND(C73/1000,0)</f>
        <v>0</v>
      </c>
      <c r="N73" s="692">
        <f>M73/L73*100</f>
        <v>0</v>
      </c>
      <c r="O73" s="284">
        <f>ROUND(E73/1000,0)</f>
        <v>103</v>
      </c>
      <c r="P73" s="284">
        <f>ROUND(F73/1000,0)</f>
        <v>0</v>
      </c>
      <c r="Q73" s="692">
        <f>P73/O73*100</f>
        <v>0</v>
      </c>
      <c r="R73" s="284">
        <f>ROUND(H73/1000,0)</f>
        <v>821</v>
      </c>
      <c r="S73" s="284">
        <f>ROUND(I73/1000,0)</f>
        <v>0</v>
      </c>
      <c r="T73" s="692">
        <f>S73/R73*100</f>
        <v>0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</row>
    <row r="74" spans="1:107" s="28" customFormat="1" ht="12.75">
      <c r="A74" s="36" t="s">
        <v>854</v>
      </c>
      <c r="B74" s="284">
        <v>58103</v>
      </c>
      <c r="C74" s="284"/>
      <c r="D74" s="692">
        <f t="shared" si="1"/>
        <v>0</v>
      </c>
      <c r="E74" s="284">
        <v>54394</v>
      </c>
      <c r="F74" s="284"/>
      <c r="G74" s="692">
        <f t="shared" si="2"/>
        <v>0</v>
      </c>
      <c r="H74" s="284">
        <v>437186</v>
      </c>
      <c r="I74" s="284"/>
      <c r="J74" s="692">
        <f t="shared" si="6"/>
        <v>0</v>
      </c>
      <c r="K74" s="36" t="s">
        <v>854</v>
      </c>
      <c r="L74" s="284">
        <f>ROUND(B74/1000,0)</f>
        <v>58</v>
      </c>
      <c r="M74" s="284">
        <f aca="true" t="shared" si="47" ref="M74:S76">ROUND(C74/1000,0)</f>
        <v>0</v>
      </c>
      <c r="N74" s="692">
        <f t="shared" si="4"/>
        <v>0</v>
      </c>
      <c r="O74" s="284">
        <f>ROUND(E74/1000,0)</f>
        <v>54</v>
      </c>
      <c r="P74" s="284">
        <f t="shared" si="47"/>
        <v>0</v>
      </c>
      <c r="Q74" s="692">
        <f t="shared" si="5"/>
        <v>0</v>
      </c>
      <c r="R74" s="284">
        <f t="shared" si="47"/>
        <v>437</v>
      </c>
      <c r="S74" s="284">
        <f t="shared" si="47"/>
        <v>0</v>
      </c>
      <c r="T74" s="692">
        <f t="shared" si="7"/>
        <v>0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</row>
    <row r="75" spans="1:107" s="28" customFormat="1" ht="12.75">
      <c r="A75" s="36" t="s">
        <v>690</v>
      </c>
      <c r="B75" s="284">
        <v>2210</v>
      </c>
      <c r="C75" s="284"/>
      <c r="D75" s="692">
        <f t="shared" si="1"/>
        <v>0</v>
      </c>
      <c r="E75" s="284">
        <v>2210</v>
      </c>
      <c r="F75" s="284"/>
      <c r="G75" s="692">
        <f t="shared" si="2"/>
        <v>0</v>
      </c>
      <c r="H75" s="284">
        <v>11050</v>
      </c>
      <c r="I75" s="284"/>
      <c r="J75" s="692">
        <f t="shared" si="6"/>
        <v>0</v>
      </c>
      <c r="K75" s="36" t="s">
        <v>690</v>
      </c>
      <c r="L75" s="284">
        <f>ROUND(B75/1000,0)</f>
        <v>2</v>
      </c>
      <c r="M75" s="284">
        <f t="shared" si="47"/>
        <v>0</v>
      </c>
      <c r="N75" s="692">
        <f t="shared" si="4"/>
        <v>0</v>
      </c>
      <c r="O75" s="284">
        <f t="shared" si="47"/>
        <v>2</v>
      </c>
      <c r="P75" s="284">
        <f t="shared" si="47"/>
        <v>0</v>
      </c>
      <c r="Q75" s="692">
        <f t="shared" si="5"/>
        <v>0</v>
      </c>
      <c r="R75" s="284">
        <f t="shared" si="47"/>
        <v>11</v>
      </c>
      <c r="S75" s="284">
        <f t="shared" si="47"/>
        <v>0</v>
      </c>
      <c r="T75" s="692">
        <f t="shared" si="7"/>
        <v>0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</row>
    <row r="76" spans="1:107" s="28" customFormat="1" ht="12.75">
      <c r="A76" s="36" t="s">
        <v>865</v>
      </c>
      <c r="B76" s="284">
        <v>11000</v>
      </c>
      <c r="C76" s="284"/>
      <c r="D76" s="692">
        <f aca="true" t="shared" si="48" ref="D76:D86">C76/B76*100</f>
        <v>0</v>
      </c>
      <c r="E76" s="284"/>
      <c r="F76" s="284"/>
      <c r="G76" s="692"/>
      <c r="H76" s="284"/>
      <c r="I76" s="284"/>
      <c r="J76" s="692"/>
      <c r="K76" s="36" t="s">
        <v>865</v>
      </c>
      <c r="L76" s="284">
        <f>ROUND(B76/1000,0)</f>
        <v>11</v>
      </c>
      <c r="M76" s="284">
        <f t="shared" si="47"/>
        <v>0</v>
      </c>
      <c r="N76" s="692">
        <f aca="true" t="shared" si="49" ref="N76:N86">M76/L76*100</f>
        <v>0</v>
      </c>
      <c r="O76" s="284">
        <f t="shared" si="47"/>
        <v>0</v>
      </c>
      <c r="P76" s="284">
        <f t="shared" si="47"/>
        <v>0</v>
      </c>
      <c r="Q76" s="692"/>
      <c r="R76" s="284">
        <f t="shared" si="47"/>
        <v>0</v>
      </c>
      <c r="S76" s="284">
        <f t="shared" si="47"/>
        <v>0</v>
      </c>
      <c r="T76" s="692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</row>
    <row r="77" spans="1:20" ht="12.75">
      <c r="A77" s="31" t="s">
        <v>778</v>
      </c>
      <c r="B77" s="34">
        <f>SUM(B78)</f>
        <v>500</v>
      </c>
      <c r="C77" s="34">
        <f aca="true" t="shared" si="50" ref="C77:I77">SUM(C78)</f>
        <v>0</v>
      </c>
      <c r="D77" s="691">
        <f t="shared" si="48"/>
        <v>0</v>
      </c>
      <c r="E77" s="34">
        <f t="shared" si="50"/>
        <v>500</v>
      </c>
      <c r="F77" s="34">
        <f t="shared" si="50"/>
        <v>0</v>
      </c>
      <c r="G77" s="691">
        <f aca="true" t="shared" si="51" ref="G77:G86">F77/E77*100</f>
        <v>0</v>
      </c>
      <c r="H77" s="34">
        <f t="shared" si="50"/>
        <v>1000</v>
      </c>
      <c r="I77" s="34">
        <f t="shared" si="50"/>
        <v>0</v>
      </c>
      <c r="J77" s="691">
        <f aca="true" t="shared" si="52" ref="J77:J86">I77/H77*100</f>
        <v>0</v>
      </c>
      <c r="K77" s="31" t="s">
        <v>778</v>
      </c>
      <c r="L77" s="34">
        <f aca="true" t="shared" si="53" ref="L77:S77">SUM(L78)</f>
        <v>1</v>
      </c>
      <c r="M77" s="34">
        <f t="shared" si="53"/>
        <v>0</v>
      </c>
      <c r="N77" s="691">
        <f t="shared" si="49"/>
        <v>0</v>
      </c>
      <c r="O77" s="34">
        <f t="shared" si="53"/>
        <v>1</v>
      </c>
      <c r="P77" s="34">
        <f t="shared" si="53"/>
        <v>0</v>
      </c>
      <c r="Q77" s="691">
        <f aca="true" t="shared" si="54" ref="Q77:Q86">P77/O77*100</f>
        <v>0</v>
      </c>
      <c r="R77" s="34">
        <f t="shared" si="53"/>
        <v>1</v>
      </c>
      <c r="S77" s="34">
        <f t="shared" si="53"/>
        <v>0</v>
      </c>
      <c r="T77" s="691">
        <f aca="true" t="shared" si="55" ref="T77:T84">S77/R77*100</f>
        <v>0</v>
      </c>
    </row>
    <row r="78" spans="1:107" s="28" customFormat="1" ht="12.75">
      <c r="A78" s="36" t="s">
        <v>690</v>
      </c>
      <c r="B78" s="284">
        <v>500</v>
      </c>
      <c r="C78" s="284"/>
      <c r="D78" s="692">
        <f t="shared" si="48"/>
        <v>0</v>
      </c>
      <c r="E78" s="284">
        <v>500</v>
      </c>
      <c r="F78" s="284"/>
      <c r="G78" s="692">
        <f t="shared" si="51"/>
        <v>0</v>
      </c>
      <c r="H78" s="284">
        <v>1000</v>
      </c>
      <c r="I78" s="284"/>
      <c r="J78" s="692">
        <f t="shared" si="52"/>
        <v>0</v>
      </c>
      <c r="K78" s="36" t="s">
        <v>690</v>
      </c>
      <c r="L78" s="284">
        <f aca="true" t="shared" si="56" ref="L78:S78">ROUND(B78/1000,0)</f>
        <v>1</v>
      </c>
      <c r="M78" s="284">
        <f t="shared" si="56"/>
        <v>0</v>
      </c>
      <c r="N78" s="692">
        <f t="shared" si="49"/>
        <v>0</v>
      </c>
      <c r="O78" s="284">
        <f t="shared" si="56"/>
        <v>1</v>
      </c>
      <c r="P78" s="284">
        <f t="shared" si="56"/>
        <v>0</v>
      </c>
      <c r="Q78" s="692">
        <f t="shared" si="54"/>
        <v>0</v>
      </c>
      <c r="R78" s="284">
        <f t="shared" si="56"/>
        <v>1</v>
      </c>
      <c r="S78" s="284">
        <f t="shared" si="56"/>
        <v>0</v>
      </c>
      <c r="T78" s="692">
        <f t="shared" si="55"/>
        <v>0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</row>
    <row r="79" spans="1:20" ht="12.75">
      <c r="A79" s="31" t="s">
        <v>888</v>
      </c>
      <c r="B79" s="34">
        <f>SUM(B80)</f>
        <v>600</v>
      </c>
      <c r="C79" s="34">
        <f>SUM(C80)</f>
        <v>0</v>
      </c>
      <c r="D79" s="691">
        <f t="shared" si="48"/>
        <v>0</v>
      </c>
      <c r="E79" s="34">
        <f>SUM(E80)</f>
        <v>600</v>
      </c>
      <c r="F79" s="34">
        <f>SUM(F80)</f>
        <v>0</v>
      </c>
      <c r="G79" s="691">
        <f t="shared" si="51"/>
        <v>0</v>
      </c>
      <c r="H79" s="34">
        <f>SUM(H80)</f>
        <v>0</v>
      </c>
      <c r="I79" s="34">
        <f>SUM(I80)</f>
        <v>0</v>
      </c>
      <c r="J79" s="692" t="e">
        <f t="shared" si="52"/>
        <v>#DIV/0!</v>
      </c>
      <c r="K79" s="31" t="s">
        <v>888</v>
      </c>
      <c r="L79" s="34">
        <f>SUM(L80)</f>
        <v>1</v>
      </c>
      <c r="M79" s="34">
        <f>SUM(M80)</f>
        <v>0</v>
      </c>
      <c r="N79" s="691">
        <f t="shared" si="49"/>
        <v>0</v>
      </c>
      <c r="O79" s="34">
        <f>SUM(O80)</f>
        <v>1</v>
      </c>
      <c r="P79" s="34">
        <f>SUM(P80)</f>
        <v>0</v>
      </c>
      <c r="Q79" s="691">
        <f t="shared" si="54"/>
        <v>0</v>
      </c>
      <c r="R79" s="34">
        <f>SUM(R80)</f>
        <v>0</v>
      </c>
      <c r="S79" s="34">
        <f>SUM(S80)</f>
        <v>0</v>
      </c>
      <c r="T79" s="691"/>
    </row>
    <row r="80" spans="1:107" s="28" customFormat="1" ht="12.75">
      <c r="A80" s="36" t="s">
        <v>690</v>
      </c>
      <c r="B80" s="284">
        <v>600</v>
      </c>
      <c r="C80" s="284"/>
      <c r="D80" s="692">
        <f t="shared" si="48"/>
        <v>0</v>
      </c>
      <c r="E80" s="284">
        <v>600</v>
      </c>
      <c r="F80" s="284"/>
      <c r="G80" s="692">
        <f t="shared" si="51"/>
        <v>0</v>
      </c>
      <c r="H80" s="284"/>
      <c r="I80" s="284"/>
      <c r="J80" s="692" t="e">
        <f t="shared" si="52"/>
        <v>#DIV/0!</v>
      </c>
      <c r="K80" s="36" t="s">
        <v>690</v>
      </c>
      <c r="L80" s="284">
        <f>ROUND(B80/1000,0)</f>
        <v>1</v>
      </c>
      <c r="M80" s="284">
        <f>ROUND(C80/1000,0)</f>
        <v>0</v>
      </c>
      <c r="N80" s="692">
        <f t="shared" si="49"/>
        <v>0</v>
      </c>
      <c r="O80" s="284">
        <f>ROUND(E80/1000,0)</f>
        <v>1</v>
      </c>
      <c r="P80" s="284">
        <f>ROUND(F80/1000,0)</f>
        <v>0</v>
      </c>
      <c r="Q80" s="692">
        <f t="shared" si="54"/>
        <v>0</v>
      </c>
      <c r="R80" s="284">
        <f>ROUND(H80/1000,0)</f>
        <v>0</v>
      </c>
      <c r="S80" s="284">
        <f>ROUND(I80/1000,0)</f>
        <v>0</v>
      </c>
      <c r="T80" s="692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</row>
    <row r="81" spans="1:20" ht="12.75">
      <c r="A81" s="31" t="s">
        <v>890</v>
      </c>
      <c r="B81" s="34">
        <f>B82</f>
        <v>143476</v>
      </c>
      <c r="C81" s="34">
        <f aca="true" t="shared" si="57" ref="C81:I81">C82</f>
        <v>0</v>
      </c>
      <c r="D81" s="691">
        <f t="shared" si="48"/>
        <v>0</v>
      </c>
      <c r="E81" s="34">
        <f t="shared" si="57"/>
        <v>190356</v>
      </c>
      <c r="F81" s="34">
        <f t="shared" si="57"/>
        <v>0</v>
      </c>
      <c r="G81" s="691">
        <f t="shared" si="51"/>
        <v>0</v>
      </c>
      <c r="H81" s="34">
        <f t="shared" si="57"/>
        <v>190356</v>
      </c>
      <c r="I81" s="34">
        <f t="shared" si="57"/>
        <v>0</v>
      </c>
      <c r="J81" s="692">
        <f t="shared" si="52"/>
        <v>0</v>
      </c>
      <c r="K81" s="31" t="s">
        <v>890</v>
      </c>
      <c r="L81" s="34">
        <f>L82</f>
        <v>144</v>
      </c>
      <c r="M81" s="34">
        <f>M82</f>
        <v>0</v>
      </c>
      <c r="N81" s="691">
        <f t="shared" si="49"/>
        <v>0</v>
      </c>
      <c r="O81" s="34">
        <f>O82</f>
        <v>190</v>
      </c>
      <c r="P81" s="34">
        <f>P82</f>
        <v>0</v>
      </c>
      <c r="Q81" s="691">
        <f t="shared" si="54"/>
        <v>0</v>
      </c>
      <c r="R81" s="34">
        <f>R82</f>
        <v>190</v>
      </c>
      <c r="S81" s="34">
        <f>S82</f>
        <v>0</v>
      </c>
      <c r="T81" s="691">
        <f t="shared" si="55"/>
        <v>0</v>
      </c>
    </row>
    <row r="82" spans="1:107" s="28" customFormat="1" ht="12.75">
      <c r="A82" s="36" t="s">
        <v>696</v>
      </c>
      <c r="B82" s="284">
        <v>143476</v>
      </c>
      <c r="C82" s="284"/>
      <c r="D82" s="692">
        <f t="shared" si="48"/>
        <v>0</v>
      </c>
      <c r="E82" s="284">
        <v>190356</v>
      </c>
      <c r="F82" s="284"/>
      <c r="G82" s="692">
        <f t="shared" si="51"/>
        <v>0</v>
      </c>
      <c r="H82" s="284">
        <v>190356</v>
      </c>
      <c r="I82" s="284"/>
      <c r="J82" s="692">
        <f t="shared" si="52"/>
        <v>0</v>
      </c>
      <c r="K82" s="36" t="s">
        <v>696</v>
      </c>
      <c r="L82" s="284">
        <f>ROUND(B82/1000,0)+1</f>
        <v>144</v>
      </c>
      <c r="M82" s="284">
        <f>ROUND(C82/1000,0)</f>
        <v>0</v>
      </c>
      <c r="N82" s="692">
        <f t="shared" si="49"/>
        <v>0</v>
      </c>
      <c r="O82" s="284">
        <f aca="true" t="shared" si="58" ref="O82:P84">ROUND(E82/1000,0)</f>
        <v>190</v>
      </c>
      <c r="P82" s="284">
        <f t="shared" si="58"/>
        <v>0</v>
      </c>
      <c r="Q82" s="692">
        <f t="shared" si="54"/>
        <v>0</v>
      </c>
      <c r="R82" s="284">
        <f aca="true" t="shared" si="59" ref="R82:S84">ROUND(H82/1000,0)</f>
        <v>190</v>
      </c>
      <c r="S82" s="284">
        <f t="shared" si="59"/>
        <v>0</v>
      </c>
      <c r="T82" s="692">
        <f t="shared" si="55"/>
        <v>0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</row>
    <row r="83" spans="1:20" ht="12.75">
      <c r="A83" s="31" t="s">
        <v>891</v>
      </c>
      <c r="B83" s="34">
        <f>SUM(B84)</f>
        <v>216000</v>
      </c>
      <c r="C83" s="34">
        <f aca="true" t="shared" si="60" ref="C83:I83">SUM(C84)</f>
        <v>0</v>
      </c>
      <c r="D83" s="691">
        <f t="shared" si="48"/>
        <v>0</v>
      </c>
      <c r="E83" s="34">
        <f t="shared" si="60"/>
        <v>200000</v>
      </c>
      <c r="F83" s="34">
        <f t="shared" si="60"/>
        <v>0</v>
      </c>
      <c r="G83" s="691">
        <f t="shared" si="51"/>
        <v>0</v>
      </c>
      <c r="H83" s="34">
        <f t="shared" si="60"/>
        <v>400000</v>
      </c>
      <c r="I83" s="34">
        <f t="shared" si="60"/>
        <v>0</v>
      </c>
      <c r="J83" s="692">
        <f t="shared" si="52"/>
        <v>0</v>
      </c>
      <c r="K83" s="31" t="s">
        <v>891</v>
      </c>
      <c r="L83" s="34">
        <f>SUM(L84)</f>
        <v>216</v>
      </c>
      <c r="M83" s="34">
        <f>ROUND(C83/1000,0)</f>
        <v>0</v>
      </c>
      <c r="N83" s="691">
        <f t="shared" si="49"/>
        <v>0</v>
      </c>
      <c r="O83" s="34">
        <f t="shared" si="58"/>
        <v>200</v>
      </c>
      <c r="P83" s="34">
        <f t="shared" si="58"/>
        <v>0</v>
      </c>
      <c r="Q83" s="691">
        <f t="shared" si="54"/>
        <v>0</v>
      </c>
      <c r="R83" s="34">
        <f t="shared" si="59"/>
        <v>400</v>
      </c>
      <c r="S83" s="34">
        <f t="shared" si="59"/>
        <v>0</v>
      </c>
      <c r="T83" s="691">
        <f t="shared" si="55"/>
        <v>0</v>
      </c>
    </row>
    <row r="84" spans="1:107" s="28" customFormat="1" ht="12.75">
      <c r="A84" s="36" t="s">
        <v>865</v>
      </c>
      <c r="B84" s="284">
        <v>216000</v>
      </c>
      <c r="C84" s="284"/>
      <c r="D84" s="692">
        <f t="shared" si="48"/>
        <v>0</v>
      </c>
      <c r="E84" s="284">
        <v>200000</v>
      </c>
      <c r="F84" s="284"/>
      <c r="G84" s="692">
        <f t="shared" si="51"/>
        <v>0</v>
      </c>
      <c r="H84" s="284">
        <v>400000</v>
      </c>
      <c r="I84" s="284"/>
      <c r="J84" s="692">
        <f t="shared" si="52"/>
        <v>0</v>
      </c>
      <c r="K84" s="36" t="s">
        <v>865</v>
      </c>
      <c r="L84" s="284">
        <f>ROUND(B84/1000,0)</f>
        <v>216</v>
      </c>
      <c r="M84" s="284">
        <f>ROUND(C84/1000,0)</f>
        <v>0</v>
      </c>
      <c r="N84" s="692">
        <f t="shared" si="49"/>
        <v>0</v>
      </c>
      <c r="O84" s="284">
        <f t="shared" si="58"/>
        <v>200</v>
      </c>
      <c r="P84" s="284">
        <f t="shared" si="58"/>
        <v>0</v>
      </c>
      <c r="Q84" s="692">
        <f t="shared" si="54"/>
        <v>0</v>
      </c>
      <c r="R84" s="284">
        <f t="shared" si="59"/>
        <v>400</v>
      </c>
      <c r="S84" s="284">
        <f t="shared" si="59"/>
        <v>0</v>
      </c>
      <c r="T84" s="692">
        <f t="shared" si="55"/>
        <v>0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</row>
    <row r="85" spans="1:20" ht="24">
      <c r="A85" s="31" t="s">
        <v>698</v>
      </c>
      <c r="B85" s="34">
        <f>B86</f>
        <v>540000</v>
      </c>
      <c r="C85" s="34">
        <f aca="true" t="shared" si="61" ref="C85:I85">C86</f>
        <v>0</v>
      </c>
      <c r="D85" s="691">
        <f t="shared" si="48"/>
        <v>0</v>
      </c>
      <c r="E85" s="34">
        <f t="shared" si="61"/>
        <v>110000</v>
      </c>
      <c r="F85" s="34">
        <f t="shared" si="61"/>
        <v>0</v>
      </c>
      <c r="G85" s="691">
        <f t="shared" si="51"/>
        <v>0</v>
      </c>
      <c r="H85" s="34">
        <f t="shared" si="61"/>
        <v>0</v>
      </c>
      <c r="I85" s="34">
        <f t="shared" si="61"/>
        <v>0</v>
      </c>
      <c r="J85" s="692" t="e">
        <f t="shared" si="52"/>
        <v>#DIV/0!</v>
      </c>
      <c r="K85" s="40" t="s">
        <v>698</v>
      </c>
      <c r="L85" s="34">
        <f>L86</f>
        <v>540</v>
      </c>
      <c r="M85" s="34">
        <f aca="true" t="shared" si="62" ref="M85:S85">M86</f>
        <v>0</v>
      </c>
      <c r="N85" s="691">
        <f t="shared" si="49"/>
        <v>0</v>
      </c>
      <c r="O85" s="34">
        <f t="shared" si="62"/>
        <v>110</v>
      </c>
      <c r="P85" s="34">
        <f t="shared" si="62"/>
        <v>0</v>
      </c>
      <c r="Q85" s="691">
        <f t="shared" si="54"/>
        <v>0</v>
      </c>
      <c r="R85" s="34">
        <f t="shared" si="62"/>
        <v>0</v>
      </c>
      <c r="S85" s="34">
        <f t="shared" si="62"/>
        <v>0</v>
      </c>
      <c r="T85" s="691"/>
    </row>
    <row r="86" spans="1:107" s="28" customFormat="1" ht="12.75">
      <c r="A86" s="36" t="s">
        <v>865</v>
      </c>
      <c r="B86" s="284">
        <v>540000</v>
      </c>
      <c r="C86" s="284"/>
      <c r="D86" s="692">
        <f t="shared" si="48"/>
        <v>0</v>
      </c>
      <c r="E86" s="284">
        <v>110000</v>
      </c>
      <c r="F86" s="284"/>
      <c r="G86" s="692">
        <f t="shared" si="51"/>
        <v>0</v>
      </c>
      <c r="H86" s="284"/>
      <c r="I86" s="284"/>
      <c r="J86" s="692" t="e">
        <f t="shared" si="52"/>
        <v>#DIV/0!</v>
      </c>
      <c r="K86" s="36" t="s">
        <v>865</v>
      </c>
      <c r="L86" s="284">
        <f>ROUND(B86/1000,0)</f>
        <v>540</v>
      </c>
      <c r="M86" s="284">
        <f>ROUND(C86/1000,0)</f>
        <v>0</v>
      </c>
      <c r="N86" s="692">
        <f t="shared" si="49"/>
        <v>0</v>
      </c>
      <c r="O86" s="284">
        <f>ROUND(E86/1000,0)</f>
        <v>110</v>
      </c>
      <c r="P86" s="284">
        <f>ROUND(F86/1000,0)</f>
        <v>0</v>
      </c>
      <c r="Q86" s="692">
        <f t="shared" si="54"/>
        <v>0</v>
      </c>
      <c r="R86" s="284">
        <f>ROUND(H86/1000,0)</f>
        <v>0</v>
      </c>
      <c r="S86" s="284">
        <f>ROUND(I86/1000,0)</f>
        <v>0</v>
      </c>
      <c r="T86" s="692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</row>
    <row r="89" spans="1:20" ht="12.75">
      <c r="A89" s="4"/>
      <c r="B89" s="525"/>
      <c r="C89" s="519"/>
      <c r="D89" s="519"/>
      <c r="E89" s="697"/>
      <c r="F89" s="698"/>
      <c r="G89" s="698"/>
      <c r="H89" s="698"/>
      <c r="I89" s="698"/>
      <c r="J89" s="4"/>
      <c r="K89" s="80" t="s">
        <v>699</v>
      </c>
      <c r="L89" s="699"/>
      <c r="M89" s="519"/>
      <c r="N89" s="700"/>
      <c r="O89" s="701"/>
      <c r="P89" s="702"/>
      <c r="Q89" s="702"/>
      <c r="R89" s="702"/>
      <c r="S89" s="698"/>
      <c r="T89" s="4"/>
    </row>
    <row r="90" spans="1:20" ht="12.75">
      <c r="A90" s="3"/>
      <c r="B90" s="699"/>
      <c r="C90" s="519"/>
      <c r="D90" s="700"/>
      <c r="E90" s="701"/>
      <c r="F90" s="702"/>
      <c r="G90" s="702"/>
      <c r="H90" s="702"/>
      <c r="I90" s="702"/>
      <c r="J90" s="4"/>
      <c r="S90" s="702"/>
      <c r="T90" s="4"/>
    </row>
    <row r="92" spans="10:20" ht="12.75">
      <c r="J92" s="4"/>
      <c r="T92" s="4"/>
    </row>
    <row r="93" spans="10:20" ht="12.75">
      <c r="J93" s="4"/>
      <c r="T93" s="4"/>
    </row>
    <row r="94" spans="10:20" ht="12.75">
      <c r="J94" s="4"/>
      <c r="T94" s="4"/>
    </row>
    <row r="95" s="3" customFormat="1" ht="11.25"/>
    <row r="96" s="3" customFormat="1" ht="11.25">
      <c r="K96" s="3" t="s">
        <v>788</v>
      </c>
    </row>
    <row r="97" spans="10:20" ht="12.75">
      <c r="J97" s="4"/>
      <c r="K97" s="3" t="s">
        <v>789</v>
      </c>
      <c r="T97" s="4"/>
    </row>
    <row r="100" spans="10:20" ht="12.75">
      <c r="J100" s="4"/>
      <c r="T100" s="4"/>
    </row>
    <row r="101" spans="10:20" ht="12.75">
      <c r="J101" s="4"/>
      <c r="T101" s="4"/>
    </row>
    <row r="102" spans="10:20" ht="12.75">
      <c r="J102" s="4"/>
      <c r="T102" s="4"/>
    </row>
    <row r="103" spans="10:20" ht="12.75">
      <c r="J103" s="4"/>
      <c r="T103" s="4"/>
    </row>
    <row r="104" spans="10:20" ht="12.75">
      <c r="J104" s="4"/>
      <c r="T104" s="4"/>
    </row>
    <row r="105" spans="10:20" ht="12.75">
      <c r="J105" s="4"/>
      <c r="T105" s="4"/>
    </row>
    <row r="106" spans="10:20" ht="12.75">
      <c r="J106" s="4"/>
      <c r="K106" s="4"/>
      <c r="T106" s="4"/>
    </row>
    <row r="107" spans="10:20" ht="12.75">
      <c r="J107" s="4"/>
      <c r="K107" s="4"/>
      <c r="T107" s="4"/>
    </row>
    <row r="108" spans="10:20" ht="12.75">
      <c r="J108" s="4"/>
      <c r="K108" s="4"/>
      <c r="T108" s="4"/>
    </row>
    <row r="109" spans="10:20" ht="12.75">
      <c r="J109" s="4"/>
      <c r="K109" s="4"/>
      <c r="T109" s="4"/>
    </row>
    <row r="110" spans="10:20" ht="12.75">
      <c r="J110" s="4"/>
      <c r="K110" s="4"/>
      <c r="T110" s="4"/>
    </row>
    <row r="111" spans="10:20" ht="12.75">
      <c r="J111" s="4"/>
      <c r="T111" s="4"/>
    </row>
    <row r="112" spans="10:20" ht="12.75">
      <c r="J112" s="4"/>
      <c r="T112" s="4"/>
    </row>
    <row r="113" spans="10:20" ht="12.75">
      <c r="J113" s="4"/>
      <c r="T113" s="4"/>
    </row>
    <row r="114" spans="10:20" ht="12.75">
      <c r="J114" s="4"/>
      <c r="T114" s="4"/>
    </row>
    <row r="115" spans="10:20" ht="12.75">
      <c r="J115" s="4"/>
      <c r="T115" s="4"/>
    </row>
    <row r="116" spans="10:20" ht="12.75">
      <c r="J116" s="4"/>
      <c r="T116" s="4"/>
    </row>
    <row r="117" spans="10:20" ht="12.75">
      <c r="J117" s="4"/>
      <c r="T117" s="4"/>
    </row>
    <row r="118" spans="10:20" ht="12.75">
      <c r="J118" s="4"/>
      <c r="T118" s="4"/>
    </row>
    <row r="119" spans="10:20" ht="12.75">
      <c r="J119" s="4"/>
      <c r="T119" s="4"/>
    </row>
    <row r="120" spans="10:20" ht="12.75">
      <c r="J120" s="4"/>
      <c r="T120" s="4"/>
    </row>
    <row r="121" spans="10:20" ht="12.75">
      <c r="J121" s="4"/>
      <c r="T121" s="4"/>
    </row>
    <row r="122" spans="10:20" ht="12.75">
      <c r="J122" s="4"/>
      <c r="T122" s="4"/>
    </row>
    <row r="123" spans="10:20" ht="12.75">
      <c r="J123" s="4"/>
      <c r="T123" s="4"/>
    </row>
    <row r="124" spans="10:20" ht="12.75">
      <c r="J124" s="4"/>
      <c r="T124" s="4"/>
    </row>
    <row r="125" spans="10:20" ht="12.75">
      <c r="J125" s="4"/>
      <c r="T125" s="4"/>
    </row>
    <row r="126" spans="10:20" ht="12.75">
      <c r="J126" s="4"/>
      <c r="T126" s="4"/>
    </row>
    <row r="127" spans="10:20" ht="12.75">
      <c r="J127" s="4"/>
      <c r="T127" s="4"/>
    </row>
    <row r="128" spans="10:20" ht="12.75">
      <c r="J128" s="4"/>
      <c r="T128" s="4"/>
    </row>
    <row r="129" spans="10:20" ht="12.75">
      <c r="J129" s="4"/>
      <c r="T129" s="4"/>
    </row>
    <row r="130" spans="10:20" ht="12.75">
      <c r="J130" s="4"/>
      <c r="T130" s="4"/>
    </row>
    <row r="131" spans="10:20" ht="12.75">
      <c r="J131" s="4"/>
      <c r="T131" s="4"/>
    </row>
    <row r="132" spans="10:20" ht="12.75">
      <c r="J132" s="4"/>
      <c r="T132" s="4"/>
    </row>
    <row r="133" spans="10:20" ht="12.75">
      <c r="J133" s="4"/>
      <c r="T133" s="4"/>
    </row>
    <row r="134" spans="10:20" ht="12.75">
      <c r="J134" s="4"/>
      <c r="T134" s="4"/>
    </row>
    <row r="135" spans="10:20" ht="12.75">
      <c r="J135" s="4"/>
      <c r="T135" s="4"/>
    </row>
    <row r="136" spans="10:20" ht="12.75">
      <c r="J136" s="4"/>
      <c r="T136" s="4"/>
    </row>
    <row r="137" spans="10:20" ht="12.75">
      <c r="J137" s="4"/>
      <c r="T137" s="4"/>
    </row>
    <row r="138" spans="10:20" ht="12.75">
      <c r="J138" s="4"/>
      <c r="T138" s="4"/>
    </row>
    <row r="139" spans="10:20" ht="12.75">
      <c r="J139" s="4"/>
      <c r="T139" s="4"/>
    </row>
    <row r="140" spans="10:20" ht="12.75">
      <c r="J140" s="4"/>
      <c r="T140" s="4"/>
    </row>
    <row r="141" spans="10:20" ht="12.75">
      <c r="J141" s="4"/>
      <c r="T141" s="4"/>
    </row>
    <row r="142" spans="10:20" ht="12.75">
      <c r="J142" s="4"/>
      <c r="T142" s="4"/>
    </row>
    <row r="143" spans="10:20" ht="12.75">
      <c r="J143" s="4"/>
      <c r="T143" s="4"/>
    </row>
    <row r="144" spans="10:20" ht="12.75">
      <c r="J144" s="4"/>
      <c r="T144" s="4"/>
    </row>
    <row r="145" spans="10:20" ht="12.75">
      <c r="J145" s="4"/>
      <c r="T145" s="4"/>
    </row>
    <row r="146" spans="10:20" ht="12.75">
      <c r="J146" s="4"/>
      <c r="T146" s="4"/>
    </row>
    <row r="147" spans="10:20" ht="12.75">
      <c r="J147" s="4"/>
      <c r="T147" s="4"/>
    </row>
    <row r="148" spans="10:20" ht="12.75">
      <c r="J148" s="4"/>
      <c r="T148" s="4"/>
    </row>
    <row r="149" spans="10:20" ht="12.75">
      <c r="J149" s="4"/>
      <c r="T149" s="4"/>
    </row>
    <row r="150" spans="10:20" ht="12.75">
      <c r="J150" s="4"/>
      <c r="T150" s="4"/>
    </row>
    <row r="151" spans="10:20" ht="12.75">
      <c r="J151" s="4"/>
      <c r="T151" s="4"/>
    </row>
    <row r="152" spans="10:20" ht="12.75">
      <c r="J152" s="4"/>
      <c r="T152" s="4"/>
    </row>
    <row r="153" spans="10:20" ht="12.75">
      <c r="J153" s="4"/>
      <c r="T153" s="4"/>
    </row>
    <row r="154" spans="10:20" ht="12.75">
      <c r="J154" s="4"/>
      <c r="T154" s="4"/>
    </row>
    <row r="155" spans="10:20" ht="12.75">
      <c r="J155" s="4"/>
      <c r="T155" s="4"/>
    </row>
    <row r="156" spans="10:20" ht="12.75">
      <c r="J156" s="4"/>
      <c r="T156" s="4"/>
    </row>
    <row r="157" spans="10:20" ht="12.75">
      <c r="J157" s="4"/>
      <c r="T157" s="4"/>
    </row>
    <row r="158" spans="10:20" ht="12.75">
      <c r="J158" s="4"/>
      <c r="T158" s="4"/>
    </row>
    <row r="159" spans="10:20" ht="12.75">
      <c r="J159" s="4"/>
      <c r="T159" s="4"/>
    </row>
    <row r="160" spans="10:20" ht="12.75">
      <c r="J160" s="4"/>
      <c r="T160" s="4"/>
    </row>
    <row r="161" spans="10:20" ht="12.75">
      <c r="J161" s="4"/>
      <c r="T161" s="4"/>
    </row>
    <row r="162" spans="10:20" ht="12.75">
      <c r="J162" s="4"/>
      <c r="T162" s="4"/>
    </row>
    <row r="163" spans="10:20" ht="12.75">
      <c r="J163" s="4"/>
      <c r="T163" s="4"/>
    </row>
    <row r="164" spans="10:20" ht="12.75">
      <c r="J164" s="4"/>
      <c r="T164" s="4"/>
    </row>
    <row r="165" spans="10:20" ht="12.75">
      <c r="J165" s="4"/>
      <c r="T165" s="4"/>
    </row>
    <row r="166" spans="10:20" ht="12.75">
      <c r="J166" s="4"/>
      <c r="T166" s="4"/>
    </row>
    <row r="167" spans="10:20" ht="12.75">
      <c r="J167" s="4"/>
      <c r="T167" s="4"/>
    </row>
    <row r="168" spans="10:20" ht="12.75">
      <c r="J168" s="4"/>
      <c r="T168" s="4"/>
    </row>
    <row r="169" spans="10:20" ht="12.75">
      <c r="J169" s="4"/>
      <c r="T169" s="4"/>
    </row>
    <row r="170" spans="10:20" ht="12.75">
      <c r="J170" s="4"/>
      <c r="T170" s="4"/>
    </row>
    <row r="171" spans="10:20" ht="12.75">
      <c r="J171" s="4"/>
      <c r="T171" s="4"/>
    </row>
    <row r="172" spans="10:20" ht="12.75">
      <c r="J172" s="4"/>
      <c r="T172" s="4"/>
    </row>
    <row r="173" spans="10:20" ht="12.75">
      <c r="J173" s="4"/>
      <c r="T173" s="4"/>
    </row>
    <row r="174" spans="10:20" ht="12.75">
      <c r="J174" s="4"/>
      <c r="T174" s="4"/>
    </row>
    <row r="175" spans="1:20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</sheetData>
  <mergeCells count="12"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E8" sqref="E8"/>
    </sheetView>
  </sheetViews>
  <sheetFormatPr defaultColWidth="9.140625" defaultRowHeight="12.75"/>
  <cols>
    <col min="1" max="1" width="43.00390625" style="5" hidden="1" customWidth="1"/>
    <col min="2" max="2" width="9.57421875" style="5" hidden="1" customWidth="1"/>
    <col min="3" max="3" width="8.140625" style="5" hidden="1" customWidth="1"/>
    <col min="4" max="4" width="6.140625" style="5" hidden="1" customWidth="1"/>
    <col min="5" max="5" width="9.57421875" style="5" hidden="1" customWidth="1"/>
    <col min="6" max="6" width="7.421875" style="5" hidden="1" customWidth="1"/>
    <col min="7" max="7" width="6.140625" style="5" hidden="1" customWidth="1"/>
    <col min="8" max="8" width="9.57421875" style="5" hidden="1" customWidth="1"/>
    <col min="9" max="9" width="8.140625" style="5" hidden="1" customWidth="1"/>
    <col min="10" max="10" width="6.57421875" style="5" hidden="1" customWidth="1"/>
    <col min="11" max="11" width="46.421875" style="5" customWidth="1"/>
    <col min="12" max="12" width="10.00390625" style="5" customWidth="1"/>
    <col min="13" max="13" width="9.140625" style="5" customWidth="1"/>
    <col min="14" max="14" width="8.421875" style="5" customWidth="1"/>
    <col min="15" max="15" width="9.8515625" style="5" customWidth="1"/>
    <col min="16" max="16" width="9.00390625" style="5" customWidth="1"/>
    <col min="17" max="17" width="7.8515625" style="5" customWidth="1"/>
    <col min="18" max="18" width="10.00390625" style="5" customWidth="1"/>
    <col min="19" max="19" width="8.57421875" style="5" customWidth="1"/>
    <col min="20" max="20" width="8.140625" style="5" customWidth="1"/>
    <col min="21" max="107" width="9.8515625" style="0" customWidth="1"/>
    <col min="108" max="16384" width="9.8515625" style="5" customWidth="1"/>
  </cols>
  <sheetData>
    <row r="1" ht="12.75">
      <c r="T1" s="5" t="s">
        <v>678</v>
      </c>
    </row>
    <row r="2" spans="1:19" ht="17.25" customHeight="1">
      <c r="A2" s="1" t="s">
        <v>740</v>
      </c>
      <c r="B2" s="1"/>
      <c r="C2" s="2"/>
      <c r="D2" s="1"/>
      <c r="E2" s="1"/>
      <c r="F2" s="2"/>
      <c r="G2" s="2"/>
      <c r="H2" s="2"/>
      <c r="I2" s="2"/>
      <c r="K2" s="1" t="s">
        <v>740</v>
      </c>
      <c r="L2" s="1"/>
      <c r="M2" s="2"/>
      <c r="N2" s="1"/>
      <c r="O2" s="1"/>
      <c r="P2" s="2"/>
      <c r="Q2" s="2"/>
      <c r="R2" s="2"/>
      <c r="S2" s="2"/>
    </row>
    <row r="3" spans="1:20" ht="12.75">
      <c r="A3" s="1"/>
      <c r="B3" s="1"/>
      <c r="C3" s="2"/>
      <c r="D3" s="1"/>
      <c r="E3" s="1"/>
      <c r="F3" s="2"/>
      <c r="G3" s="2"/>
      <c r="H3" s="2"/>
      <c r="I3" s="2"/>
      <c r="J3" s="4"/>
      <c r="K3" s="1"/>
      <c r="L3" s="1"/>
      <c r="M3" s="2"/>
      <c r="N3" s="1"/>
      <c r="O3" s="1"/>
      <c r="P3" s="2"/>
      <c r="Q3" s="2"/>
      <c r="R3" s="2"/>
      <c r="S3" s="2"/>
      <c r="T3" s="4"/>
    </row>
    <row r="4" spans="1:20" ht="18.75" customHeight="1">
      <c r="A4" s="761" t="s">
        <v>679</v>
      </c>
      <c r="B4" s="761"/>
      <c r="C4" s="761"/>
      <c r="D4" s="761"/>
      <c r="E4" s="761"/>
      <c r="F4" s="761"/>
      <c r="G4" s="761"/>
      <c r="H4" s="761"/>
      <c r="I4" s="761"/>
      <c r="J4" s="761"/>
      <c r="K4" s="761" t="s">
        <v>680</v>
      </c>
      <c r="L4" s="761"/>
      <c r="M4" s="761"/>
      <c r="N4" s="761"/>
      <c r="O4" s="761"/>
      <c r="P4" s="761"/>
      <c r="Q4" s="761"/>
      <c r="R4" s="761"/>
      <c r="S4" s="761"/>
      <c r="T4" s="761"/>
    </row>
    <row r="5" spans="1:20" ht="18.75" customHeight="1">
      <c r="A5" s="761" t="s">
        <v>681</v>
      </c>
      <c r="B5" s="761"/>
      <c r="C5" s="761"/>
      <c r="D5" s="761"/>
      <c r="E5" s="761"/>
      <c r="F5" s="761"/>
      <c r="G5" s="761"/>
      <c r="H5" s="761"/>
      <c r="I5" s="761"/>
      <c r="J5" s="761"/>
      <c r="K5" s="761" t="s">
        <v>681</v>
      </c>
      <c r="L5" s="761"/>
      <c r="M5" s="761"/>
      <c r="N5" s="761"/>
      <c r="O5" s="761"/>
      <c r="P5" s="761"/>
      <c r="Q5" s="761"/>
      <c r="R5" s="761"/>
      <c r="S5" s="761"/>
      <c r="T5" s="761"/>
    </row>
    <row r="6" spans="1:20" ht="19.5" customHeight="1">
      <c r="A6" s="761" t="s">
        <v>622</v>
      </c>
      <c r="B6" s="761"/>
      <c r="C6" s="761"/>
      <c r="D6" s="761"/>
      <c r="E6" s="761"/>
      <c r="F6" s="761"/>
      <c r="G6" s="761"/>
      <c r="H6" s="761"/>
      <c r="I6" s="761"/>
      <c r="J6" s="761"/>
      <c r="K6" s="773" t="s">
        <v>116</v>
      </c>
      <c r="L6" s="773"/>
      <c r="M6" s="773"/>
      <c r="N6" s="773"/>
      <c r="O6" s="773"/>
      <c r="P6" s="773"/>
      <c r="Q6" s="773"/>
      <c r="R6" s="773"/>
      <c r="S6" s="773"/>
      <c r="T6" s="773"/>
    </row>
    <row r="7" spans="1:20" ht="11.2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</row>
    <row r="8" spans="1:20" ht="11.25" customHeight="1">
      <c r="A8" s="299"/>
      <c r="B8" s="299"/>
      <c r="C8" s="299"/>
      <c r="D8" s="299"/>
      <c r="E8" s="299"/>
      <c r="F8" s="299"/>
      <c r="G8" s="299"/>
      <c r="H8" s="299"/>
      <c r="I8" s="299"/>
      <c r="J8" s="10" t="s">
        <v>746</v>
      </c>
      <c r="K8" s="299"/>
      <c r="L8" s="299"/>
      <c r="M8" s="299"/>
      <c r="N8" s="299"/>
      <c r="O8" s="299"/>
      <c r="P8" s="299"/>
      <c r="Q8" s="299"/>
      <c r="R8" s="299"/>
      <c r="S8" s="299"/>
      <c r="T8" s="10" t="s">
        <v>837</v>
      </c>
    </row>
    <row r="9" spans="1:20" s="3" customFormat="1" ht="24" customHeight="1">
      <c r="A9" s="686"/>
      <c r="B9" s="815" t="s">
        <v>682</v>
      </c>
      <c r="C9" s="816"/>
      <c r="D9" s="817"/>
      <c r="E9" s="815" t="s">
        <v>683</v>
      </c>
      <c r="F9" s="816"/>
      <c r="G9" s="817"/>
      <c r="H9" s="818" t="s">
        <v>684</v>
      </c>
      <c r="I9" s="819"/>
      <c r="J9" s="820"/>
      <c r="K9" s="686"/>
      <c r="L9" s="815" t="s">
        <v>682</v>
      </c>
      <c r="M9" s="816"/>
      <c r="N9" s="817"/>
      <c r="O9" s="815" t="s">
        <v>683</v>
      </c>
      <c r="P9" s="816"/>
      <c r="Q9" s="817"/>
      <c r="R9" s="818" t="s">
        <v>684</v>
      </c>
      <c r="S9" s="819"/>
      <c r="T9" s="820"/>
    </row>
    <row r="10" spans="1:20" ht="56.25">
      <c r="A10" s="501" t="s">
        <v>748</v>
      </c>
      <c r="B10" s="578" t="s">
        <v>685</v>
      </c>
      <c r="C10" s="11" t="s">
        <v>686</v>
      </c>
      <c r="D10" s="11" t="s">
        <v>399</v>
      </c>
      <c r="E10" s="11" t="s">
        <v>685</v>
      </c>
      <c r="F10" s="11" t="s">
        <v>686</v>
      </c>
      <c r="G10" s="11" t="s">
        <v>687</v>
      </c>
      <c r="H10" s="11" t="s">
        <v>685</v>
      </c>
      <c r="I10" s="11" t="s">
        <v>686</v>
      </c>
      <c r="J10" s="11" t="s">
        <v>688</v>
      </c>
      <c r="K10" s="501" t="s">
        <v>748</v>
      </c>
      <c r="L10" s="578" t="s">
        <v>685</v>
      </c>
      <c r="M10" s="11" t="s">
        <v>686</v>
      </c>
      <c r="N10" s="11" t="s">
        <v>399</v>
      </c>
      <c r="O10" s="11" t="s">
        <v>685</v>
      </c>
      <c r="P10" s="11" t="s">
        <v>686</v>
      </c>
      <c r="Q10" s="11" t="s">
        <v>687</v>
      </c>
      <c r="R10" s="11" t="s">
        <v>685</v>
      </c>
      <c r="S10" s="11" t="s">
        <v>686</v>
      </c>
      <c r="T10" s="11" t="s">
        <v>688</v>
      </c>
    </row>
    <row r="11" spans="1:20" ht="12.75">
      <c r="A11" s="50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501">
        <v>1</v>
      </c>
      <c r="L11" s="11">
        <v>2</v>
      </c>
      <c r="M11" s="11">
        <v>3</v>
      </c>
      <c r="N11" s="11">
        <v>4</v>
      </c>
      <c r="O11" s="11">
        <v>5</v>
      </c>
      <c r="P11" s="11">
        <v>6</v>
      </c>
      <c r="Q11" s="11">
        <v>7</v>
      </c>
      <c r="R11" s="11">
        <v>8</v>
      </c>
      <c r="S11" s="11">
        <v>9</v>
      </c>
      <c r="T11" s="11">
        <v>10</v>
      </c>
    </row>
    <row r="12" spans="1:107" ht="12.75">
      <c r="A12" s="14" t="s">
        <v>437</v>
      </c>
      <c r="B12" s="136">
        <f>B17+B20+B22+B27+B31+B34</f>
        <v>28402078</v>
      </c>
      <c r="C12" s="136">
        <f>C17+C20+C22+C27+C31+C34</f>
        <v>0</v>
      </c>
      <c r="D12" s="687">
        <f>C12/B12*100</f>
        <v>0</v>
      </c>
      <c r="E12" s="136">
        <f>E17+E20+E22+E27+E31+E34</f>
        <v>24005234</v>
      </c>
      <c r="F12" s="136">
        <f>F17+F20+F22+F27+F31+F34</f>
        <v>0</v>
      </c>
      <c r="G12" s="687">
        <f>F12/E12*100</f>
        <v>0</v>
      </c>
      <c r="H12" s="136">
        <f>H17+H20+H22+H27+H31+H34</f>
        <v>73639687</v>
      </c>
      <c r="I12" s="136">
        <f>I17+I20+I22+I27+I31+I34</f>
        <v>0</v>
      </c>
      <c r="J12" s="687">
        <f>I12/H12*100</f>
        <v>0</v>
      </c>
      <c r="K12" s="96" t="s">
        <v>437</v>
      </c>
      <c r="L12" s="136">
        <f>L17+L20+L22+L27+L31+L34</f>
        <v>28402</v>
      </c>
      <c r="M12" s="136">
        <f>M17+M20+M22+M27+M31+M34</f>
        <v>0</v>
      </c>
      <c r="N12" s="687">
        <f>M12/L12*100</f>
        <v>0</v>
      </c>
      <c r="O12" s="136">
        <f>O17+O20+O22+O27+O31+O34</f>
        <v>24005</v>
      </c>
      <c r="P12" s="136">
        <f>P17+P20+P22+P27+P31+P34</f>
        <v>0</v>
      </c>
      <c r="Q12" s="687">
        <f>P12/O12*100</f>
        <v>0</v>
      </c>
      <c r="R12" s="136">
        <f>R17+R20+R22+R27+R31+R34</f>
        <v>73640</v>
      </c>
      <c r="S12" s="136">
        <f>S17+S20+S22+S27+S31+S34</f>
        <v>0</v>
      </c>
      <c r="T12" s="687">
        <f>S12/R12*100</f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s="689" customFormat="1" ht="15" customHeight="1">
      <c r="A13" s="688" t="s">
        <v>689</v>
      </c>
      <c r="B13" s="30">
        <f>B18+B23+B28+B35</f>
        <v>5956047</v>
      </c>
      <c r="C13" s="30">
        <f>C18+C23+C28+C35</f>
        <v>0</v>
      </c>
      <c r="D13" s="618">
        <f aca="true" t="shared" si="0" ref="D13:D36">C13/B13*100</f>
        <v>0</v>
      </c>
      <c r="E13" s="30">
        <f>E18+E23+E28+E35</f>
        <v>7448246</v>
      </c>
      <c r="F13" s="30">
        <f>F18+F23+F28+F35</f>
        <v>0</v>
      </c>
      <c r="G13" s="618">
        <f aca="true" t="shared" si="1" ref="G13:G36">F13/E13*100</f>
        <v>0</v>
      </c>
      <c r="H13" s="30">
        <f>H18+H23+H28+H35</f>
        <v>40690398</v>
      </c>
      <c r="I13" s="30">
        <f>I18+I23+I28+I35</f>
        <v>0</v>
      </c>
      <c r="J13" s="618">
        <f>I13/H13*100</f>
        <v>0</v>
      </c>
      <c r="K13" s="688" t="s">
        <v>689</v>
      </c>
      <c r="L13" s="30">
        <f>L18+L23+L28+L35</f>
        <v>5956</v>
      </c>
      <c r="M13" s="30">
        <f>M18+M23+M28+M35</f>
        <v>0</v>
      </c>
      <c r="N13" s="618">
        <f aca="true" t="shared" si="2" ref="N13:N36">M13/L13*100</f>
        <v>0</v>
      </c>
      <c r="O13" s="30">
        <f>O18+O23+O28+O35</f>
        <v>7448</v>
      </c>
      <c r="P13" s="30">
        <f>P18+P23+P28+P35</f>
        <v>0</v>
      </c>
      <c r="Q13" s="618">
        <f aca="true" t="shared" si="3" ref="Q13:Q36">P13/O13*100</f>
        <v>0</v>
      </c>
      <c r="R13" s="30">
        <f>R18+R23+R28+R35</f>
        <v>40690</v>
      </c>
      <c r="S13" s="30">
        <f>S18+S23+S28+S35</f>
        <v>0</v>
      </c>
      <c r="T13" s="618">
        <f>S13/R13*100</f>
        <v>0</v>
      </c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1"/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S13" s="681"/>
      <c r="BT13" s="681"/>
      <c r="BU13" s="681"/>
      <c r="BV13" s="681"/>
      <c r="BW13" s="681"/>
      <c r="BX13" s="681"/>
      <c r="BY13" s="681"/>
      <c r="BZ13" s="681"/>
      <c r="CA13" s="681"/>
      <c r="CB13" s="681"/>
      <c r="CC13" s="681"/>
      <c r="CD13" s="681"/>
      <c r="CE13" s="681"/>
      <c r="CF13" s="681"/>
      <c r="CG13" s="681"/>
      <c r="CH13" s="681"/>
      <c r="CI13" s="681"/>
      <c r="CJ13" s="681"/>
      <c r="CK13" s="681"/>
      <c r="CL13" s="681"/>
      <c r="CM13" s="681"/>
      <c r="CN13" s="681"/>
      <c r="CO13" s="681"/>
      <c r="CP13" s="681"/>
      <c r="CQ13" s="681"/>
      <c r="CR13" s="681"/>
      <c r="CS13" s="681"/>
      <c r="CT13" s="681"/>
      <c r="CU13" s="681"/>
      <c r="CV13" s="681"/>
      <c r="CW13" s="681"/>
      <c r="CX13" s="681"/>
      <c r="CY13" s="681"/>
      <c r="CZ13" s="681"/>
      <c r="DA13" s="681"/>
      <c r="DB13" s="681"/>
      <c r="DC13" s="681"/>
    </row>
    <row r="14" spans="1:107" s="31" customFormat="1" ht="13.5" customHeight="1">
      <c r="A14" s="690" t="s">
        <v>854</v>
      </c>
      <c r="B14" s="30">
        <f>B19+B24+B29+B36</f>
        <v>3841308</v>
      </c>
      <c r="C14" s="30">
        <f>C19+C24+C29+C36</f>
        <v>0</v>
      </c>
      <c r="D14" s="618">
        <f t="shared" si="0"/>
        <v>0</v>
      </c>
      <c r="E14" s="30">
        <f>E19+E24+E29+E36</f>
        <v>3582720</v>
      </c>
      <c r="F14" s="30">
        <f>F19+F24+F29+F36</f>
        <v>0</v>
      </c>
      <c r="G14" s="618">
        <f t="shared" si="1"/>
        <v>0</v>
      </c>
      <c r="H14" s="30">
        <f>H19+H24+H29+H36</f>
        <v>7614289</v>
      </c>
      <c r="I14" s="30">
        <f>I19+I24+I29+I36</f>
        <v>0</v>
      </c>
      <c r="J14" s="618">
        <f>I14/H14*100</f>
        <v>0</v>
      </c>
      <c r="K14" s="690" t="s">
        <v>854</v>
      </c>
      <c r="L14" s="30">
        <f>L19+L24+L29+L36</f>
        <v>3841</v>
      </c>
      <c r="M14" s="30">
        <f>M19+M24+M29+M36</f>
        <v>0</v>
      </c>
      <c r="N14" s="618">
        <f t="shared" si="2"/>
        <v>0</v>
      </c>
      <c r="O14" s="30">
        <f>O19+O24+O29+O36</f>
        <v>3583</v>
      </c>
      <c r="P14" s="30">
        <f>P19+P24+P29+P36</f>
        <v>0</v>
      </c>
      <c r="Q14" s="618">
        <f t="shared" si="3"/>
        <v>0</v>
      </c>
      <c r="R14" s="30">
        <f>R19+R24+R29+R36</f>
        <v>7615</v>
      </c>
      <c r="S14" s="30">
        <f>S19+S24+S29+S36</f>
        <v>0</v>
      </c>
      <c r="T14" s="618">
        <f>S14/R14*100</f>
        <v>0</v>
      </c>
      <c r="U14" s="681"/>
      <c r="V14" s="681"/>
      <c r="W14" s="681"/>
      <c r="X14" s="681"/>
      <c r="Y14" s="681"/>
      <c r="Z14" s="681"/>
      <c r="AA14" s="681"/>
      <c r="AB14" s="681"/>
      <c r="AC14" s="681"/>
      <c r="AD14" s="681"/>
      <c r="AE14" s="681"/>
      <c r="AF14" s="681"/>
      <c r="AG14" s="681"/>
      <c r="AH14" s="681"/>
      <c r="AI14" s="681"/>
      <c r="AJ14" s="681"/>
      <c r="AK14" s="681"/>
      <c r="AL14" s="681"/>
      <c r="AM14" s="681"/>
      <c r="AN14" s="681"/>
      <c r="AO14" s="681"/>
      <c r="AP14" s="681"/>
      <c r="AQ14" s="681"/>
      <c r="AR14" s="681"/>
      <c r="AS14" s="681"/>
      <c r="AT14" s="681"/>
      <c r="AU14" s="681"/>
      <c r="AV14" s="681"/>
      <c r="AW14" s="681"/>
      <c r="AX14" s="681"/>
      <c r="AY14" s="681"/>
      <c r="AZ14" s="681"/>
      <c r="BA14" s="681"/>
      <c r="BB14" s="681"/>
      <c r="BC14" s="681"/>
      <c r="BD14" s="681"/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81"/>
      <c r="BR14" s="681"/>
      <c r="BS14" s="681"/>
      <c r="BT14" s="681"/>
      <c r="BU14" s="681"/>
      <c r="BV14" s="681"/>
      <c r="BW14" s="681"/>
      <c r="BX14" s="681"/>
      <c r="BY14" s="681"/>
      <c r="BZ14" s="681"/>
      <c r="CA14" s="681"/>
      <c r="CB14" s="681"/>
      <c r="CC14" s="681"/>
      <c r="CD14" s="681"/>
      <c r="CE14" s="681"/>
      <c r="CF14" s="681"/>
      <c r="CG14" s="681"/>
      <c r="CH14" s="681"/>
      <c r="CI14" s="681"/>
      <c r="CJ14" s="681"/>
      <c r="CK14" s="681"/>
      <c r="CL14" s="681"/>
      <c r="CM14" s="681"/>
      <c r="CN14" s="681"/>
      <c r="CO14" s="681"/>
      <c r="CP14" s="681"/>
      <c r="CQ14" s="681"/>
      <c r="CR14" s="681"/>
      <c r="CS14" s="681"/>
      <c r="CT14" s="681"/>
      <c r="CU14" s="681"/>
      <c r="CV14" s="681"/>
      <c r="CW14" s="681"/>
      <c r="CX14" s="681"/>
      <c r="CY14" s="681"/>
      <c r="CZ14" s="681"/>
      <c r="DA14" s="681"/>
      <c r="DB14" s="681"/>
      <c r="DC14" s="681"/>
    </row>
    <row r="15" spans="1:107" s="31" customFormat="1" ht="14.25" customHeight="1">
      <c r="A15" s="22" t="s">
        <v>690</v>
      </c>
      <c r="B15" s="30">
        <f>B25+B32</f>
        <v>94000</v>
      </c>
      <c r="C15" s="30">
        <f>C25+C32</f>
        <v>0</v>
      </c>
      <c r="D15" s="618">
        <f t="shared" si="0"/>
        <v>0</v>
      </c>
      <c r="E15" s="30">
        <f>E25+E32</f>
        <v>103000</v>
      </c>
      <c r="F15" s="30">
        <f>F25+F32</f>
        <v>0</v>
      </c>
      <c r="G15" s="618">
        <f t="shared" si="1"/>
        <v>0</v>
      </c>
      <c r="H15" s="30">
        <f>H25+H32</f>
        <v>130000</v>
      </c>
      <c r="I15" s="30">
        <f>I25+I32</f>
        <v>0</v>
      </c>
      <c r="J15" s="618">
        <f>I15/H15*100</f>
        <v>0</v>
      </c>
      <c r="K15" s="22" t="s">
        <v>690</v>
      </c>
      <c r="L15" s="30">
        <f>L25+L32</f>
        <v>94</v>
      </c>
      <c r="M15" s="30">
        <f>M25+M32</f>
        <v>0</v>
      </c>
      <c r="N15" s="618">
        <f t="shared" si="2"/>
        <v>0</v>
      </c>
      <c r="O15" s="30">
        <f>O25+O32</f>
        <v>103</v>
      </c>
      <c r="P15" s="30">
        <f>P25+P32</f>
        <v>0</v>
      </c>
      <c r="Q15" s="618">
        <f t="shared" si="3"/>
        <v>0</v>
      </c>
      <c r="R15" s="30">
        <f>R25+R32</f>
        <v>130</v>
      </c>
      <c r="S15" s="30">
        <f>S25+S32</f>
        <v>0</v>
      </c>
      <c r="T15" s="618">
        <f>S15/R15*100</f>
        <v>0</v>
      </c>
      <c r="U15" s="681"/>
      <c r="V15" s="681"/>
      <c r="W15" s="681"/>
      <c r="X15" s="681"/>
      <c r="Y15" s="681"/>
      <c r="Z15" s="681"/>
      <c r="AA15" s="681"/>
      <c r="AB15" s="681"/>
      <c r="AC15" s="681"/>
      <c r="AD15" s="681"/>
      <c r="AE15" s="681"/>
      <c r="AF15" s="681"/>
      <c r="AG15" s="681"/>
      <c r="AH15" s="681"/>
      <c r="AI15" s="681"/>
      <c r="AJ15" s="681"/>
      <c r="AK15" s="681"/>
      <c r="AL15" s="681"/>
      <c r="AM15" s="681"/>
      <c r="AN15" s="681"/>
      <c r="AO15" s="681"/>
      <c r="AP15" s="681"/>
      <c r="AQ15" s="681"/>
      <c r="AR15" s="681"/>
      <c r="AS15" s="681"/>
      <c r="AT15" s="681"/>
      <c r="AU15" s="681"/>
      <c r="AV15" s="681"/>
      <c r="AW15" s="681"/>
      <c r="AX15" s="681"/>
      <c r="AY15" s="681"/>
      <c r="AZ15" s="681"/>
      <c r="BA15" s="681"/>
      <c r="BB15" s="681"/>
      <c r="BC15" s="681"/>
      <c r="BD15" s="681"/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S15" s="681"/>
      <c r="BT15" s="681"/>
      <c r="BU15" s="681"/>
      <c r="BV15" s="681"/>
      <c r="BW15" s="681"/>
      <c r="BX15" s="681"/>
      <c r="BY15" s="681"/>
      <c r="BZ15" s="681"/>
      <c r="CA15" s="681"/>
      <c r="CB15" s="681"/>
      <c r="CC15" s="681"/>
      <c r="CD15" s="681"/>
      <c r="CE15" s="681"/>
      <c r="CF15" s="681"/>
      <c r="CG15" s="681"/>
      <c r="CH15" s="681"/>
      <c r="CI15" s="681"/>
      <c r="CJ15" s="681"/>
      <c r="CK15" s="681"/>
      <c r="CL15" s="681"/>
      <c r="CM15" s="681"/>
      <c r="CN15" s="681"/>
      <c r="CO15" s="681"/>
      <c r="CP15" s="681"/>
      <c r="CQ15" s="681"/>
      <c r="CR15" s="681"/>
      <c r="CS15" s="681"/>
      <c r="CT15" s="681"/>
      <c r="CU15" s="681"/>
      <c r="CV15" s="681"/>
      <c r="CW15" s="681"/>
      <c r="CX15" s="681"/>
      <c r="CY15" s="681"/>
      <c r="CZ15" s="681"/>
      <c r="DA15" s="681"/>
      <c r="DB15" s="681"/>
      <c r="DC15" s="681"/>
    </row>
    <row r="16" spans="1:107" s="31" customFormat="1" ht="14.25" customHeight="1">
      <c r="A16" s="22" t="s">
        <v>865</v>
      </c>
      <c r="B16" s="30">
        <f>B21+B26+B30+B33</f>
        <v>18510723</v>
      </c>
      <c r="C16" s="30">
        <f aca="true" t="shared" si="4" ref="C16:I16">C21+C26+C30+C33</f>
        <v>0</v>
      </c>
      <c r="D16" s="618">
        <f t="shared" si="0"/>
        <v>0</v>
      </c>
      <c r="E16" s="30">
        <f t="shared" si="4"/>
        <v>12871268</v>
      </c>
      <c r="F16" s="30">
        <f t="shared" si="4"/>
        <v>0</v>
      </c>
      <c r="G16" s="618">
        <f t="shared" si="1"/>
        <v>0</v>
      </c>
      <c r="H16" s="30">
        <f t="shared" si="4"/>
        <v>25205000</v>
      </c>
      <c r="I16" s="30">
        <f t="shared" si="4"/>
        <v>0</v>
      </c>
      <c r="J16" s="618">
        <f aca="true" t="shared" si="5" ref="J16:J36">I16/H16*100</f>
        <v>0</v>
      </c>
      <c r="K16" s="22" t="s">
        <v>865</v>
      </c>
      <c r="L16" s="30">
        <f>L21+L26+L30+L33</f>
        <v>18511</v>
      </c>
      <c r="M16" s="30">
        <f aca="true" t="shared" si="6" ref="M16:S16">M21+M26+M30+M33</f>
        <v>0</v>
      </c>
      <c r="N16" s="618">
        <f t="shared" si="2"/>
        <v>0</v>
      </c>
      <c r="O16" s="30">
        <f t="shared" si="6"/>
        <v>12871</v>
      </c>
      <c r="P16" s="30">
        <f t="shared" si="6"/>
        <v>0</v>
      </c>
      <c r="Q16" s="618">
        <f t="shared" si="3"/>
        <v>0</v>
      </c>
      <c r="R16" s="30">
        <f t="shared" si="6"/>
        <v>25205</v>
      </c>
      <c r="S16" s="30">
        <f t="shared" si="6"/>
        <v>0</v>
      </c>
      <c r="T16" s="618">
        <f aca="true" t="shared" si="7" ref="T16:T36">S16/R16*100</f>
        <v>0</v>
      </c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  <c r="AZ16" s="681"/>
      <c r="BA16" s="681"/>
      <c r="BB16" s="681"/>
      <c r="BC16" s="681"/>
      <c r="BD16" s="681"/>
      <c r="BE16" s="681"/>
      <c r="BF16" s="681"/>
      <c r="BG16" s="681"/>
      <c r="BH16" s="681"/>
      <c r="BI16" s="681"/>
      <c r="BJ16" s="681"/>
      <c r="BK16" s="681"/>
      <c r="BL16" s="681"/>
      <c r="BM16" s="681"/>
      <c r="BN16" s="681"/>
      <c r="BO16" s="681"/>
      <c r="BP16" s="681"/>
      <c r="BQ16" s="681"/>
      <c r="BR16" s="681"/>
      <c r="BS16" s="681"/>
      <c r="BT16" s="681"/>
      <c r="BU16" s="681"/>
      <c r="BV16" s="681"/>
      <c r="BW16" s="681"/>
      <c r="BX16" s="681"/>
      <c r="BY16" s="681"/>
      <c r="BZ16" s="681"/>
      <c r="CA16" s="681"/>
      <c r="CB16" s="681"/>
      <c r="CC16" s="681"/>
      <c r="CD16" s="681"/>
      <c r="CE16" s="681"/>
      <c r="CF16" s="681"/>
      <c r="CG16" s="681"/>
      <c r="CH16" s="681"/>
      <c r="CI16" s="681"/>
      <c r="CJ16" s="681"/>
      <c r="CK16" s="681"/>
      <c r="CL16" s="681"/>
      <c r="CM16" s="681"/>
      <c r="CN16" s="681"/>
      <c r="CO16" s="681"/>
      <c r="CP16" s="681"/>
      <c r="CQ16" s="681"/>
      <c r="CR16" s="681"/>
      <c r="CS16" s="681"/>
      <c r="CT16" s="681"/>
      <c r="CU16" s="681"/>
      <c r="CV16" s="681"/>
      <c r="CW16" s="681"/>
      <c r="CX16" s="681"/>
      <c r="CY16" s="681"/>
      <c r="CZ16" s="681"/>
      <c r="DA16" s="681"/>
      <c r="DB16" s="681"/>
      <c r="DC16" s="681"/>
    </row>
    <row r="17" spans="1:20" ht="12.75">
      <c r="A17" s="31" t="s">
        <v>770</v>
      </c>
      <c r="B17" s="34">
        <f aca="true" t="shared" si="8" ref="B17:I17">SUM(B18:B19)</f>
        <v>1297878</v>
      </c>
      <c r="C17" s="34">
        <f t="shared" si="8"/>
        <v>0</v>
      </c>
      <c r="D17" s="691">
        <f t="shared" si="0"/>
        <v>0</v>
      </c>
      <c r="E17" s="34">
        <f t="shared" si="8"/>
        <v>1496344</v>
      </c>
      <c r="F17" s="34">
        <f t="shared" si="8"/>
        <v>0</v>
      </c>
      <c r="G17" s="691">
        <f t="shared" si="1"/>
        <v>0</v>
      </c>
      <c r="H17" s="34">
        <f t="shared" si="8"/>
        <v>0</v>
      </c>
      <c r="I17" s="34">
        <f t="shared" si="8"/>
        <v>0</v>
      </c>
      <c r="J17" s="618" t="e">
        <f t="shared" si="5"/>
        <v>#DIV/0!</v>
      </c>
      <c r="K17" s="31" t="s">
        <v>770</v>
      </c>
      <c r="L17" s="34">
        <f aca="true" t="shared" si="9" ref="L17:S17">SUM(L18:L19)</f>
        <v>1298</v>
      </c>
      <c r="M17" s="34">
        <f t="shared" si="9"/>
        <v>0</v>
      </c>
      <c r="N17" s="691">
        <f t="shared" si="2"/>
        <v>0</v>
      </c>
      <c r="O17" s="34">
        <f t="shared" si="9"/>
        <v>1496</v>
      </c>
      <c r="P17" s="34">
        <f t="shared" si="9"/>
        <v>0</v>
      </c>
      <c r="Q17" s="691">
        <f t="shared" si="3"/>
        <v>0</v>
      </c>
      <c r="R17" s="34">
        <f t="shared" si="9"/>
        <v>0</v>
      </c>
      <c r="S17" s="34">
        <f t="shared" si="9"/>
        <v>0</v>
      </c>
      <c r="T17" s="691"/>
    </row>
    <row r="18" spans="1:107" s="28" customFormat="1" ht="12.75">
      <c r="A18" s="36" t="s">
        <v>689</v>
      </c>
      <c r="B18" s="284">
        <v>180888</v>
      </c>
      <c r="C18" s="284"/>
      <c r="D18" s="692">
        <f t="shared" si="0"/>
        <v>0</v>
      </c>
      <c r="E18" s="284">
        <v>379354</v>
      </c>
      <c r="F18" s="284"/>
      <c r="G18" s="692">
        <f t="shared" si="1"/>
        <v>0</v>
      </c>
      <c r="H18" s="284"/>
      <c r="I18" s="284"/>
      <c r="J18" s="618" t="e">
        <f t="shared" si="5"/>
        <v>#DIV/0!</v>
      </c>
      <c r="K18" s="36" t="s">
        <v>689</v>
      </c>
      <c r="L18" s="284">
        <f aca="true" t="shared" si="10" ref="L18:S19">ROUND(B18/1000,0)</f>
        <v>181</v>
      </c>
      <c r="M18" s="284">
        <f t="shared" si="10"/>
        <v>0</v>
      </c>
      <c r="N18" s="692">
        <f t="shared" si="2"/>
        <v>0</v>
      </c>
      <c r="O18" s="284">
        <f t="shared" si="10"/>
        <v>379</v>
      </c>
      <c r="P18" s="284">
        <f t="shared" si="10"/>
        <v>0</v>
      </c>
      <c r="Q18" s="692">
        <f t="shared" si="3"/>
        <v>0</v>
      </c>
      <c r="R18" s="284">
        <f t="shared" si="10"/>
        <v>0</v>
      </c>
      <c r="S18" s="284">
        <f t="shared" si="10"/>
        <v>0</v>
      </c>
      <c r="T18" s="692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</row>
    <row r="19" spans="1:107" s="28" customFormat="1" ht="12.75">
      <c r="A19" s="36" t="s">
        <v>854</v>
      </c>
      <c r="B19" s="284">
        <v>1116990</v>
      </c>
      <c r="C19" s="284"/>
      <c r="D19" s="692">
        <f t="shared" si="0"/>
        <v>0</v>
      </c>
      <c r="E19" s="284">
        <v>1116990</v>
      </c>
      <c r="F19" s="284"/>
      <c r="G19" s="692">
        <f t="shared" si="1"/>
        <v>0</v>
      </c>
      <c r="H19" s="284"/>
      <c r="I19" s="284"/>
      <c r="J19" s="618" t="e">
        <f t="shared" si="5"/>
        <v>#DIV/0!</v>
      </c>
      <c r="K19" s="36" t="s">
        <v>854</v>
      </c>
      <c r="L19" s="284">
        <f t="shared" si="10"/>
        <v>1117</v>
      </c>
      <c r="M19" s="284">
        <f t="shared" si="10"/>
        <v>0</v>
      </c>
      <c r="N19" s="692">
        <f t="shared" si="2"/>
        <v>0</v>
      </c>
      <c r="O19" s="284">
        <f t="shared" si="10"/>
        <v>1117</v>
      </c>
      <c r="P19" s="284">
        <f t="shared" si="10"/>
        <v>0</v>
      </c>
      <c r="Q19" s="692">
        <f t="shared" si="3"/>
        <v>0</v>
      </c>
      <c r="R19" s="284">
        <f t="shared" si="10"/>
        <v>0</v>
      </c>
      <c r="S19" s="284">
        <f t="shared" si="10"/>
        <v>0</v>
      </c>
      <c r="T19" s="692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</row>
    <row r="20" spans="1:20" ht="12.75">
      <c r="A20" s="31" t="s">
        <v>771</v>
      </c>
      <c r="B20" s="34">
        <f aca="true" t="shared" si="11" ref="B20:I20">SUM(B21:B21)</f>
        <v>72000</v>
      </c>
      <c r="C20" s="34">
        <f t="shared" si="11"/>
        <v>0</v>
      </c>
      <c r="D20" s="691">
        <f t="shared" si="0"/>
        <v>0</v>
      </c>
      <c r="E20" s="34">
        <f t="shared" si="11"/>
        <v>68000</v>
      </c>
      <c r="F20" s="34">
        <f t="shared" si="11"/>
        <v>0</v>
      </c>
      <c r="G20" s="691">
        <f t="shared" si="1"/>
        <v>0</v>
      </c>
      <c r="H20" s="34">
        <f t="shared" si="11"/>
        <v>83000</v>
      </c>
      <c r="I20" s="34">
        <f t="shared" si="11"/>
        <v>0</v>
      </c>
      <c r="J20" s="618">
        <f t="shared" si="5"/>
        <v>0</v>
      </c>
      <c r="K20" s="31" t="s">
        <v>771</v>
      </c>
      <c r="L20" s="34">
        <f aca="true" t="shared" si="12" ref="L20:S20">SUM(L21:L21)</f>
        <v>72</v>
      </c>
      <c r="M20" s="34">
        <f t="shared" si="12"/>
        <v>0</v>
      </c>
      <c r="N20" s="691">
        <f t="shared" si="2"/>
        <v>0</v>
      </c>
      <c r="O20" s="34">
        <f t="shared" si="12"/>
        <v>68</v>
      </c>
      <c r="P20" s="34">
        <f t="shared" si="12"/>
        <v>0</v>
      </c>
      <c r="Q20" s="691">
        <f t="shared" si="3"/>
        <v>0</v>
      </c>
      <c r="R20" s="34">
        <f t="shared" si="12"/>
        <v>83</v>
      </c>
      <c r="S20" s="34">
        <f t="shared" si="12"/>
        <v>0</v>
      </c>
      <c r="T20" s="691">
        <f t="shared" si="7"/>
        <v>0</v>
      </c>
    </row>
    <row r="21" spans="1:107" s="28" customFormat="1" ht="12.75">
      <c r="A21" s="36" t="s">
        <v>865</v>
      </c>
      <c r="B21" s="284">
        <v>72000</v>
      </c>
      <c r="C21" s="284"/>
      <c r="D21" s="692">
        <f t="shared" si="0"/>
        <v>0</v>
      </c>
      <c r="E21" s="284">
        <v>68000</v>
      </c>
      <c r="F21" s="284"/>
      <c r="G21" s="692">
        <f t="shared" si="1"/>
        <v>0</v>
      </c>
      <c r="H21" s="284">
        <v>83000</v>
      </c>
      <c r="I21" s="284"/>
      <c r="J21" s="618">
        <f t="shared" si="5"/>
        <v>0</v>
      </c>
      <c r="K21" s="36" t="s">
        <v>865</v>
      </c>
      <c r="L21" s="284">
        <f aca="true" t="shared" si="13" ref="L21:S21">ROUND(B21/1000,0)</f>
        <v>72</v>
      </c>
      <c r="M21" s="284">
        <f t="shared" si="13"/>
        <v>0</v>
      </c>
      <c r="N21" s="692">
        <f t="shared" si="2"/>
        <v>0</v>
      </c>
      <c r="O21" s="284">
        <f t="shared" si="13"/>
        <v>68</v>
      </c>
      <c r="P21" s="284">
        <f t="shared" si="13"/>
        <v>0</v>
      </c>
      <c r="Q21" s="692">
        <f t="shared" si="3"/>
        <v>0</v>
      </c>
      <c r="R21" s="284">
        <f t="shared" si="13"/>
        <v>83</v>
      </c>
      <c r="S21" s="284">
        <f t="shared" si="13"/>
        <v>0</v>
      </c>
      <c r="T21" s="692">
        <f t="shared" si="7"/>
        <v>0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</row>
    <row r="22" spans="1:20" ht="12.75">
      <c r="A22" s="31" t="s">
        <v>772</v>
      </c>
      <c r="B22" s="34">
        <f>SUM(B23:B26)</f>
        <v>16153402</v>
      </c>
      <c r="C22" s="34">
        <f aca="true" t="shared" si="14" ref="C22:I22">SUM(C23:C26)</f>
        <v>0</v>
      </c>
      <c r="D22" s="691">
        <f t="shared" si="0"/>
        <v>0</v>
      </c>
      <c r="E22" s="34">
        <f t="shared" si="14"/>
        <v>16421295</v>
      </c>
      <c r="F22" s="34">
        <f t="shared" si="14"/>
        <v>0</v>
      </c>
      <c r="G22" s="691">
        <f t="shared" si="1"/>
        <v>0</v>
      </c>
      <c r="H22" s="34">
        <f t="shared" si="14"/>
        <v>42942000</v>
      </c>
      <c r="I22" s="34">
        <f t="shared" si="14"/>
        <v>0</v>
      </c>
      <c r="J22" s="691">
        <f t="shared" si="5"/>
        <v>0</v>
      </c>
      <c r="K22" s="31" t="s">
        <v>772</v>
      </c>
      <c r="L22" s="34">
        <f aca="true" t="shared" si="15" ref="L22:S22">SUM(L23:L26)</f>
        <v>16153</v>
      </c>
      <c r="M22" s="34">
        <f t="shared" si="15"/>
        <v>0</v>
      </c>
      <c r="N22" s="691">
        <f t="shared" si="2"/>
        <v>0</v>
      </c>
      <c r="O22" s="34">
        <f t="shared" si="15"/>
        <v>16422</v>
      </c>
      <c r="P22" s="34">
        <f t="shared" si="15"/>
        <v>0</v>
      </c>
      <c r="Q22" s="691">
        <f t="shared" si="3"/>
        <v>0</v>
      </c>
      <c r="R22" s="34">
        <f t="shared" si="15"/>
        <v>42942</v>
      </c>
      <c r="S22" s="34">
        <f t="shared" si="15"/>
        <v>0</v>
      </c>
      <c r="T22" s="691">
        <f t="shared" si="7"/>
        <v>0</v>
      </c>
    </row>
    <row r="23" spans="1:107" s="28" customFormat="1" ht="12.75">
      <c r="A23" s="36" t="s">
        <v>689</v>
      </c>
      <c r="B23" s="284">
        <v>4232472</v>
      </c>
      <c r="C23" s="284"/>
      <c r="D23" s="692">
        <f t="shared" si="0"/>
        <v>0</v>
      </c>
      <c r="E23" s="284">
        <v>4740805</v>
      </c>
      <c r="F23" s="284"/>
      <c r="G23" s="692">
        <f t="shared" si="1"/>
        <v>0</v>
      </c>
      <c r="H23" s="284">
        <v>25892000</v>
      </c>
      <c r="I23" s="284"/>
      <c r="J23" s="692">
        <f t="shared" si="5"/>
        <v>0</v>
      </c>
      <c r="K23" s="36" t="s">
        <v>689</v>
      </c>
      <c r="L23" s="284">
        <f aca="true" t="shared" si="16" ref="L23:S26">ROUND(B23/1000,0)</f>
        <v>4232</v>
      </c>
      <c r="M23" s="284">
        <f t="shared" si="16"/>
        <v>0</v>
      </c>
      <c r="N23" s="692">
        <f t="shared" si="2"/>
        <v>0</v>
      </c>
      <c r="O23" s="284">
        <f t="shared" si="16"/>
        <v>4741</v>
      </c>
      <c r="P23" s="284">
        <f t="shared" si="16"/>
        <v>0</v>
      </c>
      <c r="Q23" s="692">
        <f t="shared" si="3"/>
        <v>0</v>
      </c>
      <c r="R23" s="284">
        <f t="shared" si="16"/>
        <v>25892</v>
      </c>
      <c r="S23" s="284">
        <f t="shared" si="16"/>
        <v>0</v>
      </c>
      <c r="T23" s="692">
        <f t="shared" si="7"/>
        <v>0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</row>
    <row r="24" spans="1:107" s="28" customFormat="1" ht="12.75">
      <c r="A24" s="36" t="s">
        <v>854</v>
      </c>
      <c r="B24" s="284">
        <v>1844930</v>
      </c>
      <c r="C24" s="284"/>
      <c r="D24" s="692">
        <f t="shared" si="0"/>
        <v>0</v>
      </c>
      <c r="E24" s="284">
        <v>1604490</v>
      </c>
      <c r="F24" s="284"/>
      <c r="G24" s="692">
        <f t="shared" si="1"/>
        <v>0</v>
      </c>
      <c r="H24" s="284">
        <v>5940000</v>
      </c>
      <c r="I24" s="284"/>
      <c r="J24" s="692">
        <f t="shared" si="5"/>
        <v>0</v>
      </c>
      <c r="K24" s="36" t="s">
        <v>854</v>
      </c>
      <c r="L24" s="284">
        <f t="shared" si="16"/>
        <v>1845</v>
      </c>
      <c r="M24" s="284">
        <f t="shared" si="16"/>
        <v>0</v>
      </c>
      <c r="N24" s="692">
        <f t="shared" si="2"/>
        <v>0</v>
      </c>
      <c r="O24" s="284">
        <f>ROUND(E24/1000,0)+1</f>
        <v>1605</v>
      </c>
      <c r="P24" s="284">
        <f t="shared" si="16"/>
        <v>0</v>
      </c>
      <c r="Q24" s="692">
        <f t="shared" si="3"/>
        <v>0</v>
      </c>
      <c r="R24" s="284">
        <f t="shared" si="16"/>
        <v>5940</v>
      </c>
      <c r="S24" s="284">
        <f t="shared" si="16"/>
        <v>0</v>
      </c>
      <c r="T24" s="692">
        <f t="shared" si="7"/>
        <v>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</row>
    <row r="25" spans="1:107" s="28" customFormat="1" ht="12.75">
      <c r="A25" s="36" t="s">
        <v>690</v>
      </c>
      <c r="B25" s="284">
        <v>76000</v>
      </c>
      <c r="C25" s="284"/>
      <c r="D25" s="692">
        <f t="shared" si="0"/>
        <v>0</v>
      </c>
      <c r="E25" s="284">
        <v>76000</v>
      </c>
      <c r="F25" s="284"/>
      <c r="G25" s="692">
        <f t="shared" si="1"/>
        <v>0</v>
      </c>
      <c r="H25" s="284">
        <v>76000</v>
      </c>
      <c r="I25" s="284"/>
      <c r="J25" s="692">
        <f t="shared" si="5"/>
        <v>0</v>
      </c>
      <c r="K25" s="36" t="s">
        <v>690</v>
      </c>
      <c r="L25" s="284">
        <f t="shared" si="16"/>
        <v>76</v>
      </c>
      <c r="M25" s="284">
        <f t="shared" si="16"/>
        <v>0</v>
      </c>
      <c r="N25" s="692">
        <f t="shared" si="2"/>
        <v>0</v>
      </c>
      <c r="O25" s="284">
        <f t="shared" si="16"/>
        <v>76</v>
      </c>
      <c r="P25" s="284">
        <f t="shared" si="16"/>
        <v>0</v>
      </c>
      <c r="Q25" s="692">
        <f t="shared" si="3"/>
        <v>0</v>
      </c>
      <c r="R25" s="284">
        <f t="shared" si="16"/>
        <v>76</v>
      </c>
      <c r="S25" s="284">
        <f t="shared" si="16"/>
        <v>0</v>
      </c>
      <c r="T25" s="692">
        <f t="shared" si="7"/>
        <v>0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</row>
    <row r="26" spans="1:107" s="28" customFormat="1" ht="12.75">
      <c r="A26" s="36" t="s">
        <v>865</v>
      </c>
      <c r="B26" s="284">
        <v>10000000</v>
      </c>
      <c r="C26" s="284"/>
      <c r="D26" s="692">
        <f t="shared" si="0"/>
        <v>0</v>
      </c>
      <c r="E26" s="284">
        <v>10000000</v>
      </c>
      <c r="F26" s="284"/>
      <c r="G26" s="692">
        <f t="shared" si="1"/>
        <v>0</v>
      </c>
      <c r="H26" s="284">
        <v>11034000</v>
      </c>
      <c r="I26" s="284"/>
      <c r="J26" s="692">
        <f t="shared" si="5"/>
        <v>0</v>
      </c>
      <c r="K26" s="36" t="s">
        <v>865</v>
      </c>
      <c r="L26" s="284">
        <f t="shared" si="16"/>
        <v>10000</v>
      </c>
      <c r="M26" s="284">
        <f t="shared" si="16"/>
        <v>0</v>
      </c>
      <c r="N26" s="692">
        <f t="shared" si="2"/>
        <v>0</v>
      </c>
      <c r="O26" s="284">
        <f t="shared" si="16"/>
        <v>10000</v>
      </c>
      <c r="P26" s="284">
        <f t="shared" si="16"/>
        <v>0</v>
      </c>
      <c r="Q26" s="692">
        <f t="shared" si="3"/>
        <v>0</v>
      </c>
      <c r="R26" s="284">
        <f t="shared" si="16"/>
        <v>11034</v>
      </c>
      <c r="S26" s="284">
        <f t="shared" si="16"/>
        <v>0</v>
      </c>
      <c r="T26" s="692">
        <f t="shared" si="7"/>
        <v>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</row>
    <row r="27" spans="1:20" ht="12.75">
      <c r="A27" s="31" t="s">
        <v>773</v>
      </c>
      <c r="B27" s="34">
        <f>SUM(B28:B30)</f>
        <v>10084076</v>
      </c>
      <c r="C27" s="34">
        <f aca="true" t="shared" si="17" ref="C27:I27">SUM(C28:C30)</f>
        <v>0</v>
      </c>
      <c r="D27" s="691">
        <f t="shared" si="0"/>
        <v>0</v>
      </c>
      <c r="E27" s="34">
        <f t="shared" si="17"/>
        <v>4667080</v>
      </c>
      <c r="F27" s="34">
        <f t="shared" si="17"/>
        <v>0</v>
      </c>
      <c r="G27" s="691">
        <f t="shared" si="1"/>
        <v>0</v>
      </c>
      <c r="H27" s="34">
        <f t="shared" si="17"/>
        <v>29299485</v>
      </c>
      <c r="I27" s="34">
        <f t="shared" si="17"/>
        <v>0</v>
      </c>
      <c r="J27" s="691">
        <f t="shared" si="5"/>
        <v>0</v>
      </c>
      <c r="K27" s="31" t="s">
        <v>773</v>
      </c>
      <c r="L27" s="34">
        <f aca="true" t="shared" si="18" ref="L27:S27">SUM(L28:L30)</f>
        <v>10084</v>
      </c>
      <c r="M27" s="34">
        <f t="shared" si="18"/>
        <v>0</v>
      </c>
      <c r="N27" s="691">
        <f t="shared" si="2"/>
        <v>0</v>
      </c>
      <c r="O27" s="34">
        <f t="shared" si="18"/>
        <v>4666</v>
      </c>
      <c r="P27" s="34">
        <f t="shared" si="18"/>
        <v>0</v>
      </c>
      <c r="Q27" s="691">
        <f t="shared" si="3"/>
        <v>0</v>
      </c>
      <c r="R27" s="34">
        <f t="shared" si="18"/>
        <v>29300</v>
      </c>
      <c r="S27" s="34">
        <f t="shared" si="18"/>
        <v>0</v>
      </c>
      <c r="T27" s="691">
        <f t="shared" si="7"/>
        <v>0</v>
      </c>
    </row>
    <row r="28" spans="1:107" s="28" customFormat="1" ht="12.75">
      <c r="A28" s="36" t="s">
        <v>689</v>
      </c>
      <c r="B28" s="284">
        <v>1519853</v>
      </c>
      <c r="C28" s="284"/>
      <c r="D28" s="692">
        <f t="shared" si="0"/>
        <v>0</v>
      </c>
      <c r="E28" s="284">
        <v>2305546</v>
      </c>
      <c r="F28" s="284"/>
      <c r="G28" s="692">
        <f t="shared" si="1"/>
        <v>0</v>
      </c>
      <c r="H28" s="284">
        <v>14740905</v>
      </c>
      <c r="I28" s="284"/>
      <c r="J28" s="692">
        <f t="shared" si="5"/>
        <v>0</v>
      </c>
      <c r="K28" s="36" t="s">
        <v>689</v>
      </c>
      <c r="L28" s="284">
        <f aca="true" t="shared" si="19" ref="L28:S30">ROUND(B28/1000,0)</f>
        <v>1520</v>
      </c>
      <c r="M28" s="284">
        <f t="shared" si="19"/>
        <v>0</v>
      </c>
      <c r="N28" s="692">
        <f t="shared" si="2"/>
        <v>0</v>
      </c>
      <c r="O28" s="284">
        <f>ROUND(E28/1000,0)-1</f>
        <v>2305</v>
      </c>
      <c r="P28" s="284">
        <f t="shared" si="19"/>
        <v>0</v>
      </c>
      <c r="Q28" s="692">
        <f t="shared" si="3"/>
        <v>0</v>
      </c>
      <c r="R28" s="284">
        <f>ROUND(H28/1000,0)</f>
        <v>14741</v>
      </c>
      <c r="S28" s="284">
        <f t="shared" si="19"/>
        <v>0</v>
      </c>
      <c r="T28" s="692">
        <f t="shared" si="7"/>
        <v>0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</row>
    <row r="29" spans="1:107" s="28" customFormat="1" ht="12.75">
      <c r="A29" s="36" t="s">
        <v>854</v>
      </c>
      <c r="B29" s="284">
        <v>875500</v>
      </c>
      <c r="C29" s="284"/>
      <c r="D29" s="692">
        <f t="shared" si="0"/>
        <v>0</v>
      </c>
      <c r="E29" s="284">
        <v>858266</v>
      </c>
      <c r="F29" s="284"/>
      <c r="G29" s="692">
        <f t="shared" si="1"/>
        <v>0</v>
      </c>
      <c r="H29" s="284">
        <v>1670580</v>
      </c>
      <c r="I29" s="284"/>
      <c r="J29" s="692">
        <f t="shared" si="5"/>
        <v>0</v>
      </c>
      <c r="K29" s="36" t="s">
        <v>854</v>
      </c>
      <c r="L29" s="284">
        <f>ROUND(B29/1000,0)-1</f>
        <v>875</v>
      </c>
      <c r="M29" s="284">
        <f t="shared" si="19"/>
        <v>0</v>
      </c>
      <c r="N29" s="692">
        <f t="shared" si="2"/>
        <v>0</v>
      </c>
      <c r="O29" s="284">
        <f>ROUND(E29/1000,0)</f>
        <v>858</v>
      </c>
      <c r="P29" s="284">
        <f t="shared" si="19"/>
        <v>0</v>
      </c>
      <c r="Q29" s="692">
        <f t="shared" si="3"/>
        <v>0</v>
      </c>
      <c r="R29" s="284">
        <f t="shared" si="19"/>
        <v>1671</v>
      </c>
      <c r="S29" s="284">
        <f t="shared" si="19"/>
        <v>0</v>
      </c>
      <c r="T29" s="692">
        <f t="shared" si="7"/>
        <v>0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</row>
    <row r="30" spans="1:107" s="28" customFormat="1" ht="12.75">
      <c r="A30" s="36" t="s">
        <v>865</v>
      </c>
      <c r="B30" s="284">
        <v>7688723</v>
      </c>
      <c r="C30" s="284"/>
      <c r="D30" s="692">
        <f t="shared" si="0"/>
        <v>0</v>
      </c>
      <c r="E30" s="284">
        <v>1503268</v>
      </c>
      <c r="F30" s="284"/>
      <c r="G30" s="692">
        <f t="shared" si="1"/>
        <v>0</v>
      </c>
      <c r="H30" s="284">
        <v>12888000</v>
      </c>
      <c r="I30" s="284"/>
      <c r="J30" s="692">
        <f t="shared" si="5"/>
        <v>0</v>
      </c>
      <c r="K30" s="36" t="s">
        <v>865</v>
      </c>
      <c r="L30" s="284">
        <f t="shared" si="19"/>
        <v>7689</v>
      </c>
      <c r="M30" s="284">
        <f t="shared" si="19"/>
        <v>0</v>
      </c>
      <c r="N30" s="692">
        <f t="shared" si="2"/>
        <v>0</v>
      </c>
      <c r="O30" s="284">
        <f t="shared" si="19"/>
        <v>1503</v>
      </c>
      <c r="P30" s="284">
        <f t="shared" si="19"/>
        <v>0</v>
      </c>
      <c r="Q30" s="692">
        <f t="shared" si="3"/>
        <v>0</v>
      </c>
      <c r="R30" s="284">
        <f>ROUND(H30/1000,0)</f>
        <v>12888</v>
      </c>
      <c r="S30" s="284">
        <f t="shared" si="19"/>
        <v>0</v>
      </c>
      <c r="T30" s="692">
        <f t="shared" si="7"/>
        <v>0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</row>
    <row r="31" spans="1:20" s="681" customFormat="1" ht="24">
      <c r="A31" s="40" t="s">
        <v>883</v>
      </c>
      <c r="B31" s="34">
        <f>SUM(B32:B33)</f>
        <v>768000</v>
      </c>
      <c r="C31" s="34">
        <f>SUM(C32:C33)</f>
        <v>0</v>
      </c>
      <c r="D31" s="691">
        <f t="shared" si="0"/>
        <v>0</v>
      </c>
      <c r="E31" s="34">
        <f>SUM(E32:E33)</f>
        <v>1327000</v>
      </c>
      <c r="F31" s="34">
        <f>SUM(F32:F33)</f>
        <v>0</v>
      </c>
      <c r="G31" s="691">
        <f t="shared" si="1"/>
        <v>0</v>
      </c>
      <c r="H31" s="34">
        <f>SUM(H32:H33)</f>
        <v>1254000</v>
      </c>
      <c r="I31" s="34">
        <f>SUM(I32:I33)</f>
        <v>0</v>
      </c>
      <c r="J31" s="692">
        <f t="shared" si="5"/>
        <v>0</v>
      </c>
      <c r="K31" s="40" t="s">
        <v>883</v>
      </c>
      <c r="L31" s="34">
        <f>SUM(L32:L33)</f>
        <v>768</v>
      </c>
      <c r="M31" s="34">
        <f>SUM(M32:M33)</f>
        <v>0</v>
      </c>
      <c r="N31" s="691">
        <f t="shared" si="2"/>
        <v>0</v>
      </c>
      <c r="O31" s="34">
        <f>SUM(O32:O33)</f>
        <v>1327</v>
      </c>
      <c r="P31" s="34">
        <f>SUM(P32:P33)</f>
        <v>0</v>
      </c>
      <c r="Q31" s="691">
        <f t="shared" si="3"/>
        <v>0</v>
      </c>
      <c r="R31" s="34">
        <f>SUM(R32:R33)</f>
        <v>1254</v>
      </c>
      <c r="S31" s="34">
        <f>SUM(S32:S33)</f>
        <v>0</v>
      </c>
      <c r="T31" s="691">
        <f t="shared" si="7"/>
        <v>0</v>
      </c>
    </row>
    <row r="32" spans="1:107" s="28" customFormat="1" ht="12.75">
      <c r="A32" s="36" t="s">
        <v>690</v>
      </c>
      <c r="B32" s="284">
        <v>18000</v>
      </c>
      <c r="C32" s="284"/>
      <c r="D32" s="692">
        <f t="shared" si="0"/>
        <v>0</v>
      </c>
      <c r="E32" s="284">
        <v>27000</v>
      </c>
      <c r="F32" s="284"/>
      <c r="G32" s="692">
        <f t="shared" si="1"/>
        <v>0</v>
      </c>
      <c r="H32" s="284">
        <v>54000</v>
      </c>
      <c r="I32" s="284"/>
      <c r="J32" s="692">
        <f t="shared" si="5"/>
        <v>0</v>
      </c>
      <c r="K32" s="36" t="s">
        <v>690</v>
      </c>
      <c r="L32" s="284">
        <f>ROUND(B32/1000,0)</f>
        <v>18</v>
      </c>
      <c r="M32" s="284">
        <f>ROUND(C32/1000,0)</f>
        <v>0</v>
      </c>
      <c r="N32" s="692">
        <f>M32/L32*100</f>
        <v>0</v>
      </c>
      <c r="O32" s="284">
        <f>ROUND(E32/1000,0)</f>
        <v>27</v>
      </c>
      <c r="P32" s="284">
        <f>ROUND(F32/1000,0)</f>
        <v>0</v>
      </c>
      <c r="Q32" s="692">
        <f>P32/O32*100</f>
        <v>0</v>
      </c>
      <c r="R32" s="284">
        <f>ROUND(H32/1000,0)</f>
        <v>54</v>
      </c>
      <c r="S32" s="284">
        <f>ROUND(I32/1000,0)</f>
        <v>0</v>
      </c>
      <c r="T32" s="692">
        <f>S32/R32*100</f>
        <v>0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</row>
    <row r="33" spans="1:107" s="28" customFormat="1" ht="12.75">
      <c r="A33" s="36" t="s">
        <v>865</v>
      </c>
      <c r="B33" s="284">
        <v>750000</v>
      </c>
      <c r="C33" s="284"/>
      <c r="D33" s="692">
        <f t="shared" si="0"/>
        <v>0</v>
      </c>
      <c r="E33" s="284">
        <v>1300000</v>
      </c>
      <c r="F33" s="284"/>
      <c r="G33" s="692">
        <f t="shared" si="1"/>
        <v>0</v>
      </c>
      <c r="H33" s="284">
        <v>1200000</v>
      </c>
      <c r="I33" s="284"/>
      <c r="J33" s="692">
        <f t="shared" si="5"/>
        <v>0</v>
      </c>
      <c r="K33" s="36" t="s">
        <v>865</v>
      </c>
      <c r="L33" s="284">
        <f aca="true" t="shared" si="20" ref="L33:S33">ROUND(B33/1000,0)</f>
        <v>750</v>
      </c>
      <c r="M33" s="284">
        <f t="shared" si="20"/>
        <v>0</v>
      </c>
      <c r="N33" s="692">
        <f t="shared" si="2"/>
        <v>0</v>
      </c>
      <c r="O33" s="284">
        <f t="shared" si="20"/>
        <v>1300</v>
      </c>
      <c r="P33" s="284">
        <f t="shared" si="20"/>
        <v>0</v>
      </c>
      <c r="Q33" s="692">
        <f t="shared" si="3"/>
        <v>0</v>
      </c>
      <c r="R33" s="284">
        <f t="shared" si="20"/>
        <v>1200</v>
      </c>
      <c r="S33" s="284">
        <f t="shared" si="20"/>
        <v>0</v>
      </c>
      <c r="T33" s="692">
        <f t="shared" si="7"/>
        <v>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</row>
    <row r="34" spans="1:20" ht="24">
      <c r="A34" s="45" t="s">
        <v>779</v>
      </c>
      <c r="B34" s="34">
        <f>SUM(B35:B36)</f>
        <v>26722</v>
      </c>
      <c r="C34" s="34">
        <f aca="true" t="shared" si="21" ref="C34:I34">SUM(C35:C36)</f>
        <v>0</v>
      </c>
      <c r="D34" s="691">
        <f t="shared" si="0"/>
        <v>0</v>
      </c>
      <c r="E34" s="34">
        <f t="shared" si="21"/>
        <v>25515</v>
      </c>
      <c r="F34" s="34">
        <f t="shared" si="21"/>
        <v>0</v>
      </c>
      <c r="G34" s="691">
        <f t="shared" si="1"/>
        <v>0</v>
      </c>
      <c r="H34" s="34">
        <f t="shared" si="21"/>
        <v>61202</v>
      </c>
      <c r="I34" s="34">
        <f t="shared" si="21"/>
        <v>0</v>
      </c>
      <c r="J34" s="692">
        <f t="shared" si="5"/>
        <v>0</v>
      </c>
      <c r="K34" s="45" t="s">
        <v>779</v>
      </c>
      <c r="L34" s="34">
        <f aca="true" t="shared" si="22" ref="L34:S34">SUM(L35:L36)</f>
        <v>27</v>
      </c>
      <c r="M34" s="34">
        <f t="shared" si="22"/>
        <v>0</v>
      </c>
      <c r="N34" s="691">
        <f t="shared" si="2"/>
        <v>0</v>
      </c>
      <c r="O34" s="34">
        <f t="shared" si="22"/>
        <v>26</v>
      </c>
      <c r="P34" s="34">
        <f t="shared" si="22"/>
        <v>0</v>
      </c>
      <c r="Q34" s="691">
        <f t="shared" si="3"/>
        <v>0</v>
      </c>
      <c r="R34" s="34">
        <f t="shared" si="22"/>
        <v>61</v>
      </c>
      <c r="S34" s="34">
        <f t="shared" si="22"/>
        <v>0</v>
      </c>
      <c r="T34" s="691">
        <f t="shared" si="7"/>
        <v>0</v>
      </c>
    </row>
    <row r="35" spans="1:107" s="28" customFormat="1" ht="12.75">
      <c r="A35" s="36" t="s">
        <v>689</v>
      </c>
      <c r="B35" s="284">
        <v>22834</v>
      </c>
      <c r="C35" s="284"/>
      <c r="D35" s="692">
        <f t="shared" si="0"/>
        <v>0</v>
      </c>
      <c r="E35" s="284">
        <v>22541</v>
      </c>
      <c r="F35" s="284"/>
      <c r="G35" s="692">
        <f t="shared" si="1"/>
        <v>0</v>
      </c>
      <c r="H35" s="284">
        <v>57493</v>
      </c>
      <c r="I35" s="284"/>
      <c r="J35" s="692">
        <f t="shared" si="5"/>
        <v>0</v>
      </c>
      <c r="K35" s="36" t="s">
        <v>689</v>
      </c>
      <c r="L35" s="284">
        <f aca="true" t="shared" si="23" ref="L35:S36">ROUND(B35/1000,0)</f>
        <v>23</v>
      </c>
      <c r="M35" s="284">
        <f t="shared" si="23"/>
        <v>0</v>
      </c>
      <c r="N35" s="692">
        <f t="shared" si="2"/>
        <v>0</v>
      </c>
      <c r="O35" s="284">
        <f t="shared" si="23"/>
        <v>23</v>
      </c>
      <c r="P35" s="284">
        <f t="shared" si="23"/>
        <v>0</v>
      </c>
      <c r="Q35" s="692">
        <f t="shared" si="3"/>
        <v>0</v>
      </c>
      <c r="R35" s="284">
        <f t="shared" si="23"/>
        <v>57</v>
      </c>
      <c r="S35" s="284">
        <f t="shared" si="23"/>
        <v>0</v>
      </c>
      <c r="T35" s="692">
        <f t="shared" si="7"/>
        <v>0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107" s="28" customFormat="1" ht="12.75">
      <c r="A36" s="36" t="s">
        <v>854</v>
      </c>
      <c r="B36" s="284">
        <v>3888</v>
      </c>
      <c r="C36" s="284"/>
      <c r="D36" s="692">
        <f t="shared" si="0"/>
        <v>0</v>
      </c>
      <c r="E36" s="284">
        <v>2974</v>
      </c>
      <c r="F36" s="284"/>
      <c r="G36" s="692">
        <f t="shared" si="1"/>
        <v>0</v>
      </c>
      <c r="H36" s="284">
        <v>3709</v>
      </c>
      <c r="I36" s="284"/>
      <c r="J36" s="692">
        <f t="shared" si="5"/>
        <v>0</v>
      </c>
      <c r="K36" s="36" t="s">
        <v>854</v>
      </c>
      <c r="L36" s="284">
        <f t="shared" si="23"/>
        <v>4</v>
      </c>
      <c r="M36" s="284">
        <f t="shared" si="23"/>
        <v>0</v>
      </c>
      <c r="N36" s="692">
        <f t="shared" si="2"/>
        <v>0</v>
      </c>
      <c r="O36" s="284">
        <f t="shared" si="23"/>
        <v>3</v>
      </c>
      <c r="P36" s="284">
        <f t="shared" si="23"/>
        <v>0</v>
      </c>
      <c r="Q36" s="692">
        <f t="shared" si="3"/>
        <v>0</v>
      </c>
      <c r="R36" s="284">
        <f t="shared" si="23"/>
        <v>4</v>
      </c>
      <c r="S36" s="284">
        <f t="shared" si="23"/>
        <v>0</v>
      </c>
      <c r="T36" s="692">
        <f t="shared" si="7"/>
        <v>0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</row>
    <row r="37" spans="10:20" ht="12.75">
      <c r="J37" s="4"/>
      <c r="T37" s="4"/>
    </row>
    <row r="38" spans="1:20" ht="12.75">
      <c r="A38" s="2"/>
      <c r="B38" s="693"/>
      <c r="C38" s="694"/>
      <c r="D38" s="695"/>
      <c r="E38" s="695"/>
      <c r="F38" s="696"/>
      <c r="G38" s="696"/>
      <c r="H38" s="696"/>
      <c r="I38" s="696"/>
      <c r="J38" s="4"/>
      <c r="K38" s="2"/>
      <c r="L38" s="693"/>
      <c r="M38" s="694"/>
      <c r="N38" s="695"/>
      <c r="O38" s="695"/>
      <c r="P38" s="696"/>
      <c r="Q38" s="696"/>
      <c r="R38" s="696"/>
      <c r="S38" s="696"/>
      <c r="T38" s="4"/>
    </row>
    <row r="40" spans="1:20" ht="12.75">
      <c r="A40" s="4"/>
      <c r="B40" s="525"/>
      <c r="C40" s="519"/>
      <c r="D40" s="519"/>
      <c r="E40" s="697"/>
      <c r="F40" s="698"/>
      <c r="G40" s="698"/>
      <c r="H40" s="698"/>
      <c r="I40" s="698"/>
      <c r="J40" s="4"/>
      <c r="K40" s="4"/>
      <c r="L40" s="525"/>
      <c r="M40" s="519"/>
      <c r="N40" s="519"/>
      <c r="O40" s="697"/>
      <c r="P40" s="698"/>
      <c r="Q40" s="698"/>
      <c r="R40" s="698"/>
      <c r="S40" s="698"/>
      <c r="T40" s="4"/>
    </row>
    <row r="41" spans="1:20" ht="12.75">
      <c r="A41" s="80" t="s">
        <v>691</v>
      </c>
      <c r="B41" s="525"/>
      <c r="C41" s="519"/>
      <c r="D41" s="519"/>
      <c r="E41" s="697"/>
      <c r="F41" s="698"/>
      <c r="G41" s="698"/>
      <c r="H41" s="698"/>
      <c r="I41" s="698"/>
      <c r="J41" s="4"/>
      <c r="K41" s="80" t="s">
        <v>692</v>
      </c>
      <c r="L41" s="525"/>
      <c r="M41" s="519"/>
      <c r="N41" s="519"/>
      <c r="O41" s="697"/>
      <c r="P41" s="698"/>
      <c r="Q41" s="698"/>
      <c r="R41" s="698"/>
      <c r="S41" s="698"/>
      <c r="T41" s="4"/>
    </row>
    <row r="42" spans="2:20" ht="12.75">
      <c r="B42" s="699"/>
      <c r="C42" s="519"/>
      <c r="D42" s="700"/>
      <c r="E42" s="701"/>
      <c r="F42" s="702"/>
      <c r="G42" s="702"/>
      <c r="H42" s="702"/>
      <c r="I42" s="702"/>
      <c r="J42" s="4"/>
      <c r="L42" s="699"/>
      <c r="M42" s="519"/>
      <c r="N42" s="700"/>
      <c r="O42" s="701"/>
      <c r="P42" s="702"/>
      <c r="Q42" s="702"/>
      <c r="R42" s="702"/>
      <c r="S42" s="702"/>
      <c r="T42" s="4"/>
    </row>
    <row r="43" spans="1:11" ht="12.75">
      <c r="A43" s="4"/>
      <c r="K43" s="4"/>
    </row>
    <row r="44" spans="1:20" ht="12.75">
      <c r="A44" s="4"/>
      <c r="J44" s="4"/>
      <c r="K44" s="4"/>
      <c r="T44" s="4"/>
    </row>
    <row r="45" spans="1:20" ht="12.75">
      <c r="A45" s="4"/>
      <c r="J45" s="4"/>
      <c r="K45" s="4"/>
      <c r="T45" s="4"/>
    </row>
    <row r="46" spans="1:20" ht="12.75">
      <c r="A46" s="4"/>
      <c r="J46" s="4"/>
      <c r="K46" s="4"/>
      <c r="T46" s="4"/>
    </row>
    <row r="47" spans="10:20" ht="12.75">
      <c r="J47" s="4"/>
      <c r="T47" s="4"/>
    </row>
    <row r="48" spans="10:20" ht="12.75">
      <c r="J48" s="4"/>
      <c r="T48" s="4"/>
    </row>
    <row r="49" spans="1:20" ht="12.75">
      <c r="A49" s="4"/>
      <c r="J49" s="4"/>
      <c r="K49" s="4"/>
      <c r="T49" s="4"/>
    </row>
    <row r="50" spans="1:20" ht="12.75">
      <c r="A50" s="4"/>
      <c r="J50" s="4"/>
      <c r="K50" s="4"/>
      <c r="T50" s="4"/>
    </row>
    <row r="51" spans="1:20" ht="12.75">
      <c r="A51" s="4"/>
      <c r="J51" s="4"/>
      <c r="K51" s="4"/>
      <c r="T51" s="4"/>
    </row>
    <row r="52" spans="10:20" ht="12.75">
      <c r="J52" s="4"/>
      <c r="T52" s="4"/>
    </row>
    <row r="53" spans="10:20" ht="12.75">
      <c r="J53" s="4"/>
      <c r="K53" s="4" t="s">
        <v>788</v>
      </c>
      <c r="T53" s="4"/>
    </row>
    <row r="54" spans="10:20" ht="12.75">
      <c r="J54" s="4"/>
      <c r="K54" s="4" t="s">
        <v>789</v>
      </c>
      <c r="T54" s="4"/>
    </row>
    <row r="55" spans="1:20" ht="12.75">
      <c r="A55" s="4"/>
      <c r="J55" s="4"/>
      <c r="T55" s="4"/>
    </row>
    <row r="56" spans="1:20" ht="12.75">
      <c r="A56" s="4"/>
      <c r="J56" s="4"/>
      <c r="T56" s="4"/>
    </row>
    <row r="57" spans="10:20" ht="12.75">
      <c r="J57" s="4"/>
      <c r="T57" s="4"/>
    </row>
    <row r="58" spans="10:20" ht="12.75">
      <c r="J58" s="4"/>
      <c r="T58" s="4"/>
    </row>
    <row r="59" spans="10:20" ht="12.75">
      <c r="J59" s="4"/>
      <c r="T59" s="4"/>
    </row>
    <row r="60" spans="10:20" ht="12.75">
      <c r="J60" s="4"/>
      <c r="T60" s="4"/>
    </row>
    <row r="61" spans="10:20" ht="12.75">
      <c r="J61" s="4"/>
      <c r="T61" s="4"/>
    </row>
    <row r="62" spans="10:20" ht="12.75">
      <c r="J62" s="4"/>
      <c r="T62" s="4"/>
    </row>
    <row r="63" spans="10:20" ht="12.75">
      <c r="J63" s="4"/>
      <c r="T63" s="4"/>
    </row>
    <row r="64" spans="10:20" ht="12.75">
      <c r="J64" s="4"/>
      <c r="T64" s="4"/>
    </row>
    <row r="65" spans="10:20" ht="12.75">
      <c r="J65" s="4"/>
      <c r="T65" s="4"/>
    </row>
    <row r="66" spans="10:20" ht="12.75">
      <c r="J66" s="4"/>
      <c r="T66" s="4"/>
    </row>
    <row r="67" spans="10:20" ht="12.75">
      <c r="J67" s="4"/>
      <c r="T67" s="4"/>
    </row>
    <row r="68" spans="10:20" ht="12.75">
      <c r="J68" s="4"/>
      <c r="T68" s="4"/>
    </row>
    <row r="69" spans="10:20" ht="12.75">
      <c r="J69" s="4"/>
      <c r="T69" s="4"/>
    </row>
    <row r="70" spans="10:20" ht="12.75">
      <c r="J70" s="4"/>
      <c r="T70" s="4"/>
    </row>
    <row r="71" spans="10:20" ht="12.75">
      <c r="J71" s="4"/>
      <c r="T71" s="4"/>
    </row>
    <row r="72" spans="10:20" ht="12.75">
      <c r="J72" s="4"/>
      <c r="T72" s="4"/>
    </row>
    <row r="73" spans="10:20" ht="12.75">
      <c r="J73" s="4"/>
      <c r="T73" s="4"/>
    </row>
    <row r="74" spans="10:20" ht="12.75">
      <c r="J74" s="4"/>
      <c r="T74" s="4"/>
    </row>
    <row r="75" spans="10:20" ht="12.75">
      <c r="J75" s="4"/>
      <c r="T75" s="4"/>
    </row>
    <row r="76" spans="10:20" ht="12.75">
      <c r="J76" s="4"/>
      <c r="T76" s="4"/>
    </row>
    <row r="77" spans="10:20" ht="12.75">
      <c r="J77" s="4"/>
      <c r="T77" s="4"/>
    </row>
    <row r="78" spans="10:20" ht="12.75">
      <c r="J78" s="4"/>
      <c r="T78" s="4"/>
    </row>
    <row r="79" spans="10:20" ht="12.75">
      <c r="J79" s="4"/>
      <c r="T79" s="4"/>
    </row>
    <row r="80" spans="10:20" ht="12.75">
      <c r="J80" s="4"/>
      <c r="T80" s="4"/>
    </row>
    <row r="81" spans="10:20" ht="12.75">
      <c r="J81" s="4"/>
      <c r="T81" s="4"/>
    </row>
    <row r="82" spans="10:20" ht="12.75">
      <c r="J82" s="4"/>
      <c r="T82" s="4"/>
    </row>
    <row r="83" spans="10:20" ht="12.75">
      <c r="J83" s="4"/>
      <c r="T83" s="4"/>
    </row>
    <row r="84" spans="10:20" ht="12.75">
      <c r="J84" s="4"/>
      <c r="T84" s="4"/>
    </row>
    <row r="85" spans="10:20" ht="12.75">
      <c r="J85" s="4"/>
      <c r="T85" s="4"/>
    </row>
    <row r="86" spans="10:20" ht="12.75">
      <c r="J86" s="4"/>
      <c r="T86" s="4"/>
    </row>
    <row r="87" spans="10:20" ht="12.75">
      <c r="J87" s="4"/>
      <c r="T87" s="4"/>
    </row>
    <row r="88" spans="10:20" ht="12.75">
      <c r="J88" s="4"/>
      <c r="T88" s="4"/>
    </row>
    <row r="89" spans="10:20" ht="12.75">
      <c r="J89" s="4"/>
      <c r="T89" s="4"/>
    </row>
    <row r="90" spans="10:20" ht="12.75">
      <c r="J90" s="4"/>
      <c r="T90" s="4"/>
    </row>
    <row r="91" spans="10:20" ht="12.75">
      <c r="J91" s="4"/>
      <c r="T91" s="4"/>
    </row>
    <row r="92" spans="10:20" ht="12.75">
      <c r="J92" s="4"/>
      <c r="T92" s="4"/>
    </row>
    <row r="93" spans="10:20" ht="12.75">
      <c r="J93" s="4"/>
      <c r="T93" s="4"/>
    </row>
    <row r="94" spans="10:20" ht="12.75">
      <c r="J94" s="4"/>
      <c r="T94" s="4"/>
    </row>
    <row r="95" spans="10:20" ht="12.75">
      <c r="J95" s="4"/>
      <c r="T95" s="4"/>
    </row>
    <row r="96" spans="10:20" ht="12.75">
      <c r="J96" s="4"/>
      <c r="T96" s="4"/>
    </row>
    <row r="97" spans="10:20" ht="12.75">
      <c r="J97" s="4"/>
      <c r="T97" s="4"/>
    </row>
    <row r="98" spans="10:20" ht="12.75">
      <c r="J98" s="4"/>
      <c r="T98" s="4"/>
    </row>
    <row r="99" spans="10:20" ht="12.75">
      <c r="J99" s="4"/>
      <c r="T99" s="4"/>
    </row>
    <row r="100" spans="10:20" ht="12.75">
      <c r="J100" s="4"/>
      <c r="T100" s="4"/>
    </row>
    <row r="101" spans="10:20" ht="12.75">
      <c r="J101" s="4"/>
      <c r="T101" s="4"/>
    </row>
    <row r="102" spans="10:20" ht="12.75">
      <c r="J102" s="4"/>
      <c r="T102" s="4"/>
    </row>
    <row r="103" spans="10:20" ht="12.75">
      <c r="J103" s="4"/>
      <c r="T103" s="4"/>
    </row>
    <row r="104" spans="10:20" ht="12.75">
      <c r="J104" s="4"/>
      <c r="T104" s="4"/>
    </row>
    <row r="105" spans="10:20" ht="12.75">
      <c r="J105" s="4"/>
      <c r="T105" s="4"/>
    </row>
    <row r="106" spans="10:20" ht="12.75">
      <c r="J106" s="4"/>
      <c r="T106" s="4"/>
    </row>
    <row r="107" spans="10:20" ht="12.75">
      <c r="J107" s="4"/>
      <c r="T107" s="4"/>
    </row>
    <row r="108" spans="10:20" ht="12.75">
      <c r="J108" s="4"/>
      <c r="T108" s="4"/>
    </row>
    <row r="109" spans="10:20" ht="12.75">
      <c r="J109" s="4"/>
      <c r="T109" s="4"/>
    </row>
    <row r="110" spans="10:20" ht="12.75">
      <c r="J110" s="4"/>
      <c r="T110" s="4"/>
    </row>
    <row r="111" spans="10:20" ht="12.75">
      <c r="J111" s="4"/>
      <c r="T111" s="4"/>
    </row>
    <row r="112" spans="10:20" ht="12.75">
      <c r="J112" s="4"/>
      <c r="T112" s="4"/>
    </row>
    <row r="113" spans="10:20" ht="12.75">
      <c r="J113" s="4"/>
      <c r="T113" s="4"/>
    </row>
    <row r="114" spans="10:20" ht="12.75">
      <c r="J114" s="4"/>
      <c r="T114" s="4"/>
    </row>
    <row r="115" spans="10:20" ht="12.75">
      <c r="J115" s="4"/>
      <c r="T115" s="4"/>
    </row>
    <row r="116" spans="10:20" ht="12.75">
      <c r="J116" s="4"/>
      <c r="T116" s="4"/>
    </row>
    <row r="117" spans="10:20" ht="12.75">
      <c r="J117" s="4"/>
      <c r="T117" s="4"/>
    </row>
    <row r="118" spans="10:20" ht="12.75">
      <c r="J118" s="4"/>
      <c r="T118" s="4"/>
    </row>
    <row r="119" spans="10:20" ht="12.75">
      <c r="J119" s="4"/>
      <c r="T119" s="4"/>
    </row>
    <row r="120" spans="10:20" ht="12.75">
      <c r="J120" s="4"/>
      <c r="T120" s="4"/>
    </row>
    <row r="121" spans="10:20" ht="12.75">
      <c r="J121" s="4"/>
      <c r="T121" s="4"/>
    </row>
    <row r="122" spans="10:20" ht="12.75">
      <c r="J122" s="4"/>
      <c r="T122" s="4"/>
    </row>
    <row r="123" spans="10:20" ht="12.75">
      <c r="J123" s="4"/>
      <c r="T123" s="4"/>
    </row>
    <row r="124" spans="10:20" ht="12.75">
      <c r="J124" s="4"/>
      <c r="T124" s="4"/>
    </row>
    <row r="125" spans="10:20" ht="12.75">
      <c r="J125" s="4"/>
      <c r="T125" s="4"/>
    </row>
    <row r="126" spans="10:20" ht="12.75">
      <c r="J126" s="4"/>
      <c r="T126" s="4"/>
    </row>
    <row r="127" spans="1:2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</sheetData>
  <mergeCells count="12">
    <mergeCell ref="A4:J4"/>
    <mergeCell ref="K4:T4"/>
    <mergeCell ref="A5:J5"/>
    <mergeCell ref="K5:T5"/>
    <mergeCell ref="A6:J6"/>
    <mergeCell ref="K6:T6"/>
    <mergeCell ref="B9:D9"/>
    <mergeCell ref="E9:G9"/>
    <mergeCell ref="H9:J9"/>
    <mergeCell ref="L9:N9"/>
    <mergeCell ref="O9:Q9"/>
    <mergeCell ref="R9:T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H1">
      <selection activeCell="A7" sqref="A7"/>
    </sheetView>
  </sheetViews>
  <sheetFormatPr defaultColWidth="9.140625" defaultRowHeight="17.25" customHeight="1"/>
  <cols>
    <col min="1" max="1" width="41.00390625" style="0" hidden="1" customWidth="1"/>
    <col min="2" max="2" width="10.8515625" style="0" hidden="1" customWidth="1"/>
    <col min="3" max="3" width="8.00390625" style="0" hidden="1" customWidth="1"/>
    <col min="4" max="4" width="8.8515625" style="0" hidden="1" customWidth="1"/>
    <col min="5" max="5" width="5.57421875" style="0" hidden="1" customWidth="1"/>
    <col min="6" max="6" width="11.28125" style="0" hidden="1" customWidth="1"/>
    <col min="7" max="7" width="9.140625" style="0" hidden="1" customWidth="1"/>
    <col min="8" max="8" width="45.57421875" style="0" customWidth="1"/>
    <col min="9" max="9" width="11.00390625" style="0" customWidth="1"/>
    <col min="10" max="10" width="5.421875" style="0" customWidth="1"/>
    <col min="12" max="12" width="8.140625" style="0" customWidth="1"/>
    <col min="13" max="13" width="8.28125" style="0" customWidth="1"/>
  </cols>
  <sheetData>
    <row r="1" spans="1:13" ht="14.25" customHeight="1">
      <c r="A1" s="328"/>
      <c r="B1" s="328"/>
      <c r="C1" s="328"/>
      <c r="D1" s="328"/>
      <c r="E1" s="328"/>
      <c r="F1" s="329" t="s">
        <v>239</v>
      </c>
      <c r="H1" s="330"/>
      <c r="I1" s="330"/>
      <c r="J1" s="330"/>
      <c r="K1" s="330"/>
      <c r="L1" s="330"/>
      <c r="M1" s="331" t="s">
        <v>239</v>
      </c>
    </row>
    <row r="2" spans="1:13" ht="13.5" customHeight="1">
      <c r="A2" s="762" t="s">
        <v>791</v>
      </c>
      <c r="B2" s="762"/>
      <c r="C2" s="762"/>
      <c r="D2" s="762"/>
      <c r="E2" s="762"/>
      <c r="F2" s="762"/>
      <c r="H2" s="763" t="s">
        <v>791</v>
      </c>
      <c r="I2" s="763"/>
      <c r="J2" s="763"/>
      <c r="K2" s="763"/>
      <c r="L2" s="763"/>
      <c r="M2" s="763"/>
    </row>
    <row r="3" spans="1:13" ht="12.75" customHeight="1">
      <c r="A3" s="328"/>
      <c r="B3" s="328"/>
      <c r="C3" s="328"/>
      <c r="D3" s="328"/>
      <c r="E3" s="328"/>
      <c r="F3" s="328"/>
      <c r="H3" s="330"/>
      <c r="I3" s="330"/>
      <c r="J3" s="330"/>
      <c r="K3" s="330"/>
      <c r="L3" s="330"/>
      <c r="M3" s="330"/>
    </row>
    <row r="4" spans="1:13" ht="15" customHeight="1">
      <c r="A4" s="764" t="s">
        <v>240</v>
      </c>
      <c r="B4" s="764"/>
      <c r="C4" s="764"/>
      <c r="D4" s="764"/>
      <c r="E4" s="764"/>
      <c r="F4" s="764"/>
      <c r="H4" s="765" t="s">
        <v>240</v>
      </c>
      <c r="I4" s="765"/>
      <c r="J4" s="765"/>
      <c r="K4" s="765"/>
      <c r="L4" s="765"/>
      <c r="M4" s="765"/>
    </row>
    <row r="5" spans="1:13" ht="14.25" customHeight="1">
      <c r="A5" s="762" t="s">
        <v>241</v>
      </c>
      <c r="B5" s="762"/>
      <c r="C5" s="762"/>
      <c r="D5" s="762"/>
      <c r="E5" s="762"/>
      <c r="F5" s="328"/>
      <c r="H5" s="763" t="s">
        <v>241</v>
      </c>
      <c r="I5" s="763"/>
      <c r="J5" s="763"/>
      <c r="K5" s="763"/>
      <c r="L5" s="763"/>
      <c r="M5" s="330"/>
    </row>
    <row r="6" spans="1:13" ht="14.25" customHeight="1">
      <c r="A6" s="328"/>
      <c r="B6" s="328"/>
      <c r="C6" s="328"/>
      <c r="D6" s="328"/>
      <c r="E6" s="328"/>
      <c r="F6" s="328" t="s">
        <v>837</v>
      </c>
      <c r="H6" s="330"/>
      <c r="I6" s="330"/>
      <c r="J6" s="330"/>
      <c r="K6" s="330"/>
      <c r="L6" s="330"/>
      <c r="M6" s="330" t="s">
        <v>837</v>
      </c>
    </row>
    <row r="7" spans="1:13" ht="72">
      <c r="A7" s="334" t="s">
        <v>242</v>
      </c>
      <c r="B7" s="334" t="s">
        <v>749</v>
      </c>
      <c r="C7" s="335" t="s">
        <v>243</v>
      </c>
      <c r="D7" s="334" t="s">
        <v>751</v>
      </c>
      <c r="E7" s="334" t="s">
        <v>244</v>
      </c>
      <c r="F7" s="334" t="s">
        <v>797</v>
      </c>
      <c r="H7" s="336" t="s">
        <v>242</v>
      </c>
      <c r="I7" s="336" t="s">
        <v>749</v>
      </c>
      <c r="J7" s="337" t="s">
        <v>243</v>
      </c>
      <c r="K7" s="336" t="s">
        <v>751</v>
      </c>
      <c r="L7" s="336" t="s">
        <v>244</v>
      </c>
      <c r="M7" s="336" t="s">
        <v>797</v>
      </c>
    </row>
    <row r="8" spans="1:13" ht="13.5" customHeight="1">
      <c r="A8" s="338">
        <v>1</v>
      </c>
      <c r="B8" s="339">
        <v>2</v>
      </c>
      <c r="C8" s="339">
        <v>3</v>
      </c>
      <c r="D8" s="339">
        <v>4</v>
      </c>
      <c r="E8" s="339">
        <v>5</v>
      </c>
      <c r="F8" s="339">
        <v>6</v>
      </c>
      <c r="H8" s="340">
        <v>1</v>
      </c>
      <c r="I8" s="341">
        <v>2</v>
      </c>
      <c r="J8" s="341">
        <v>3</v>
      </c>
      <c r="K8" s="341">
        <v>4</v>
      </c>
      <c r="L8" s="341">
        <v>5</v>
      </c>
      <c r="M8" s="341">
        <v>6</v>
      </c>
    </row>
    <row r="9" spans="1:13" ht="13.5" customHeight="1">
      <c r="A9" s="342" t="s">
        <v>245</v>
      </c>
      <c r="B9" s="343">
        <f>B10+B19+B36+B38</f>
        <v>795383031</v>
      </c>
      <c r="C9" s="344">
        <v>96.25</v>
      </c>
      <c r="D9" s="343">
        <f>D10+D19+D36+D38</f>
        <v>168332580.13000003</v>
      </c>
      <c r="E9" s="345">
        <f>IF(ISERROR(D9/B9)," ",(D9/B9))*100</f>
        <v>21.163712773500194</v>
      </c>
      <c r="F9" s="343">
        <f>F10+F19+F36+F38</f>
        <v>54246476.90000002</v>
      </c>
      <c r="H9" s="346" t="s">
        <v>245</v>
      </c>
      <c r="I9" s="347">
        <f aca="true" t="shared" si="0" ref="I9:I16">ROUND(B9/1000,0)</f>
        <v>795383</v>
      </c>
      <c r="J9" s="348">
        <f>C9</f>
        <v>96.25</v>
      </c>
      <c r="K9" s="347">
        <f>K10+K19+K36+K38</f>
        <v>168333</v>
      </c>
      <c r="L9" s="349">
        <f aca="true" t="shared" si="1" ref="L9:L38">E9</f>
        <v>21.163712773500194</v>
      </c>
      <c r="M9" s="347">
        <f>M10+M19+M36+M38</f>
        <v>54247</v>
      </c>
    </row>
    <row r="10" spans="1:13" ht="13.5" customHeight="1">
      <c r="A10" s="350" t="s">
        <v>246</v>
      </c>
      <c r="B10" s="343">
        <f>B11+B13</f>
        <v>611912797</v>
      </c>
      <c r="C10" s="344">
        <v>95.19</v>
      </c>
      <c r="D10" s="343">
        <f>D11+D13+D17</f>
        <v>134491267.26000002</v>
      </c>
      <c r="E10" s="345">
        <f>IF(ISERROR(D10/B10)," ",(D10/B10))*100</f>
        <v>21.978828996446044</v>
      </c>
      <c r="F10" s="343">
        <f>F11+F13+F17</f>
        <v>44581778.97000001</v>
      </c>
      <c r="H10" s="351" t="s">
        <v>246</v>
      </c>
      <c r="I10" s="347">
        <f t="shared" si="0"/>
        <v>611913</v>
      </c>
      <c r="J10" s="348">
        <f>C10</f>
        <v>95.19</v>
      </c>
      <c r="K10" s="347">
        <f>K11+K13+K17</f>
        <v>134492</v>
      </c>
      <c r="L10" s="349">
        <f t="shared" si="1"/>
        <v>21.978828996446044</v>
      </c>
      <c r="M10" s="347">
        <f>M11+M13+M17</f>
        <v>44584</v>
      </c>
    </row>
    <row r="11" spans="1:13" ht="13.5" customHeight="1">
      <c r="A11" s="350" t="s">
        <v>247</v>
      </c>
      <c r="B11" s="343">
        <f>B12</f>
        <v>98046000</v>
      </c>
      <c r="C11" s="344">
        <v>85.72</v>
      </c>
      <c r="D11" s="343">
        <f>D12</f>
        <v>23160523.76</v>
      </c>
      <c r="E11" s="345">
        <f>IF(ISERROR(D11/B11)," ",(D11/B11))*100</f>
        <v>23.622099585908657</v>
      </c>
      <c r="F11" s="343">
        <f>F12</f>
        <v>9656269.260000002</v>
      </c>
      <c r="H11" s="351" t="s">
        <v>247</v>
      </c>
      <c r="I11" s="347">
        <f t="shared" si="0"/>
        <v>98046</v>
      </c>
      <c r="J11" s="348">
        <f>C11</f>
        <v>85.72</v>
      </c>
      <c r="K11" s="347">
        <f>K12</f>
        <v>23161</v>
      </c>
      <c r="L11" s="349">
        <f t="shared" si="1"/>
        <v>23.622099585908657</v>
      </c>
      <c r="M11" s="347">
        <f>M12</f>
        <v>9657</v>
      </c>
    </row>
    <row r="12" spans="1:13" ht="13.5" customHeight="1">
      <c r="A12" s="352" t="s">
        <v>248</v>
      </c>
      <c r="B12" s="353">
        <v>98046000</v>
      </c>
      <c r="C12" s="354">
        <v>85.72</v>
      </c>
      <c r="D12" s="355">
        <v>23160523.76</v>
      </c>
      <c r="E12" s="356">
        <f aca="true" t="shared" si="2" ref="E12:E38">IF(ISERROR(D12/B12)," ",(D12/B12))*100</f>
        <v>23.622099585908657</v>
      </c>
      <c r="F12" s="355">
        <f>D12-'[10]februāris'!D12</f>
        <v>9656269.260000002</v>
      </c>
      <c r="H12" s="357" t="s">
        <v>248</v>
      </c>
      <c r="I12" s="358">
        <f t="shared" si="0"/>
        <v>98046</v>
      </c>
      <c r="J12" s="359">
        <f>C12</f>
        <v>85.72</v>
      </c>
      <c r="K12" s="358">
        <f aca="true" t="shared" si="3" ref="K12:K33">ROUND(D12/1000,0)</f>
        <v>23161</v>
      </c>
      <c r="L12" s="360">
        <f t="shared" si="1"/>
        <v>23.622099585908657</v>
      </c>
      <c r="M12" s="358">
        <f>ROUND(F12/1000,0)+1</f>
        <v>9657</v>
      </c>
    </row>
    <row r="13" spans="1:13" ht="13.5" customHeight="1">
      <c r="A13" s="350" t="s">
        <v>249</v>
      </c>
      <c r="B13" s="343">
        <f>B14+B15+B16</f>
        <v>513866797</v>
      </c>
      <c r="C13" s="344">
        <v>97.33</v>
      </c>
      <c r="D13" s="343">
        <f>D14+D15+D16</f>
        <v>107946854.98</v>
      </c>
      <c r="E13" s="345">
        <f t="shared" si="2"/>
        <v>21.00677755601322</v>
      </c>
      <c r="F13" s="355">
        <f>D13-'[10]februāris'!D13</f>
        <v>35036984.150000006</v>
      </c>
      <c r="H13" s="351" t="s">
        <v>249</v>
      </c>
      <c r="I13" s="347">
        <f t="shared" si="0"/>
        <v>513867</v>
      </c>
      <c r="J13" s="344">
        <v>97.33</v>
      </c>
      <c r="K13" s="347">
        <f>K14+K15+K16</f>
        <v>107947</v>
      </c>
      <c r="L13" s="349">
        <f t="shared" si="1"/>
        <v>21.00677755601322</v>
      </c>
      <c r="M13" s="347">
        <f>M14+M15+M16</f>
        <v>35038</v>
      </c>
    </row>
    <row r="14" spans="1:13" ht="13.5" customHeight="1">
      <c r="A14" s="352" t="s">
        <v>250</v>
      </c>
      <c r="B14" s="353">
        <v>368947657</v>
      </c>
      <c r="C14" s="361">
        <v>97.97</v>
      </c>
      <c r="D14" s="355">
        <v>78166239.7</v>
      </c>
      <c r="E14" s="356">
        <f t="shared" si="2"/>
        <v>21.186268083550942</v>
      </c>
      <c r="F14" s="355">
        <f>D14-'[10]februāris'!D14</f>
        <v>26098145.800000004</v>
      </c>
      <c r="H14" s="357" t="s">
        <v>250</v>
      </c>
      <c r="I14" s="358">
        <f t="shared" si="0"/>
        <v>368948</v>
      </c>
      <c r="J14" s="359">
        <f>C14</f>
        <v>97.97</v>
      </c>
      <c r="K14" s="358">
        <f t="shared" si="3"/>
        <v>78166</v>
      </c>
      <c r="L14" s="360">
        <f t="shared" si="1"/>
        <v>21.186268083550942</v>
      </c>
      <c r="M14" s="358">
        <f>ROUND(F14/1000,0)</f>
        <v>26098</v>
      </c>
    </row>
    <row r="15" spans="1:13" ht="13.5" customHeight="1">
      <c r="A15" s="352" t="s">
        <v>251</v>
      </c>
      <c r="B15" s="353">
        <v>132976140</v>
      </c>
      <c r="C15" s="361">
        <v>94.04</v>
      </c>
      <c r="D15" s="355">
        <v>26508035.42</v>
      </c>
      <c r="E15" s="356">
        <f t="shared" si="2"/>
        <v>19.93442990599667</v>
      </c>
      <c r="F15" s="355">
        <f>D15-'[10]februāris'!D15</f>
        <v>7720605.210000001</v>
      </c>
      <c r="H15" s="357" t="s">
        <v>251</v>
      </c>
      <c r="I15" s="358">
        <f t="shared" si="0"/>
        <v>132976</v>
      </c>
      <c r="J15" s="359">
        <f aca="true" t="shared" si="4" ref="J15:J38">C15</f>
        <v>94.04</v>
      </c>
      <c r="K15" s="358">
        <f t="shared" si="3"/>
        <v>26508</v>
      </c>
      <c r="L15" s="360">
        <f t="shared" si="1"/>
        <v>19.93442990599667</v>
      </c>
      <c r="M15" s="358">
        <f>ROUND(F15/1000,0)</f>
        <v>7721</v>
      </c>
    </row>
    <row r="16" spans="1:13" ht="13.5" customHeight="1">
      <c r="A16" s="362" t="s">
        <v>252</v>
      </c>
      <c r="B16" s="353">
        <v>11943000</v>
      </c>
      <c r="C16" s="361">
        <v>100</v>
      </c>
      <c r="D16" s="355">
        <v>3272579.86</v>
      </c>
      <c r="E16" s="356">
        <f t="shared" si="2"/>
        <v>27.40165670267102</v>
      </c>
      <c r="F16" s="355">
        <f>D16-'[10]februāris'!D16</f>
        <v>1218233.14</v>
      </c>
      <c r="H16" s="363" t="s">
        <v>252</v>
      </c>
      <c r="I16" s="358">
        <f t="shared" si="0"/>
        <v>11943</v>
      </c>
      <c r="J16" s="359">
        <f t="shared" si="4"/>
        <v>100</v>
      </c>
      <c r="K16" s="358">
        <f>ROUND(D16/1000,0)</f>
        <v>3273</v>
      </c>
      <c r="L16" s="360">
        <f t="shared" si="1"/>
        <v>27.40165670267102</v>
      </c>
      <c r="M16" s="358">
        <f>ROUND(F16/1000,0)+1</f>
        <v>1219</v>
      </c>
    </row>
    <row r="17" spans="1:13" ht="13.5" customHeight="1">
      <c r="A17" s="350" t="s">
        <v>253</v>
      </c>
      <c r="B17" s="364" t="s">
        <v>848</v>
      </c>
      <c r="C17" s="365"/>
      <c r="D17" s="366">
        <v>3383888.52</v>
      </c>
      <c r="E17" s="356"/>
      <c r="F17" s="355">
        <f>D17-'[10]februāris'!D17</f>
        <v>-111474.43999999994</v>
      </c>
      <c r="H17" s="351" t="s">
        <v>253</v>
      </c>
      <c r="I17" s="367" t="s">
        <v>848</v>
      </c>
      <c r="J17" s="359"/>
      <c r="K17" s="347">
        <f t="shared" si="3"/>
        <v>3384</v>
      </c>
      <c r="L17" s="349"/>
      <c r="M17" s="347">
        <f>ROUND(F17/1000,0)</f>
        <v>-111</v>
      </c>
    </row>
    <row r="18" spans="1:13" ht="13.5" customHeight="1">
      <c r="A18" s="362" t="s">
        <v>254</v>
      </c>
      <c r="B18" s="368" t="s">
        <v>848</v>
      </c>
      <c r="C18" s="361"/>
      <c r="D18" s="355">
        <v>25416.68</v>
      </c>
      <c r="E18" s="356"/>
      <c r="F18" s="355">
        <f>D18-'[10]februāris'!D18</f>
        <v>-47634.38</v>
      </c>
      <c r="H18" s="363" t="s">
        <v>254</v>
      </c>
      <c r="I18" s="369" t="s">
        <v>848</v>
      </c>
      <c r="J18" s="359"/>
      <c r="K18" s="347">
        <f t="shared" si="3"/>
        <v>25</v>
      </c>
      <c r="L18" s="349"/>
      <c r="M18" s="347">
        <f>ROUND(F18/1000,0)-1</f>
        <v>-49</v>
      </c>
    </row>
    <row r="19" spans="1:13" ht="13.5" customHeight="1">
      <c r="A19" s="350" t="s">
        <v>255</v>
      </c>
      <c r="B19" s="343">
        <f>B20+B21+B22+B23+B24+B25+B29+B30</f>
        <v>66652153</v>
      </c>
      <c r="C19" s="344">
        <v>100</v>
      </c>
      <c r="D19" s="343">
        <f>D20+D21+D22+D23+D24+D25+D29+D30</f>
        <v>15575254.7</v>
      </c>
      <c r="E19" s="345">
        <f t="shared" si="2"/>
        <v>23.367969373772514</v>
      </c>
      <c r="F19" s="355">
        <f>D19-'[10]februāris'!D19</f>
        <v>4717744.870000001</v>
      </c>
      <c r="H19" s="351" t="s">
        <v>255</v>
      </c>
      <c r="I19" s="347">
        <f aca="true" t="shared" si="5" ref="I19:I38">ROUND(B19/1000,0)</f>
        <v>66652</v>
      </c>
      <c r="J19" s="359">
        <f t="shared" si="4"/>
        <v>100</v>
      </c>
      <c r="K19" s="347">
        <f>K20+K21+K22+K23+K24+K25+K29+K30</f>
        <v>15574</v>
      </c>
      <c r="L19" s="349">
        <f t="shared" si="1"/>
        <v>23.367969373772514</v>
      </c>
      <c r="M19" s="347">
        <f>M20+M21+M22+M23+M24+M25+M29+M30</f>
        <v>4715</v>
      </c>
    </row>
    <row r="20" spans="1:13" ht="13.5" customHeight="1">
      <c r="A20" s="370" t="s">
        <v>256</v>
      </c>
      <c r="B20" s="353">
        <v>1250000</v>
      </c>
      <c r="C20" s="361">
        <v>100</v>
      </c>
      <c r="D20" s="355">
        <v>188005.04</v>
      </c>
      <c r="E20" s="356">
        <f t="shared" si="2"/>
        <v>15.0404032</v>
      </c>
      <c r="F20" s="355">
        <f>D20-'[10]februāris'!D20</f>
        <v>6064.580000000016</v>
      </c>
      <c r="H20" s="371" t="s">
        <v>256</v>
      </c>
      <c r="I20" s="358">
        <f t="shared" si="5"/>
        <v>1250</v>
      </c>
      <c r="J20" s="359">
        <f t="shared" si="4"/>
        <v>100</v>
      </c>
      <c r="K20" s="358">
        <f t="shared" si="3"/>
        <v>188</v>
      </c>
      <c r="L20" s="360">
        <f t="shared" si="1"/>
        <v>15.0404032</v>
      </c>
      <c r="M20" s="358">
        <f>ROUND(F20/1000,0)</f>
        <v>6</v>
      </c>
    </row>
    <row r="21" spans="1:13" ht="13.5" customHeight="1">
      <c r="A21" s="372" t="s">
        <v>257</v>
      </c>
      <c r="B21" s="353">
        <v>14528225</v>
      </c>
      <c r="C21" s="361">
        <v>100</v>
      </c>
      <c r="D21" s="355">
        <v>3757520.63</v>
      </c>
      <c r="E21" s="356">
        <f t="shared" si="2"/>
        <v>25.8635905625085</v>
      </c>
      <c r="F21" s="355">
        <f>D21-'[10]februāris'!D21</f>
        <v>663893.4199999999</v>
      </c>
      <c r="H21" s="373" t="s">
        <v>257</v>
      </c>
      <c r="I21" s="358">
        <f t="shared" si="5"/>
        <v>14528</v>
      </c>
      <c r="J21" s="359">
        <f t="shared" si="4"/>
        <v>100</v>
      </c>
      <c r="K21" s="358">
        <f t="shared" si="3"/>
        <v>3758</v>
      </c>
      <c r="L21" s="360">
        <f t="shared" si="1"/>
        <v>25.8635905625085</v>
      </c>
      <c r="M21" s="358">
        <f>ROUND(F21/1000,0)</f>
        <v>664</v>
      </c>
    </row>
    <row r="22" spans="1:13" ht="12" customHeight="1">
      <c r="A22" s="370" t="s">
        <v>258</v>
      </c>
      <c r="B22" s="353">
        <v>19729654</v>
      </c>
      <c r="C22" s="361">
        <v>100</v>
      </c>
      <c r="D22" s="355">
        <v>4016092.94</v>
      </c>
      <c r="E22" s="356">
        <f t="shared" si="2"/>
        <v>20.355617691014753</v>
      </c>
      <c r="F22" s="355">
        <f>D22-'[10]februāris'!D22</f>
        <v>1558670.9100000001</v>
      </c>
      <c r="H22" s="371" t="s">
        <v>258</v>
      </c>
      <c r="I22" s="358">
        <f t="shared" si="5"/>
        <v>19730</v>
      </c>
      <c r="J22" s="359">
        <f t="shared" si="4"/>
        <v>100</v>
      </c>
      <c r="K22" s="358">
        <f t="shared" si="3"/>
        <v>4016</v>
      </c>
      <c r="L22" s="360">
        <f t="shared" si="1"/>
        <v>20.355617691014753</v>
      </c>
      <c r="M22" s="358">
        <f>ROUND(F22/1000,0)</f>
        <v>1559</v>
      </c>
    </row>
    <row r="23" spans="1:13" ht="24.75" customHeight="1">
      <c r="A23" s="370" t="s">
        <v>259</v>
      </c>
      <c r="B23" s="353">
        <v>733720</v>
      </c>
      <c r="C23" s="361">
        <v>100</v>
      </c>
      <c r="D23" s="355">
        <v>139921.3</v>
      </c>
      <c r="E23" s="356">
        <f t="shared" si="2"/>
        <v>19.07012211742899</v>
      </c>
      <c r="F23" s="355">
        <f>D23-'[10]februāris'!D23</f>
        <v>60799.94999999998</v>
      </c>
      <c r="H23" s="371" t="s">
        <v>259</v>
      </c>
      <c r="I23" s="358">
        <f t="shared" si="5"/>
        <v>734</v>
      </c>
      <c r="J23" s="359">
        <f t="shared" si="4"/>
        <v>100</v>
      </c>
      <c r="K23" s="358">
        <f t="shared" si="3"/>
        <v>140</v>
      </c>
      <c r="L23" s="360">
        <f t="shared" si="1"/>
        <v>19.07012211742899</v>
      </c>
      <c r="M23" s="358">
        <f>ROUND(F23/1000,0)</f>
        <v>61</v>
      </c>
    </row>
    <row r="24" spans="1:13" ht="13.5" customHeight="1">
      <c r="A24" s="370" t="s">
        <v>260</v>
      </c>
      <c r="B24" s="353">
        <v>624000</v>
      </c>
      <c r="C24" s="361">
        <v>100</v>
      </c>
      <c r="D24" s="355">
        <v>201500.01</v>
      </c>
      <c r="E24" s="356">
        <f t="shared" si="2"/>
        <v>32.29166826923077</v>
      </c>
      <c r="F24" s="355">
        <f>D24-'[10]februāris'!D24</f>
        <v>62249.44</v>
      </c>
      <c r="H24" s="371" t="s">
        <v>260</v>
      </c>
      <c r="I24" s="358">
        <f t="shared" si="5"/>
        <v>624</v>
      </c>
      <c r="J24" s="359">
        <f t="shared" si="4"/>
        <v>100</v>
      </c>
      <c r="K24" s="358">
        <f t="shared" si="3"/>
        <v>202</v>
      </c>
      <c r="L24" s="360">
        <f t="shared" si="1"/>
        <v>32.29166826923077</v>
      </c>
      <c r="M24" s="358">
        <f>ROUND(F24/1000,0)+1</f>
        <v>63</v>
      </c>
    </row>
    <row r="25" spans="1:13" ht="13.5" customHeight="1">
      <c r="A25" s="374" t="s">
        <v>261</v>
      </c>
      <c r="B25" s="353">
        <v>6650000</v>
      </c>
      <c r="C25" s="361">
        <v>100</v>
      </c>
      <c r="D25" s="355">
        <v>2097258.71</v>
      </c>
      <c r="E25" s="356">
        <f t="shared" si="2"/>
        <v>31.537724962406017</v>
      </c>
      <c r="F25" s="355">
        <f>D25-'[10]februāris'!D25</f>
        <v>602621.1099999999</v>
      </c>
      <c r="H25" s="375" t="s">
        <v>261</v>
      </c>
      <c r="I25" s="358">
        <f t="shared" si="5"/>
        <v>6650</v>
      </c>
      <c r="J25" s="359">
        <f t="shared" si="4"/>
        <v>100</v>
      </c>
      <c r="K25" s="358">
        <f t="shared" si="3"/>
        <v>2097</v>
      </c>
      <c r="L25" s="360">
        <f t="shared" si="1"/>
        <v>31.537724962406017</v>
      </c>
      <c r="M25" s="358">
        <f>ROUND(F25/1000,0)-1</f>
        <v>602</v>
      </c>
    </row>
    <row r="26" spans="1:13" ht="24" customHeight="1">
      <c r="A26" s="376" t="s">
        <v>262</v>
      </c>
      <c r="B26" s="353">
        <v>2250000</v>
      </c>
      <c r="C26" s="361">
        <v>100</v>
      </c>
      <c r="D26" s="355">
        <v>678256.79</v>
      </c>
      <c r="E26" s="356">
        <f t="shared" si="2"/>
        <v>30.144746222222224</v>
      </c>
      <c r="F26" s="355">
        <f>D26-'[10]februāris'!D26</f>
        <v>231789.22000000003</v>
      </c>
      <c r="H26" s="377" t="s">
        <v>263</v>
      </c>
      <c r="I26" s="358">
        <f t="shared" si="5"/>
        <v>2250</v>
      </c>
      <c r="J26" s="359">
        <f t="shared" si="4"/>
        <v>100</v>
      </c>
      <c r="K26" s="358">
        <f t="shared" si="3"/>
        <v>678</v>
      </c>
      <c r="L26" s="360">
        <f t="shared" si="1"/>
        <v>30.144746222222224</v>
      </c>
      <c r="M26" s="358">
        <f>ROUND(F26/1000,0)</f>
        <v>232</v>
      </c>
    </row>
    <row r="27" spans="1:13" ht="24">
      <c r="A27" s="376" t="s">
        <v>264</v>
      </c>
      <c r="B27" s="378">
        <v>4200000</v>
      </c>
      <c r="C27" s="361">
        <v>100</v>
      </c>
      <c r="D27" s="355">
        <v>1247760.59</v>
      </c>
      <c r="E27" s="356">
        <f t="shared" si="2"/>
        <v>29.70858547619048</v>
      </c>
      <c r="F27" s="355">
        <f>D27-'[10]februāris'!D27</f>
        <v>320623.43000000005</v>
      </c>
      <c r="H27" s="377" t="s">
        <v>264</v>
      </c>
      <c r="I27" s="358">
        <f t="shared" si="5"/>
        <v>4200</v>
      </c>
      <c r="J27" s="359">
        <f t="shared" si="4"/>
        <v>100</v>
      </c>
      <c r="K27" s="358">
        <f t="shared" si="3"/>
        <v>1248</v>
      </c>
      <c r="L27" s="360">
        <f t="shared" si="1"/>
        <v>29.70858547619048</v>
      </c>
      <c r="M27" s="358">
        <f>ROUND(F27/1000,0)</f>
        <v>321</v>
      </c>
    </row>
    <row r="28" spans="1:13" ht="14.25" customHeight="1">
      <c r="A28" s="376" t="s">
        <v>265</v>
      </c>
      <c r="B28" s="378">
        <v>200000</v>
      </c>
      <c r="C28" s="361">
        <v>100</v>
      </c>
      <c r="D28" s="355">
        <v>58925</v>
      </c>
      <c r="E28" s="356">
        <f t="shared" si="2"/>
        <v>29.462500000000002</v>
      </c>
      <c r="F28" s="355">
        <f>D28-'[10]februāris'!D28</f>
        <v>4530</v>
      </c>
      <c r="H28" s="377" t="s">
        <v>265</v>
      </c>
      <c r="I28" s="358">
        <f t="shared" si="5"/>
        <v>200</v>
      </c>
      <c r="J28" s="359">
        <f t="shared" si="4"/>
        <v>100</v>
      </c>
      <c r="K28" s="358">
        <f t="shared" si="3"/>
        <v>59</v>
      </c>
      <c r="L28" s="360">
        <f t="shared" si="1"/>
        <v>29.462500000000002</v>
      </c>
      <c r="M28" s="358">
        <f>ROUND(F28/1000,0)</f>
        <v>5</v>
      </c>
    </row>
    <row r="29" spans="1:13" ht="13.5" customHeight="1">
      <c r="A29" s="352" t="s">
        <v>266</v>
      </c>
      <c r="B29" s="353">
        <v>8594225</v>
      </c>
      <c r="C29" s="361">
        <v>100</v>
      </c>
      <c r="D29" s="355">
        <v>1836162.82</v>
      </c>
      <c r="E29" s="356">
        <f t="shared" si="2"/>
        <v>21.365077362996665</v>
      </c>
      <c r="F29" s="355">
        <f>D29-'[10]februāris'!D29</f>
        <v>639353.53</v>
      </c>
      <c r="H29" s="357" t="s">
        <v>266</v>
      </c>
      <c r="I29" s="358">
        <f t="shared" si="5"/>
        <v>8594</v>
      </c>
      <c r="J29" s="359">
        <f t="shared" si="4"/>
        <v>100</v>
      </c>
      <c r="K29" s="358">
        <f t="shared" si="3"/>
        <v>1836</v>
      </c>
      <c r="L29" s="360">
        <f t="shared" si="1"/>
        <v>21.365077362996665</v>
      </c>
      <c r="M29" s="358">
        <f>ROUND(F29/1000,0)</f>
        <v>639</v>
      </c>
    </row>
    <row r="30" spans="1:13" ht="13.5" customHeight="1">
      <c r="A30" s="352" t="s">
        <v>267</v>
      </c>
      <c r="B30" s="353">
        <v>14542329</v>
      </c>
      <c r="C30" s="361">
        <v>100</v>
      </c>
      <c r="D30" s="355">
        <v>3338793.25</v>
      </c>
      <c r="E30" s="356">
        <f t="shared" si="2"/>
        <v>22.959137081825066</v>
      </c>
      <c r="F30" s="355">
        <f>D30-'[10]februāris'!D30</f>
        <v>1124091.9300000002</v>
      </c>
      <c r="H30" s="357" t="s">
        <v>267</v>
      </c>
      <c r="I30" s="358">
        <f t="shared" si="5"/>
        <v>14542</v>
      </c>
      <c r="J30" s="359">
        <f t="shared" si="4"/>
        <v>100</v>
      </c>
      <c r="K30" s="358">
        <f>ROUND(D30/1000,0)-2</f>
        <v>3337</v>
      </c>
      <c r="L30" s="360">
        <f t="shared" si="1"/>
        <v>22.959137081825066</v>
      </c>
      <c r="M30" s="358">
        <f>ROUND(F30/1000,0)-3</f>
        <v>1121</v>
      </c>
    </row>
    <row r="31" spans="1:13" ht="27.75" customHeight="1">
      <c r="A31" s="379" t="s">
        <v>268</v>
      </c>
      <c r="B31" s="353">
        <v>1201200</v>
      </c>
      <c r="C31" s="361">
        <v>100</v>
      </c>
      <c r="D31" s="355">
        <v>300300</v>
      </c>
      <c r="E31" s="356">
        <f t="shared" si="2"/>
        <v>25</v>
      </c>
      <c r="F31" s="355">
        <f>D31-'[10]februāris'!D31</f>
        <v>100300</v>
      </c>
      <c r="H31" s="380" t="s">
        <v>268</v>
      </c>
      <c r="I31" s="358">
        <f t="shared" si="5"/>
        <v>1201</v>
      </c>
      <c r="J31" s="359">
        <f t="shared" si="4"/>
        <v>100</v>
      </c>
      <c r="K31" s="358">
        <f t="shared" si="3"/>
        <v>300</v>
      </c>
      <c r="L31" s="360">
        <f t="shared" si="1"/>
        <v>25</v>
      </c>
      <c r="M31" s="358">
        <f>ROUND(F31/1000,0)</f>
        <v>100</v>
      </c>
    </row>
    <row r="32" spans="1:13" ht="12.75">
      <c r="A32" s="381" t="s">
        <v>269</v>
      </c>
      <c r="B32" s="353">
        <v>8136610</v>
      </c>
      <c r="C32" s="361">
        <v>100</v>
      </c>
      <c r="D32" s="355">
        <v>2034000</v>
      </c>
      <c r="E32" s="356">
        <f t="shared" si="2"/>
        <v>24.998125755074902</v>
      </c>
      <c r="F32" s="355">
        <f>D32-'[10]februāris'!D32</f>
        <v>678000</v>
      </c>
      <c r="H32" s="382" t="s">
        <v>270</v>
      </c>
      <c r="I32" s="358">
        <f t="shared" si="5"/>
        <v>8137</v>
      </c>
      <c r="J32" s="359">
        <f t="shared" si="4"/>
        <v>100</v>
      </c>
      <c r="K32" s="358">
        <f t="shared" si="3"/>
        <v>2034</v>
      </c>
      <c r="L32" s="360">
        <f t="shared" si="1"/>
        <v>24.998125755074902</v>
      </c>
      <c r="M32" s="358">
        <f>ROUND(F32/1000,0)</f>
        <v>678</v>
      </c>
    </row>
    <row r="33" spans="1:13" ht="12.75">
      <c r="A33" s="381" t="s">
        <v>271</v>
      </c>
      <c r="B33" s="353">
        <v>239519</v>
      </c>
      <c r="C33" s="361">
        <v>100</v>
      </c>
      <c r="D33" s="355">
        <v>34469</v>
      </c>
      <c r="E33" s="356">
        <f t="shared" si="2"/>
        <v>14.390925145813066</v>
      </c>
      <c r="F33" s="355">
        <f>D33-'[10]februāris'!D33</f>
        <v>18535</v>
      </c>
      <c r="H33" s="382" t="s">
        <v>272</v>
      </c>
      <c r="I33" s="358">
        <f t="shared" si="5"/>
        <v>240</v>
      </c>
      <c r="J33" s="359">
        <f t="shared" si="4"/>
        <v>100</v>
      </c>
      <c r="K33" s="358">
        <f t="shared" si="3"/>
        <v>34</v>
      </c>
      <c r="L33" s="360">
        <f t="shared" si="1"/>
        <v>14.390925145813066</v>
      </c>
      <c r="M33" s="358">
        <f>ROUND(F33/1000,0)-1</f>
        <v>18</v>
      </c>
    </row>
    <row r="34" spans="1:13" ht="24" customHeight="1">
      <c r="A34" s="376" t="s">
        <v>273</v>
      </c>
      <c r="B34" s="353">
        <v>100000</v>
      </c>
      <c r="C34" s="361"/>
      <c r="D34" s="355"/>
      <c r="E34" s="356"/>
      <c r="F34" s="355">
        <f>D34-'[10]februāris'!D34</f>
        <v>0</v>
      </c>
      <c r="H34" s="377" t="s">
        <v>273</v>
      </c>
      <c r="I34" s="358">
        <f t="shared" si="5"/>
        <v>100</v>
      </c>
      <c r="J34" s="359">
        <f t="shared" si="4"/>
        <v>0</v>
      </c>
      <c r="K34" s="358"/>
      <c r="L34" s="349"/>
      <c r="M34" s="358"/>
    </row>
    <row r="35" spans="1:13" ht="15" customHeight="1">
      <c r="A35" s="372" t="s">
        <v>274</v>
      </c>
      <c r="B35" s="353">
        <v>1140000</v>
      </c>
      <c r="C35" s="361">
        <v>100</v>
      </c>
      <c r="D35" s="355"/>
      <c r="E35" s="356"/>
      <c r="F35" s="355">
        <f>D35-'[10]februāris'!D35</f>
        <v>0</v>
      </c>
      <c r="H35" s="373" t="s">
        <v>274</v>
      </c>
      <c r="I35" s="358">
        <f t="shared" si="5"/>
        <v>1140</v>
      </c>
      <c r="J35" s="359">
        <f t="shared" si="4"/>
        <v>100</v>
      </c>
      <c r="K35" s="358"/>
      <c r="L35" s="349"/>
      <c r="M35" s="358"/>
    </row>
    <row r="36" spans="1:13" ht="12.75">
      <c r="A36" s="383" t="s">
        <v>275</v>
      </c>
      <c r="B36" s="343">
        <f>B37</f>
        <v>60659270</v>
      </c>
      <c r="C36" s="344">
        <v>100</v>
      </c>
      <c r="D36" s="343">
        <f>D37</f>
        <v>15300505.64</v>
      </c>
      <c r="E36" s="345">
        <f t="shared" si="2"/>
        <v>25.223689042087056</v>
      </c>
      <c r="F36" s="355">
        <f>D36-'[10]februāris'!D36</f>
        <v>4827653.640000001</v>
      </c>
      <c r="H36" s="384" t="s">
        <v>275</v>
      </c>
      <c r="I36" s="347">
        <f t="shared" si="5"/>
        <v>60659</v>
      </c>
      <c r="J36" s="359">
        <f t="shared" si="4"/>
        <v>100</v>
      </c>
      <c r="K36" s="347">
        <f>K37</f>
        <v>15301</v>
      </c>
      <c r="L36" s="349">
        <f t="shared" si="1"/>
        <v>25.223689042087056</v>
      </c>
      <c r="M36" s="347">
        <f>M37</f>
        <v>4828</v>
      </c>
    </row>
    <row r="37" spans="1:13" ht="24">
      <c r="A37" s="385" t="s">
        <v>276</v>
      </c>
      <c r="B37" s="353">
        <v>60659270</v>
      </c>
      <c r="C37" s="361">
        <v>100</v>
      </c>
      <c r="D37" s="355">
        <v>15300505.64</v>
      </c>
      <c r="E37" s="356">
        <f t="shared" si="2"/>
        <v>25.223689042087056</v>
      </c>
      <c r="F37" s="355">
        <f>D37-'[10]februāris'!D37</f>
        <v>4827653.640000001</v>
      </c>
      <c r="H37" s="386" t="s">
        <v>276</v>
      </c>
      <c r="I37" s="358">
        <f t="shared" si="5"/>
        <v>60659</v>
      </c>
      <c r="J37" s="359">
        <f t="shared" si="4"/>
        <v>100</v>
      </c>
      <c r="K37" s="358">
        <f>ROUND(D37/1000,0)</f>
        <v>15301</v>
      </c>
      <c r="L37" s="360">
        <f t="shared" si="1"/>
        <v>25.223689042087056</v>
      </c>
      <c r="M37" s="358">
        <f>ROUND(F37/1000,0)</f>
        <v>4828</v>
      </c>
    </row>
    <row r="38" spans="1:13" ht="12.75">
      <c r="A38" s="383" t="s">
        <v>277</v>
      </c>
      <c r="B38" s="343">
        <v>56158811</v>
      </c>
      <c r="C38" s="344">
        <v>100</v>
      </c>
      <c r="D38" s="366">
        <v>2965552.53</v>
      </c>
      <c r="E38" s="345">
        <f t="shared" si="2"/>
        <v>5.280654054445703</v>
      </c>
      <c r="F38" s="355">
        <f>D38-'[10]februāris'!D38</f>
        <v>119299.41999999993</v>
      </c>
      <c r="H38" s="384" t="s">
        <v>277</v>
      </c>
      <c r="I38" s="347">
        <f t="shared" si="5"/>
        <v>56159</v>
      </c>
      <c r="J38" s="359">
        <f t="shared" si="4"/>
        <v>100</v>
      </c>
      <c r="K38" s="347">
        <f>ROUND(D38/1000,0)</f>
        <v>2966</v>
      </c>
      <c r="L38" s="349">
        <f t="shared" si="1"/>
        <v>5.280654054445703</v>
      </c>
      <c r="M38" s="358">
        <f>ROUND(F38/1000,0)+1</f>
        <v>120</v>
      </c>
    </row>
    <row r="39" spans="1:13" ht="17.25" customHeight="1">
      <c r="A39" s="387"/>
      <c r="B39" s="388"/>
      <c r="C39" s="389"/>
      <c r="D39" s="389"/>
      <c r="E39" s="389"/>
      <c r="F39" s="352"/>
      <c r="H39" s="390"/>
      <c r="I39" s="391"/>
      <c r="J39" s="392"/>
      <c r="K39" s="392"/>
      <c r="L39" s="392"/>
      <c r="M39" s="392"/>
    </row>
    <row r="40" spans="1:13" ht="17.25" customHeight="1">
      <c r="A40" s="393"/>
      <c r="B40" s="394"/>
      <c r="C40" s="389"/>
      <c r="D40" s="389"/>
      <c r="E40" s="389"/>
      <c r="F40" s="389"/>
      <c r="H40" s="395"/>
      <c r="I40" s="396"/>
      <c r="J40" s="392"/>
      <c r="K40" s="392"/>
      <c r="L40" s="392"/>
      <c r="M40" s="392"/>
    </row>
    <row r="41" spans="1:13" ht="15" customHeight="1">
      <c r="A41" s="397" t="s">
        <v>278</v>
      </c>
      <c r="B41" s="332"/>
      <c r="C41" s="332"/>
      <c r="D41" s="332" t="s">
        <v>830</v>
      </c>
      <c r="E41" s="328"/>
      <c r="F41" s="328"/>
      <c r="H41" s="398" t="s">
        <v>914</v>
      </c>
      <c r="I41" s="333"/>
      <c r="J41" s="333"/>
      <c r="K41" s="330"/>
      <c r="L41" s="333" t="s">
        <v>830</v>
      </c>
      <c r="M41" s="330"/>
    </row>
    <row r="42" spans="1:13" ht="17.25" customHeight="1">
      <c r="A42" s="328"/>
      <c r="B42" s="328"/>
      <c r="C42" s="328"/>
      <c r="D42" s="328"/>
      <c r="E42" s="328"/>
      <c r="F42" s="328"/>
      <c r="H42" s="330"/>
      <c r="I42" s="330"/>
      <c r="J42" s="330"/>
      <c r="K42" s="330"/>
      <c r="L42" s="330"/>
      <c r="M42" s="330"/>
    </row>
    <row r="43" spans="1:13" ht="14.25" customHeight="1">
      <c r="A43" s="328"/>
      <c r="B43" s="328"/>
      <c r="C43" s="328"/>
      <c r="D43" s="328"/>
      <c r="E43" s="328"/>
      <c r="F43" s="328"/>
      <c r="H43" s="330"/>
      <c r="I43" s="333"/>
      <c r="J43" s="333"/>
      <c r="K43" s="333"/>
      <c r="L43" s="330"/>
      <c r="M43" s="330"/>
    </row>
    <row r="44" spans="1:13" ht="15" customHeight="1">
      <c r="A44" s="328"/>
      <c r="B44" s="328"/>
      <c r="C44" s="328"/>
      <c r="D44" s="328"/>
      <c r="E44" s="328"/>
      <c r="F44" s="328"/>
      <c r="H44" s="330"/>
      <c r="I44" s="330"/>
      <c r="J44" s="330"/>
      <c r="K44" s="330"/>
      <c r="L44" s="330"/>
      <c r="M44" s="330"/>
    </row>
    <row r="45" spans="1:13" ht="12.75" customHeight="1">
      <c r="A45" s="328"/>
      <c r="B45" s="328"/>
      <c r="C45" s="328"/>
      <c r="D45" s="328"/>
      <c r="E45" s="328"/>
      <c r="F45" s="328"/>
      <c r="H45" s="330"/>
      <c r="I45" s="330"/>
      <c r="J45" s="330"/>
      <c r="K45" s="330"/>
      <c r="L45" s="330"/>
      <c r="M45" s="330"/>
    </row>
    <row r="46" spans="1:13" ht="15.75" customHeight="1">
      <c r="A46" s="328"/>
      <c r="B46" s="328"/>
      <c r="C46" s="328"/>
      <c r="D46" s="328"/>
      <c r="E46" s="328"/>
      <c r="F46" s="328"/>
      <c r="H46" s="330"/>
      <c r="I46" s="330"/>
      <c r="J46" s="330"/>
      <c r="K46" s="330"/>
      <c r="L46" s="330"/>
      <c r="M46" s="330"/>
    </row>
    <row r="47" spans="1:13" ht="15" customHeight="1">
      <c r="A47" s="328"/>
      <c r="B47" s="328"/>
      <c r="C47" s="328"/>
      <c r="D47" s="328"/>
      <c r="E47" s="328"/>
      <c r="F47" s="328"/>
      <c r="H47" s="330"/>
      <c r="I47" s="330"/>
      <c r="J47" s="330"/>
      <c r="K47" s="330"/>
      <c r="L47" s="330"/>
      <c r="M47" s="330"/>
    </row>
    <row r="48" spans="1:13" ht="17.25" customHeight="1">
      <c r="A48" s="328"/>
      <c r="B48" s="328"/>
      <c r="C48" s="328"/>
      <c r="D48" s="328"/>
      <c r="E48" s="328"/>
      <c r="F48" s="328"/>
      <c r="H48" s="330" t="s">
        <v>279</v>
      </c>
      <c r="I48" s="330"/>
      <c r="J48" s="330"/>
      <c r="K48" s="330"/>
      <c r="L48" s="330"/>
      <c r="M48" s="330"/>
    </row>
    <row r="49" spans="1:13" ht="17.25" customHeight="1">
      <c r="A49" s="328"/>
      <c r="B49" s="328"/>
      <c r="C49" s="328"/>
      <c r="D49" s="328"/>
      <c r="E49" s="328"/>
      <c r="F49" s="328"/>
      <c r="H49" s="330" t="s">
        <v>832</v>
      </c>
      <c r="I49" s="330"/>
      <c r="J49" s="330"/>
      <c r="K49" s="330"/>
      <c r="L49" s="330"/>
      <c r="M49" s="330"/>
    </row>
    <row r="50" spans="1:13" ht="17.25" customHeight="1">
      <c r="A50" s="328"/>
      <c r="B50" s="328"/>
      <c r="C50" s="328"/>
      <c r="D50" s="328"/>
      <c r="E50" s="328"/>
      <c r="F50" s="328"/>
      <c r="H50" s="330"/>
      <c r="I50" s="330"/>
      <c r="J50" s="330"/>
      <c r="K50" s="330"/>
      <c r="L50" s="330"/>
      <c r="M50" s="330"/>
    </row>
    <row r="51" spans="1:13" ht="17.25" customHeight="1">
      <c r="A51" s="328"/>
      <c r="B51" s="328"/>
      <c r="C51" s="328"/>
      <c r="D51" s="328"/>
      <c r="E51" s="328"/>
      <c r="F51" s="328"/>
      <c r="H51" s="330"/>
      <c r="I51" s="330"/>
      <c r="J51" s="330"/>
      <c r="K51" s="330"/>
      <c r="L51" s="330"/>
      <c r="M51" s="330"/>
    </row>
    <row r="52" spans="1:13" ht="17.25" customHeight="1">
      <c r="A52" s="328"/>
      <c r="B52" s="328"/>
      <c r="C52" s="328"/>
      <c r="D52" s="328"/>
      <c r="E52" s="328"/>
      <c r="F52" s="328"/>
      <c r="H52" s="330"/>
      <c r="I52" s="330"/>
      <c r="J52" s="330"/>
      <c r="K52" s="330"/>
      <c r="L52" s="330"/>
      <c r="M52" s="330"/>
    </row>
    <row r="53" spans="1:6" ht="15.75" customHeight="1">
      <c r="A53" s="328"/>
      <c r="B53" s="328"/>
      <c r="C53" s="328"/>
      <c r="D53" s="328"/>
      <c r="E53" s="328"/>
      <c r="F53" s="328"/>
    </row>
    <row r="54" spans="1:6" ht="15.75" customHeight="1">
      <c r="A54" s="328"/>
      <c r="B54" s="328"/>
      <c r="C54" s="328"/>
      <c r="D54" s="328"/>
      <c r="E54" s="328"/>
      <c r="F54" s="328"/>
    </row>
    <row r="55" spans="1:6" ht="17.25" customHeight="1">
      <c r="A55" s="328"/>
      <c r="B55" s="328"/>
      <c r="C55" s="328"/>
      <c r="D55" s="328"/>
      <c r="E55" s="328"/>
      <c r="F55" s="328"/>
    </row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75" top="0.17" bottom="0.16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1">
      <selection activeCell="A6" sqref="A6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5" customWidth="1"/>
  </cols>
  <sheetData>
    <row r="1" spans="1:10" ht="12.75">
      <c r="A1" s="5"/>
      <c r="B1" s="300"/>
      <c r="C1" s="5"/>
      <c r="E1" s="125" t="s">
        <v>620</v>
      </c>
      <c r="F1" s="5"/>
      <c r="G1" s="300"/>
      <c r="H1" s="5"/>
      <c r="J1" s="125" t="s">
        <v>655</v>
      </c>
    </row>
    <row r="2" spans="1:10" ht="12.75">
      <c r="A2" s="5"/>
      <c r="B2" s="300"/>
      <c r="C2" s="5"/>
      <c r="E2" s="125"/>
      <c r="F2" s="5"/>
      <c r="G2" s="300"/>
      <c r="H2" s="5"/>
      <c r="J2" s="125"/>
    </row>
    <row r="3" spans="1:10" ht="12.75">
      <c r="A3" s="760" t="s">
        <v>791</v>
      </c>
      <c r="B3" s="760"/>
      <c r="C3" s="760"/>
      <c r="D3" s="760"/>
      <c r="E3" s="760"/>
      <c r="F3" s="760" t="s">
        <v>791</v>
      </c>
      <c r="G3" s="760"/>
      <c r="H3" s="760"/>
      <c r="I3" s="760"/>
      <c r="J3" s="760"/>
    </row>
    <row r="4" spans="1:10" ht="12.75">
      <c r="A4" s="5"/>
      <c r="B4" s="300"/>
      <c r="C4" s="5"/>
      <c r="E4" s="125"/>
      <c r="F4" s="5"/>
      <c r="G4" s="300"/>
      <c r="H4" s="5"/>
      <c r="J4" s="125"/>
    </row>
    <row r="5" spans="1:10" ht="50.25" customHeight="1">
      <c r="A5" s="790" t="s">
        <v>656</v>
      </c>
      <c r="B5" s="790"/>
      <c r="C5" s="790"/>
      <c r="D5" s="790"/>
      <c r="E5" s="790"/>
      <c r="F5" s="790" t="s">
        <v>657</v>
      </c>
      <c r="G5" s="790"/>
      <c r="H5" s="790"/>
      <c r="I5" s="790"/>
      <c r="J5" s="790"/>
    </row>
    <row r="6" spans="1:10" ht="17.25" customHeight="1">
      <c r="A6" s="302"/>
      <c r="B6" s="301"/>
      <c r="C6" s="1"/>
      <c r="D6" s="3"/>
      <c r="E6" s="10" t="s">
        <v>746</v>
      </c>
      <c r="F6" s="302"/>
      <c r="G6" s="301"/>
      <c r="H6" s="1"/>
      <c r="I6" s="3"/>
      <c r="J6" s="10" t="s">
        <v>837</v>
      </c>
    </row>
    <row r="7" spans="1:10" ht="57" customHeight="1">
      <c r="A7" s="11" t="s">
        <v>748</v>
      </c>
      <c r="B7" s="303" t="s">
        <v>749</v>
      </c>
      <c r="C7" s="11" t="s">
        <v>751</v>
      </c>
      <c r="D7" s="11" t="s">
        <v>658</v>
      </c>
      <c r="E7" s="11" t="s">
        <v>40</v>
      </c>
      <c r="F7" s="11" t="s">
        <v>748</v>
      </c>
      <c r="G7" s="303" t="s">
        <v>749</v>
      </c>
      <c r="H7" s="11" t="s">
        <v>751</v>
      </c>
      <c r="I7" s="11" t="s">
        <v>658</v>
      </c>
      <c r="J7" s="11" t="s">
        <v>659</v>
      </c>
    </row>
    <row r="8" spans="1:10" ht="12.75">
      <c r="A8" s="11">
        <v>1</v>
      </c>
      <c r="B8" s="303">
        <v>2</v>
      </c>
      <c r="C8" s="303">
        <v>4</v>
      </c>
      <c r="D8" s="303">
        <v>5</v>
      </c>
      <c r="E8" s="303">
        <v>7</v>
      </c>
      <c r="F8" s="11">
        <v>1</v>
      </c>
      <c r="G8" s="303">
        <v>2</v>
      </c>
      <c r="H8" s="303">
        <v>4</v>
      </c>
      <c r="I8" s="303">
        <v>5</v>
      </c>
      <c r="J8" s="303">
        <v>7</v>
      </c>
    </row>
    <row r="9" spans="1:147" s="684" customFormat="1" ht="15.75">
      <c r="A9" s="683" t="s">
        <v>660</v>
      </c>
      <c r="B9" s="684">
        <f>B10+B11+B14+B19+B21+B23+B30</f>
        <v>55211790</v>
      </c>
      <c r="C9" s="684">
        <f>C10+C11+C14+C19+C21+C23+C30</f>
        <v>12523442</v>
      </c>
      <c r="D9" s="685">
        <f aca="true" t="shared" si="0" ref="D9:D30">C9/B9*100</f>
        <v>22.682550230666312</v>
      </c>
      <c r="E9" s="684">
        <f>C9-'[22]Februaris'!C9</f>
        <v>4844005</v>
      </c>
      <c r="F9" s="684" t="s">
        <v>660</v>
      </c>
      <c r="G9" s="684">
        <f>G10+G11+G14+G19+G21+G23+G30</f>
        <v>55212</v>
      </c>
      <c r="H9" s="684">
        <f>H10+H11+H14+H19+H21+H23+H30</f>
        <v>12523</v>
      </c>
      <c r="I9" s="685">
        <f aca="true" t="shared" si="1" ref="I9:I30">H9/G9*100</f>
        <v>22.68166340650583</v>
      </c>
      <c r="J9" s="684">
        <f>H9-'[22]Februaris'!H9</f>
        <v>4843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118" t="s">
        <v>880</v>
      </c>
      <c r="B10" s="306">
        <v>48424727</v>
      </c>
      <c r="C10" s="306">
        <v>10993443</v>
      </c>
      <c r="D10" s="458">
        <f t="shared" si="0"/>
        <v>22.702126952620713</v>
      </c>
      <c r="E10" s="306">
        <f>C10-'[22]Februaris'!C10</f>
        <v>4355727</v>
      </c>
      <c r="F10" s="118" t="s">
        <v>880</v>
      </c>
      <c r="G10" s="306">
        <f>ROUND(B10/1000,0)</f>
        <v>48425</v>
      </c>
      <c r="H10" s="306">
        <f>ROUND(C10/1000,0)</f>
        <v>10993</v>
      </c>
      <c r="I10" s="458">
        <f t="shared" si="1"/>
        <v>22.701084150748578</v>
      </c>
      <c r="J10" s="306">
        <f>H10-'[22]Februaris'!H10</f>
        <v>4355</v>
      </c>
    </row>
    <row r="11" spans="1:10" ht="12.75">
      <c r="A11" s="118" t="s">
        <v>661</v>
      </c>
      <c r="B11" s="306">
        <f>SUM(B12:B13)</f>
        <v>223133</v>
      </c>
      <c r="C11" s="306">
        <f>SUM(C12:C13)</f>
        <v>63286</v>
      </c>
      <c r="D11" s="458">
        <f t="shared" si="0"/>
        <v>28.3624564721489</v>
      </c>
      <c r="E11" s="306">
        <f>C11-'[22]Februaris'!C11</f>
        <v>37583</v>
      </c>
      <c r="F11" s="118" t="s">
        <v>661</v>
      </c>
      <c r="G11" s="306">
        <f>SUM(G12:G13)</f>
        <v>223</v>
      </c>
      <c r="H11" s="306">
        <f>SUM(H12:H13)</f>
        <v>63</v>
      </c>
      <c r="I11" s="458">
        <f t="shared" si="1"/>
        <v>28.251121076233183</v>
      </c>
      <c r="J11" s="306">
        <f>H11-'[22]Februaris'!H11</f>
        <v>37</v>
      </c>
    </row>
    <row r="12" spans="1:147" s="4" customFormat="1" ht="12.75">
      <c r="A12" s="32" t="s">
        <v>662</v>
      </c>
      <c r="B12" s="309">
        <v>61755</v>
      </c>
      <c r="C12" s="309">
        <v>11919</v>
      </c>
      <c r="D12" s="448">
        <f t="shared" si="0"/>
        <v>19.30046150109303</v>
      </c>
      <c r="E12" s="309">
        <f>C12-'[22]Februaris'!C12</f>
        <v>5038</v>
      </c>
      <c r="F12" s="32" t="s">
        <v>662</v>
      </c>
      <c r="G12" s="309">
        <f>ROUND(B12/1000,0)</f>
        <v>62</v>
      </c>
      <c r="H12" s="309">
        <f>ROUND(C12/1000,0)</f>
        <v>12</v>
      </c>
      <c r="I12" s="448">
        <f t="shared" si="1"/>
        <v>19.35483870967742</v>
      </c>
      <c r="J12" s="309">
        <f>H12-'[22]Februaris'!H12</f>
        <v>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4" customFormat="1" ht="12.75">
      <c r="A13" s="32" t="s">
        <v>663</v>
      </c>
      <c r="B13" s="309">
        <v>161378</v>
      </c>
      <c r="C13" s="309">
        <v>51367</v>
      </c>
      <c r="D13" s="448">
        <f t="shared" si="0"/>
        <v>31.830237083121617</v>
      </c>
      <c r="E13" s="309">
        <f>C13-'[22]Februaris'!C13</f>
        <v>32545</v>
      </c>
      <c r="F13" s="32" t="s">
        <v>663</v>
      </c>
      <c r="G13" s="309">
        <f>ROUND(B13/1000,0)</f>
        <v>161</v>
      </c>
      <c r="H13" s="309">
        <f>ROUND(C13/1000,0)</f>
        <v>51</v>
      </c>
      <c r="I13" s="448">
        <f t="shared" si="1"/>
        <v>31.67701863354037</v>
      </c>
      <c r="J13" s="309">
        <f>H13-'[22]Februaris'!H13</f>
        <v>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118" t="s">
        <v>766</v>
      </c>
      <c r="B14" s="306">
        <f>SUM(B15:B18)</f>
        <v>1105085</v>
      </c>
      <c r="C14" s="306">
        <f>SUM(C15:C18)</f>
        <v>401847</v>
      </c>
      <c r="D14" s="458">
        <f t="shared" si="0"/>
        <v>36.36344715564866</v>
      </c>
      <c r="E14" s="306">
        <f>C14-'[22]Februaris'!C14</f>
        <v>40777</v>
      </c>
      <c r="F14" s="118" t="s">
        <v>766</v>
      </c>
      <c r="G14" s="306">
        <f>SUM(G15:G18)</f>
        <v>1105</v>
      </c>
      <c r="H14" s="306">
        <f>SUM(H15:H18)</f>
        <v>402</v>
      </c>
      <c r="I14" s="458">
        <f t="shared" si="1"/>
        <v>36.380090497737555</v>
      </c>
      <c r="J14" s="306">
        <f>H14-'[22]Februaris'!H14</f>
        <v>41</v>
      </c>
    </row>
    <row r="15" spans="1:147" s="4" customFormat="1" ht="24">
      <c r="A15" s="312" t="s">
        <v>664</v>
      </c>
      <c r="B15" s="309">
        <v>167030</v>
      </c>
      <c r="C15" s="309">
        <v>21143</v>
      </c>
      <c r="D15" s="448">
        <f t="shared" si="0"/>
        <v>12.65820511285398</v>
      </c>
      <c r="E15" s="309">
        <f>C15-'[22]Februaris'!C15</f>
        <v>14787</v>
      </c>
      <c r="F15" s="312" t="s">
        <v>664</v>
      </c>
      <c r="G15" s="309">
        <f aca="true" t="shared" si="2" ref="G15:H18">ROUND(B15/1000,0)</f>
        <v>167</v>
      </c>
      <c r="H15" s="309">
        <f t="shared" si="2"/>
        <v>21</v>
      </c>
      <c r="I15" s="448">
        <f t="shared" si="1"/>
        <v>12.574850299401197</v>
      </c>
      <c r="J15" s="309">
        <f>H15-'[22]Februaris'!H15</f>
        <v>15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4" customFormat="1" ht="24">
      <c r="A16" s="312" t="s">
        <v>665</v>
      </c>
      <c r="B16" s="309">
        <v>265000</v>
      </c>
      <c r="C16" s="309">
        <v>1990</v>
      </c>
      <c r="D16" s="448">
        <f t="shared" si="0"/>
        <v>0.750943396226415</v>
      </c>
      <c r="E16" s="309">
        <f>C16-'[22]Februaris'!C16</f>
        <v>1990</v>
      </c>
      <c r="F16" s="312" t="s">
        <v>665</v>
      </c>
      <c r="G16" s="309">
        <f t="shared" si="2"/>
        <v>265</v>
      </c>
      <c r="H16" s="446">
        <f t="shared" si="2"/>
        <v>2</v>
      </c>
      <c r="I16" s="448">
        <f t="shared" si="1"/>
        <v>0.7547169811320755</v>
      </c>
      <c r="J16" s="446">
        <f>H16-'[22]Februaris'!H16</f>
        <v>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4" customFormat="1" ht="12.75">
      <c r="A17" s="32" t="s">
        <v>666</v>
      </c>
      <c r="B17" s="309">
        <v>530000</v>
      </c>
      <c r="C17" s="309">
        <v>342714</v>
      </c>
      <c r="D17" s="448">
        <f t="shared" si="0"/>
        <v>64.66301886792452</v>
      </c>
      <c r="E17" s="309">
        <f>C17-'[22]Februaris'!C17</f>
        <v>0</v>
      </c>
      <c r="F17" s="32" t="s">
        <v>666</v>
      </c>
      <c r="G17" s="309">
        <f t="shared" si="2"/>
        <v>530</v>
      </c>
      <c r="H17" s="309">
        <f t="shared" si="2"/>
        <v>343</v>
      </c>
      <c r="I17" s="448">
        <f t="shared" si="1"/>
        <v>64.71698113207547</v>
      </c>
      <c r="J17" s="309">
        <f>H17-'[22]Februaris'!H17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4" customFormat="1" ht="24">
      <c r="A18" s="312" t="s">
        <v>667</v>
      </c>
      <c r="B18" s="309">
        <v>143055</v>
      </c>
      <c r="C18" s="309">
        <v>36000</v>
      </c>
      <c r="D18" s="448">
        <f t="shared" si="0"/>
        <v>25.16514627241271</v>
      </c>
      <c r="E18" s="309">
        <f>C18-'[22]Februaris'!C18</f>
        <v>24000</v>
      </c>
      <c r="F18" s="312" t="s">
        <v>667</v>
      </c>
      <c r="G18" s="309">
        <f t="shared" si="2"/>
        <v>143</v>
      </c>
      <c r="H18" s="309">
        <f t="shared" si="2"/>
        <v>36</v>
      </c>
      <c r="I18" s="448">
        <f t="shared" si="1"/>
        <v>25.174825174825177</v>
      </c>
      <c r="J18" s="309">
        <f>H18-'[22]Februaris'!H18</f>
        <v>24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118" t="s">
        <v>884</v>
      </c>
      <c r="B19" s="306">
        <f>SUM(B20)</f>
        <v>347522</v>
      </c>
      <c r="C19" s="306">
        <f>SUM(C20)</f>
        <v>67310</v>
      </c>
      <c r="D19" s="458">
        <f t="shared" si="0"/>
        <v>19.368557961798103</v>
      </c>
      <c r="E19" s="306">
        <f>C19-'[22]Februaris'!C19</f>
        <v>26313</v>
      </c>
      <c r="F19" s="118" t="s">
        <v>884</v>
      </c>
      <c r="G19" s="306">
        <f>SUM(G20)</f>
        <v>348</v>
      </c>
      <c r="H19" s="441">
        <f>SUM(H20)</f>
        <v>67</v>
      </c>
      <c r="I19" s="458">
        <f t="shared" si="1"/>
        <v>19.25287356321839</v>
      </c>
      <c r="J19" s="441">
        <f>H19-'[22]Februaris'!H19</f>
        <v>26</v>
      </c>
    </row>
    <row r="20" spans="1:147" s="4" customFormat="1" ht="12.75">
      <c r="A20" s="32" t="s">
        <v>668</v>
      </c>
      <c r="B20" s="309">
        <v>347522</v>
      </c>
      <c r="C20" s="309">
        <v>67310</v>
      </c>
      <c r="D20" s="448">
        <f t="shared" si="0"/>
        <v>19.368557961798103</v>
      </c>
      <c r="E20" s="309">
        <f>C20-'[22]Februaris'!C20</f>
        <v>26313</v>
      </c>
      <c r="F20" s="32" t="s">
        <v>668</v>
      </c>
      <c r="G20" s="309">
        <f>ROUND(B20/1000,0)</f>
        <v>348</v>
      </c>
      <c r="H20" s="446">
        <f>ROUND(C20/1000,0)</f>
        <v>67</v>
      </c>
      <c r="I20" s="448">
        <f t="shared" si="1"/>
        <v>19.25287356321839</v>
      </c>
      <c r="J20" s="446">
        <f>H20-'[22]Februaris'!H20</f>
        <v>26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118" t="s">
        <v>772</v>
      </c>
      <c r="B21" s="306">
        <f>SUM(B22)</f>
        <v>275000</v>
      </c>
      <c r="C21" s="306">
        <f>SUM(C22)</f>
        <v>67910</v>
      </c>
      <c r="D21" s="458">
        <f t="shared" si="0"/>
        <v>24.694545454545455</v>
      </c>
      <c r="E21" s="306">
        <f>C21-'[22]Februaris'!C21</f>
        <v>56519</v>
      </c>
      <c r="F21" s="118" t="s">
        <v>772</v>
      </c>
      <c r="G21" s="306">
        <f>SUM(G22)</f>
        <v>275</v>
      </c>
      <c r="H21" s="441">
        <f>SUM(H22)</f>
        <v>68</v>
      </c>
      <c r="I21" s="458">
        <f t="shared" si="1"/>
        <v>24.727272727272727</v>
      </c>
      <c r="J21" s="441">
        <f>H21-'[22]Februaris'!H21</f>
        <v>57</v>
      </c>
    </row>
    <row r="22" spans="1:147" s="4" customFormat="1" ht="36">
      <c r="A22" s="312" t="s">
        <v>669</v>
      </c>
      <c r="B22" s="309">
        <v>275000</v>
      </c>
      <c r="C22" s="309">
        <v>67910</v>
      </c>
      <c r="D22" s="448">
        <f t="shared" si="0"/>
        <v>24.694545454545455</v>
      </c>
      <c r="E22" s="309">
        <f>C22-'[22]Februaris'!C22</f>
        <v>56519</v>
      </c>
      <c r="F22" s="312" t="s">
        <v>670</v>
      </c>
      <c r="G22" s="309">
        <f>ROUND(B22/1000,0)</f>
        <v>275</v>
      </c>
      <c r="H22" s="446">
        <f>ROUND(C22/1000,0)</f>
        <v>68</v>
      </c>
      <c r="I22" s="448">
        <f t="shared" si="1"/>
        <v>24.727272727272727</v>
      </c>
      <c r="J22" s="446">
        <f>H22-'[22]Februaris'!H22</f>
        <v>57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118" t="s">
        <v>769</v>
      </c>
      <c r="B23" s="306">
        <f>SUM(B24:B29)</f>
        <v>3192416</v>
      </c>
      <c r="C23" s="306">
        <f>SUM(C24:C29)</f>
        <v>656746</v>
      </c>
      <c r="D23" s="458">
        <f t="shared" si="0"/>
        <v>20.572068301875447</v>
      </c>
      <c r="E23" s="306">
        <f>C23-'[22]Februaris'!C23</f>
        <v>236086</v>
      </c>
      <c r="F23" s="118" t="s">
        <v>769</v>
      </c>
      <c r="G23" s="306">
        <f>SUM(G24:G29)</f>
        <v>3192</v>
      </c>
      <c r="H23" s="306">
        <f>SUM(H24:H29)</f>
        <v>657</v>
      </c>
      <c r="I23" s="458">
        <f t="shared" si="1"/>
        <v>20.582706766917294</v>
      </c>
      <c r="J23" s="306">
        <f>H23-'[22]Februaris'!H23</f>
        <v>236</v>
      </c>
    </row>
    <row r="24" spans="1:147" s="4" customFormat="1" ht="12.75">
      <c r="A24" s="32" t="s">
        <v>671</v>
      </c>
      <c r="B24" s="309">
        <v>1190814</v>
      </c>
      <c r="C24" s="309">
        <v>307517</v>
      </c>
      <c r="D24" s="448">
        <f t="shared" si="0"/>
        <v>25.82410015334049</v>
      </c>
      <c r="E24" s="309">
        <f>C24-'[22]Februaris'!C24</f>
        <v>101755</v>
      </c>
      <c r="F24" s="32" t="s">
        <v>671</v>
      </c>
      <c r="G24" s="309">
        <f aca="true" t="shared" si="3" ref="G24:H30">ROUND(B24/1000,0)</f>
        <v>1191</v>
      </c>
      <c r="H24" s="309">
        <f>ROUND(C24/1000,0)-1</f>
        <v>307</v>
      </c>
      <c r="I24" s="448">
        <f t="shared" si="1"/>
        <v>25.77665827036104</v>
      </c>
      <c r="J24" s="309">
        <f>H24-'[22]Februaris'!H24</f>
        <v>101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4" customFormat="1" ht="24">
      <c r="A25" s="312" t="s">
        <v>672</v>
      </c>
      <c r="B25" s="309">
        <v>919056</v>
      </c>
      <c r="C25" s="309">
        <v>104279</v>
      </c>
      <c r="D25" s="448">
        <f t="shared" si="0"/>
        <v>11.346316220121516</v>
      </c>
      <c r="E25" s="309">
        <f>C25-'[22]Februaris'!C25</f>
        <v>62245</v>
      </c>
      <c r="F25" s="312" t="s">
        <v>672</v>
      </c>
      <c r="G25" s="309">
        <f t="shared" si="3"/>
        <v>919</v>
      </c>
      <c r="H25" s="309">
        <f t="shared" si="3"/>
        <v>104</v>
      </c>
      <c r="I25" s="448">
        <f t="shared" si="1"/>
        <v>11.31664853101197</v>
      </c>
      <c r="J25" s="309">
        <f>H25-'[22]Februaris'!H25</f>
        <v>62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4" customFormat="1" ht="24">
      <c r="A26" s="312" t="s">
        <v>673</v>
      </c>
      <c r="B26" s="309">
        <v>150000</v>
      </c>
      <c r="C26" s="309">
        <v>44633</v>
      </c>
      <c r="D26" s="448">
        <f t="shared" si="0"/>
        <v>29.755333333333333</v>
      </c>
      <c r="E26" s="309">
        <f>C26-'[22]Februaris'!C26</f>
        <v>6425</v>
      </c>
      <c r="F26" s="312" t="s">
        <v>673</v>
      </c>
      <c r="G26" s="309">
        <f t="shared" si="3"/>
        <v>150</v>
      </c>
      <c r="H26" s="446">
        <f t="shared" si="3"/>
        <v>45</v>
      </c>
      <c r="I26" s="448">
        <f t="shared" si="1"/>
        <v>30</v>
      </c>
      <c r="J26" s="446">
        <f>H26-'[22]Februaris'!H26</f>
        <v>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4" customFormat="1" ht="60">
      <c r="A27" s="312" t="s">
        <v>674</v>
      </c>
      <c r="B27" s="309">
        <v>225466</v>
      </c>
      <c r="C27" s="309">
        <v>37923</v>
      </c>
      <c r="D27" s="448">
        <f t="shared" si="0"/>
        <v>16.81983092794479</v>
      </c>
      <c r="E27" s="309">
        <f>C27-'[22]Februaris'!C27</f>
        <v>13943</v>
      </c>
      <c r="F27" s="312" t="s">
        <v>674</v>
      </c>
      <c r="G27" s="309">
        <f t="shared" si="3"/>
        <v>225</v>
      </c>
      <c r="H27" s="309">
        <f t="shared" si="3"/>
        <v>38</v>
      </c>
      <c r="I27" s="448">
        <f t="shared" si="1"/>
        <v>16.88888888888889</v>
      </c>
      <c r="J27" s="309">
        <f>H27-'[22]Februaris'!H27</f>
        <v>14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4" customFormat="1" ht="36">
      <c r="A28" s="312" t="s">
        <v>675</v>
      </c>
      <c r="B28" s="309">
        <v>141288</v>
      </c>
      <c r="C28" s="309">
        <v>30737</v>
      </c>
      <c r="D28" s="448">
        <f t="shared" si="0"/>
        <v>21.754855330955213</v>
      </c>
      <c r="E28" s="309">
        <f>C28-'[22]Februaris'!C28</f>
        <v>9826</v>
      </c>
      <c r="F28" s="312" t="s">
        <v>675</v>
      </c>
      <c r="G28" s="309">
        <f t="shared" si="3"/>
        <v>141</v>
      </c>
      <c r="H28" s="309">
        <f t="shared" si="3"/>
        <v>31</v>
      </c>
      <c r="I28" s="448">
        <f t="shared" si="1"/>
        <v>21.98581560283688</v>
      </c>
      <c r="J28" s="309">
        <f>H28-'[22]Februaris'!H28</f>
        <v>10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4" customFormat="1" ht="24">
      <c r="A29" s="312" t="s">
        <v>676</v>
      </c>
      <c r="B29" s="309">
        <v>565792</v>
      </c>
      <c r="C29" s="309">
        <v>131657</v>
      </c>
      <c r="D29" s="448">
        <f t="shared" si="0"/>
        <v>23.26950540127821</v>
      </c>
      <c r="E29" s="309">
        <f>C29-'[22]Februaris'!C29</f>
        <v>41892</v>
      </c>
      <c r="F29" s="312" t="s">
        <v>676</v>
      </c>
      <c r="G29" s="309">
        <f t="shared" si="3"/>
        <v>566</v>
      </c>
      <c r="H29" s="309">
        <f t="shared" si="3"/>
        <v>132</v>
      </c>
      <c r="I29" s="448">
        <f t="shared" si="1"/>
        <v>23.32155477031802</v>
      </c>
      <c r="J29" s="309">
        <f>H29-'[22]Februaris'!H29</f>
        <v>42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118" t="s">
        <v>890</v>
      </c>
      <c r="B30" s="306">
        <v>1643907</v>
      </c>
      <c r="C30" s="306">
        <v>272900</v>
      </c>
      <c r="D30" s="458">
        <f t="shared" si="0"/>
        <v>16.60069578145236</v>
      </c>
      <c r="E30" s="306">
        <f>C30-'[22]Februaris'!C30</f>
        <v>91000</v>
      </c>
      <c r="F30" s="118" t="s">
        <v>890</v>
      </c>
      <c r="G30" s="306">
        <f t="shared" si="3"/>
        <v>1644</v>
      </c>
      <c r="H30" s="306">
        <f t="shared" si="3"/>
        <v>273</v>
      </c>
      <c r="I30" s="458">
        <f t="shared" si="1"/>
        <v>16.605839416058394</v>
      </c>
      <c r="J30" s="306">
        <f>H30-'[22]Februaris'!H30</f>
        <v>91</v>
      </c>
    </row>
    <row r="31" spans="1:147" s="42" customFormat="1" ht="17.25" customHeight="1">
      <c r="A31" s="76"/>
      <c r="B31" s="324"/>
      <c r="E31"/>
      <c r="F31" s="76"/>
      <c r="G31" s="324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42" customFormat="1" ht="17.25" customHeight="1">
      <c r="A32" s="76"/>
      <c r="B32" s="324"/>
      <c r="E32"/>
      <c r="F32" s="76"/>
      <c r="G32" s="32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325"/>
      <c r="B33" s="300"/>
      <c r="C33" s="5"/>
      <c r="D33" s="5"/>
      <c r="F33" s="325"/>
      <c r="G33" s="300"/>
      <c r="H33" s="5"/>
      <c r="I33" s="5"/>
    </row>
    <row r="34" spans="1:10" ht="17.25" customHeight="1">
      <c r="A34" s="80" t="s">
        <v>916</v>
      </c>
      <c r="B34" s="5"/>
      <c r="C34" s="5"/>
      <c r="D34" s="5"/>
      <c r="E34" s="5"/>
      <c r="F34" s="80" t="s">
        <v>677</v>
      </c>
      <c r="G34" s="5"/>
      <c r="H34" s="5"/>
      <c r="I34" s="5"/>
      <c r="J34" s="5"/>
    </row>
    <row r="36" spans="1:9" ht="17.25" customHeight="1">
      <c r="A36" s="326"/>
      <c r="B36" s="301"/>
      <c r="C36" s="327"/>
      <c r="D36" s="327"/>
      <c r="F36" s="326"/>
      <c r="G36" s="301"/>
      <c r="H36" s="327"/>
      <c r="I36" s="327"/>
    </row>
    <row r="37" spans="1:9" ht="17.25" customHeight="1">
      <c r="A37" s="4"/>
      <c r="B37" s="300"/>
      <c r="C37" s="5"/>
      <c r="D37" s="5"/>
      <c r="F37" s="4"/>
      <c r="G37" s="300"/>
      <c r="H37" s="5"/>
      <c r="I37" s="5"/>
    </row>
    <row r="38" spans="1:9" ht="12.75">
      <c r="A38" s="4"/>
      <c r="B38" s="300"/>
      <c r="C38" s="3"/>
      <c r="D38" s="3"/>
      <c r="F38" s="3" t="s">
        <v>788</v>
      </c>
      <c r="G38" s="300"/>
      <c r="H38" s="3"/>
      <c r="I38" s="3"/>
    </row>
    <row r="39" spans="2:9" ht="12.75">
      <c r="B39" s="300"/>
      <c r="C39" s="5"/>
      <c r="D39" s="5"/>
      <c r="F39" s="3" t="s">
        <v>789</v>
      </c>
      <c r="G39" s="300"/>
      <c r="H39" s="5"/>
      <c r="I39" s="5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4">
    <mergeCell ref="A3:E3"/>
    <mergeCell ref="F3:J3"/>
    <mergeCell ref="A5:E5"/>
    <mergeCell ref="F5:J5"/>
  </mergeCells>
  <printOptions/>
  <pageMargins left="0.75" right="0.75" top="0.45" bottom="0.21" header="0.17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A6" sqref="A6:D6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00390625" style="0" hidden="1" customWidth="1"/>
    <col min="5" max="5" width="30.00390625" style="0" customWidth="1"/>
    <col min="6" max="6" width="14.28125" style="0" customWidth="1"/>
    <col min="7" max="7" width="14.421875" style="0" customWidth="1"/>
    <col min="8" max="8" width="11.28125" style="0" customWidth="1"/>
  </cols>
  <sheetData>
    <row r="1" spans="2:206" s="5" customFormat="1" ht="12.75">
      <c r="B1" s="300"/>
      <c r="D1" s="125" t="s">
        <v>619</v>
      </c>
      <c r="F1" s="300"/>
      <c r="H1" s="125" t="s">
        <v>620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5" customFormat="1" ht="12.75">
      <c r="B2" s="300"/>
      <c r="D2" s="125"/>
      <c r="F2" s="300"/>
      <c r="H2" s="12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5" customFormat="1" ht="12.75">
      <c r="A3" s="760" t="s">
        <v>791</v>
      </c>
      <c r="B3" s="760"/>
      <c r="C3" s="760"/>
      <c r="D3" s="760"/>
      <c r="E3" s="760" t="s">
        <v>791</v>
      </c>
      <c r="F3" s="760"/>
      <c r="G3" s="760"/>
      <c r="H3" s="76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5" customFormat="1" ht="12.75">
      <c r="B4" s="300"/>
      <c r="D4" s="125"/>
      <c r="F4" s="300"/>
      <c r="H4" s="12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821" t="s">
        <v>621</v>
      </c>
      <c r="B5" s="821"/>
      <c r="C5" s="821"/>
      <c r="D5" s="821"/>
      <c r="E5" s="821" t="s">
        <v>621</v>
      </c>
      <c r="F5" s="821"/>
      <c r="G5" s="821"/>
      <c r="H5" s="821"/>
    </row>
    <row r="6" spans="1:8" ht="12.75">
      <c r="A6" s="745" t="s">
        <v>622</v>
      </c>
      <c r="B6" s="745"/>
      <c r="C6" s="745"/>
      <c r="D6" s="745"/>
      <c r="E6" s="760" t="s">
        <v>116</v>
      </c>
      <c r="F6" s="760"/>
      <c r="G6" s="760"/>
      <c r="H6" s="760"/>
    </row>
    <row r="7" spans="1:8" ht="12.75">
      <c r="A7" s="54"/>
      <c r="B7" s="54"/>
      <c r="C7" s="54"/>
      <c r="D7" s="54"/>
      <c r="E7" s="54"/>
      <c r="F7" s="54"/>
      <c r="G7" s="54"/>
      <c r="H7" s="54"/>
    </row>
    <row r="8" spans="4:8" ht="12.75">
      <c r="D8" s="10" t="s">
        <v>746</v>
      </c>
      <c r="H8" s="10" t="s">
        <v>837</v>
      </c>
    </row>
    <row r="9" spans="1:8" s="675" customFormat="1" ht="57" customHeight="1">
      <c r="A9" s="674" t="s">
        <v>748</v>
      </c>
      <c r="B9" s="91" t="s">
        <v>623</v>
      </c>
      <c r="C9" s="91" t="s">
        <v>624</v>
      </c>
      <c r="D9" s="91" t="s">
        <v>625</v>
      </c>
      <c r="E9" s="674" t="s">
        <v>748</v>
      </c>
      <c r="F9" s="91" t="s">
        <v>623</v>
      </c>
      <c r="G9" s="91" t="s">
        <v>624</v>
      </c>
      <c r="H9" s="91" t="s">
        <v>625</v>
      </c>
    </row>
    <row r="10" spans="1:8" s="677" customFormat="1" ht="11.25" customHeight="1">
      <c r="A10" s="676">
        <v>1</v>
      </c>
      <c r="B10" s="676">
        <v>2</v>
      </c>
      <c r="C10" s="267">
        <v>3</v>
      </c>
      <c r="D10" s="267" t="s">
        <v>626</v>
      </c>
      <c r="E10" s="676">
        <v>1</v>
      </c>
      <c r="F10" s="676">
        <v>2</v>
      </c>
      <c r="G10" s="267">
        <v>3</v>
      </c>
      <c r="H10" s="267" t="s">
        <v>626</v>
      </c>
    </row>
    <row r="11" spans="1:8" s="680" customFormat="1" ht="15">
      <c r="A11" s="678" t="s">
        <v>627</v>
      </c>
      <c r="B11" s="679">
        <f>B12+B35</f>
        <v>49567684</v>
      </c>
      <c r="C11" s="679">
        <f>C12+C35</f>
        <v>94120850</v>
      </c>
      <c r="D11" s="679">
        <f>C11-B11</f>
        <v>44553166</v>
      </c>
      <c r="E11" s="678" t="s">
        <v>627</v>
      </c>
      <c r="F11" s="679">
        <f>F12+F35</f>
        <v>49568</v>
      </c>
      <c r="G11" s="679">
        <f>G12+G35</f>
        <v>94121</v>
      </c>
      <c r="H11" s="679">
        <f>G11-F11</f>
        <v>44553</v>
      </c>
    </row>
    <row r="12" spans="1:8" s="27" customFormat="1" ht="12.75">
      <c r="A12" s="142" t="s">
        <v>628</v>
      </c>
      <c r="B12" s="478">
        <f>B13+B22</f>
        <v>47997879</v>
      </c>
      <c r="C12" s="478">
        <f>C13+C22</f>
        <v>91257179</v>
      </c>
      <c r="D12" s="478">
        <f aca="true" t="shared" si="0" ref="D12:D41">C12-B12</f>
        <v>43259300</v>
      </c>
      <c r="E12" s="142" t="s">
        <v>628</v>
      </c>
      <c r="F12" s="478">
        <f>F13+F22</f>
        <v>47998</v>
      </c>
      <c r="G12" s="478">
        <f>G13+G22</f>
        <v>91258</v>
      </c>
      <c r="H12" s="478">
        <f aca="true" t="shared" si="1" ref="H12:H41">G12-F12</f>
        <v>43260</v>
      </c>
    </row>
    <row r="13" spans="1:8" s="681" customFormat="1" ht="12">
      <c r="A13" s="31" t="s">
        <v>629</v>
      </c>
      <c r="B13" s="441">
        <f>SUM(B14:B21)</f>
        <v>25903132</v>
      </c>
      <c r="C13" s="441">
        <f>SUM(C14:C21)</f>
        <v>24754579</v>
      </c>
      <c r="D13" s="441">
        <f t="shared" si="0"/>
        <v>-1148553</v>
      </c>
      <c r="E13" s="31" t="s">
        <v>629</v>
      </c>
      <c r="F13" s="441">
        <f>SUM(F14:F21)</f>
        <v>25903</v>
      </c>
      <c r="G13" s="441">
        <f>SUM(G14:G21)</f>
        <v>24755</v>
      </c>
      <c r="H13" s="441">
        <f t="shared" si="1"/>
        <v>-1148</v>
      </c>
    </row>
    <row r="14" spans="1:8" s="3" customFormat="1" ht="11.25">
      <c r="A14" s="311" t="s">
        <v>145</v>
      </c>
      <c r="B14" s="582">
        <v>24184285</v>
      </c>
      <c r="C14" s="582">
        <f>13370174+740260+3829228+2712110+354461+1269547</f>
        <v>22275780</v>
      </c>
      <c r="D14" s="582">
        <f t="shared" si="0"/>
        <v>-1908505</v>
      </c>
      <c r="E14" s="311" t="s">
        <v>145</v>
      </c>
      <c r="F14" s="582">
        <f>ROUND(B14/1000,0)</f>
        <v>24184</v>
      </c>
      <c r="G14" s="582">
        <f>ROUND(C14/1000,0)</f>
        <v>22276</v>
      </c>
      <c r="H14" s="582">
        <f t="shared" si="1"/>
        <v>-1908</v>
      </c>
    </row>
    <row r="15" spans="1:8" s="3" customFormat="1" ht="11.25">
      <c r="A15" s="311" t="s">
        <v>630</v>
      </c>
      <c r="B15" s="582">
        <f>1683+47151</f>
        <v>48834</v>
      </c>
      <c r="C15" s="582">
        <f>1733+56448</f>
        <v>58181</v>
      </c>
      <c r="D15" s="582">
        <f t="shared" si="0"/>
        <v>9347</v>
      </c>
      <c r="E15" s="311" t="s">
        <v>630</v>
      </c>
      <c r="F15" s="582">
        <f aca="true" t="shared" si="2" ref="F15:G30">ROUND(B15/1000,0)</f>
        <v>49</v>
      </c>
      <c r="G15" s="582">
        <f t="shared" si="2"/>
        <v>58</v>
      </c>
      <c r="H15" s="582">
        <f t="shared" si="1"/>
        <v>9</v>
      </c>
    </row>
    <row r="16" spans="1:8" s="3" customFormat="1" ht="11.25">
      <c r="A16" s="311" t="s">
        <v>631</v>
      </c>
      <c r="B16" s="582">
        <f>1051331+27952</f>
        <v>1079283</v>
      </c>
      <c r="C16" s="582">
        <f>2394828+2785</f>
        <v>2397613</v>
      </c>
      <c r="D16" s="582">
        <f t="shared" si="0"/>
        <v>1318330</v>
      </c>
      <c r="E16" s="311" t="s">
        <v>631</v>
      </c>
      <c r="F16" s="582">
        <f t="shared" si="2"/>
        <v>1079</v>
      </c>
      <c r="G16" s="582">
        <f t="shared" si="2"/>
        <v>2398</v>
      </c>
      <c r="H16" s="582">
        <f t="shared" si="1"/>
        <v>1319</v>
      </c>
    </row>
    <row r="17" spans="1:8" s="3" customFormat="1" ht="11.25">
      <c r="A17" s="311" t="s">
        <v>632</v>
      </c>
      <c r="B17" s="582">
        <v>11043</v>
      </c>
      <c r="C17" s="582">
        <v>17108</v>
      </c>
      <c r="D17" s="582">
        <f t="shared" si="0"/>
        <v>6065</v>
      </c>
      <c r="E17" s="311" t="s">
        <v>632</v>
      </c>
      <c r="F17" s="582">
        <f t="shared" si="2"/>
        <v>11</v>
      </c>
      <c r="G17" s="582">
        <f>ROUND(C17/1000,0)</f>
        <v>17</v>
      </c>
      <c r="H17" s="582">
        <f t="shared" si="1"/>
        <v>6</v>
      </c>
    </row>
    <row r="18" spans="1:8" s="3" customFormat="1" ht="11.25">
      <c r="A18" s="311" t="s">
        <v>633</v>
      </c>
      <c r="B18" s="582">
        <v>1284</v>
      </c>
      <c r="C18" s="582">
        <v>3029</v>
      </c>
      <c r="D18" s="582">
        <f t="shared" si="0"/>
        <v>1745</v>
      </c>
      <c r="E18" s="311" t="s">
        <v>634</v>
      </c>
      <c r="F18" s="582">
        <f t="shared" si="2"/>
        <v>1</v>
      </c>
      <c r="G18" s="582">
        <f t="shared" si="2"/>
        <v>3</v>
      </c>
      <c r="H18" s="582">
        <f t="shared" si="1"/>
        <v>2</v>
      </c>
    </row>
    <row r="19" spans="1:8" s="3" customFormat="1" ht="11.25">
      <c r="A19" s="311" t="s">
        <v>635</v>
      </c>
      <c r="B19" s="582"/>
      <c r="C19" s="582"/>
      <c r="D19" s="582">
        <f t="shared" si="0"/>
        <v>0</v>
      </c>
      <c r="E19" s="311" t="s">
        <v>635</v>
      </c>
      <c r="F19" s="582">
        <f t="shared" si="2"/>
        <v>0</v>
      </c>
      <c r="G19" s="582">
        <f t="shared" si="2"/>
        <v>0</v>
      </c>
      <c r="H19" s="582">
        <f t="shared" si="1"/>
        <v>0</v>
      </c>
    </row>
    <row r="20" spans="1:8" s="3" customFormat="1" ht="11.25">
      <c r="A20" s="311" t="s">
        <v>636</v>
      </c>
      <c r="B20" s="582">
        <v>42362</v>
      </c>
      <c r="C20" s="582">
        <v>2868</v>
      </c>
      <c r="D20" s="582">
        <f t="shared" si="0"/>
        <v>-39494</v>
      </c>
      <c r="E20" s="311" t="s">
        <v>636</v>
      </c>
      <c r="F20" s="582">
        <f>ROUND(B20/1000,0)+1</f>
        <v>43</v>
      </c>
      <c r="G20" s="582">
        <f t="shared" si="2"/>
        <v>3</v>
      </c>
      <c r="H20" s="582">
        <f t="shared" si="1"/>
        <v>-40</v>
      </c>
    </row>
    <row r="21" spans="1:8" s="3" customFormat="1" ht="11.25">
      <c r="A21" s="311" t="s">
        <v>637</v>
      </c>
      <c r="B21" s="582">
        <v>536041</v>
      </c>
      <c r="C21" s="582"/>
      <c r="D21" s="582">
        <f t="shared" si="0"/>
        <v>-536041</v>
      </c>
      <c r="E21" s="311" t="s">
        <v>637</v>
      </c>
      <c r="F21" s="582">
        <f t="shared" si="2"/>
        <v>536</v>
      </c>
      <c r="G21" s="582">
        <f t="shared" si="2"/>
        <v>0</v>
      </c>
      <c r="H21" s="582">
        <f t="shared" si="1"/>
        <v>-536</v>
      </c>
    </row>
    <row r="22" spans="1:8" s="681" customFormat="1" ht="12">
      <c r="A22" s="31" t="s">
        <v>638</v>
      </c>
      <c r="B22" s="441">
        <f>SUM(B23:B34)</f>
        <v>22094747</v>
      </c>
      <c r="C22" s="441">
        <f>SUM(C23:C34)</f>
        <v>66502600</v>
      </c>
      <c r="D22" s="441">
        <f t="shared" si="0"/>
        <v>44407853</v>
      </c>
      <c r="E22" s="31" t="s">
        <v>638</v>
      </c>
      <c r="F22" s="441">
        <f>SUM(F23:F34)</f>
        <v>22095</v>
      </c>
      <c r="G22" s="441">
        <f>SUM(G23:G34)</f>
        <v>66503</v>
      </c>
      <c r="H22" s="441">
        <f t="shared" si="1"/>
        <v>44408</v>
      </c>
    </row>
    <row r="23" spans="1:8" s="3" customFormat="1" ht="11.25">
      <c r="A23" s="311" t="s">
        <v>145</v>
      </c>
      <c r="B23" s="582">
        <v>22085409</v>
      </c>
      <c r="C23" s="582">
        <f>31600000+2902600</f>
        <v>34502600</v>
      </c>
      <c r="D23" s="582">
        <f t="shared" si="0"/>
        <v>12417191</v>
      </c>
      <c r="E23" s="311" t="s">
        <v>145</v>
      </c>
      <c r="F23" s="582">
        <f>ROUND(B23/1000,0)+1</f>
        <v>22086</v>
      </c>
      <c r="G23" s="582">
        <f t="shared" si="2"/>
        <v>34503</v>
      </c>
      <c r="H23" s="582">
        <f t="shared" si="1"/>
        <v>12417</v>
      </c>
    </row>
    <row r="24" spans="1:8" s="3" customFormat="1" ht="11.25">
      <c r="A24" s="311" t="s">
        <v>630</v>
      </c>
      <c r="B24" s="582"/>
      <c r="C24" s="582">
        <v>6000000</v>
      </c>
      <c r="D24" s="582">
        <f t="shared" si="0"/>
        <v>6000000</v>
      </c>
      <c r="E24" s="311" t="s">
        <v>630</v>
      </c>
      <c r="F24" s="582">
        <f t="shared" si="2"/>
        <v>0</v>
      </c>
      <c r="G24" s="582">
        <f t="shared" si="2"/>
        <v>6000</v>
      </c>
      <c r="H24" s="582">
        <f t="shared" si="1"/>
        <v>6000</v>
      </c>
    </row>
    <row r="25" spans="1:8" s="3" customFormat="1" ht="11.25">
      <c r="A25" s="311" t="s">
        <v>631</v>
      </c>
      <c r="B25" s="582"/>
      <c r="C25" s="582">
        <v>12000000</v>
      </c>
      <c r="D25" s="582">
        <f t="shared" si="0"/>
        <v>12000000</v>
      </c>
      <c r="E25" s="311" t="s">
        <v>631</v>
      </c>
      <c r="F25" s="582">
        <f t="shared" si="2"/>
        <v>0</v>
      </c>
      <c r="G25" s="582">
        <f t="shared" si="2"/>
        <v>12000</v>
      </c>
      <c r="H25" s="582">
        <f t="shared" si="1"/>
        <v>12000</v>
      </c>
    </row>
    <row r="26" spans="1:8" s="3" customFormat="1" ht="11.25">
      <c r="A26" s="311" t="s">
        <v>639</v>
      </c>
      <c r="B26" s="582"/>
      <c r="C26" s="582"/>
      <c r="D26" s="582">
        <f t="shared" si="0"/>
        <v>0</v>
      </c>
      <c r="E26" s="311" t="s">
        <v>639</v>
      </c>
      <c r="F26" s="582">
        <f t="shared" si="2"/>
        <v>0</v>
      </c>
      <c r="G26" s="582">
        <f t="shared" si="2"/>
        <v>0</v>
      </c>
      <c r="H26" s="582">
        <f t="shared" si="1"/>
        <v>0</v>
      </c>
    </row>
    <row r="27" spans="1:8" s="3" customFormat="1" ht="11.25">
      <c r="A27" s="311" t="s">
        <v>632</v>
      </c>
      <c r="B27" s="582"/>
      <c r="C27" s="582">
        <v>4000000</v>
      </c>
      <c r="D27" s="582">
        <f t="shared" si="0"/>
        <v>4000000</v>
      </c>
      <c r="E27" s="311" t="s">
        <v>632</v>
      </c>
      <c r="F27" s="582">
        <f t="shared" si="2"/>
        <v>0</v>
      </c>
      <c r="G27" s="582">
        <f t="shared" si="2"/>
        <v>4000</v>
      </c>
      <c r="H27" s="582">
        <f t="shared" si="1"/>
        <v>4000</v>
      </c>
    </row>
    <row r="28" spans="1:8" s="3" customFormat="1" ht="11.25">
      <c r="A28" s="311" t="s">
        <v>640</v>
      </c>
      <c r="B28" s="582"/>
      <c r="C28" s="582">
        <v>4000000</v>
      </c>
      <c r="D28" s="582">
        <f t="shared" si="0"/>
        <v>4000000</v>
      </c>
      <c r="E28" s="311" t="s">
        <v>640</v>
      </c>
      <c r="F28" s="582">
        <f t="shared" si="2"/>
        <v>0</v>
      </c>
      <c r="G28" s="582">
        <f t="shared" si="2"/>
        <v>4000</v>
      </c>
      <c r="H28" s="582">
        <f t="shared" si="1"/>
        <v>4000</v>
      </c>
    </row>
    <row r="29" spans="1:8" s="3" customFormat="1" ht="11.25">
      <c r="A29" s="311" t="s">
        <v>635</v>
      </c>
      <c r="B29" s="582">
        <v>9338</v>
      </c>
      <c r="C29" s="582">
        <v>3000000</v>
      </c>
      <c r="D29" s="582">
        <f t="shared" si="0"/>
        <v>2990662</v>
      </c>
      <c r="E29" s="311" t="s">
        <v>635</v>
      </c>
      <c r="F29" s="582">
        <f t="shared" si="2"/>
        <v>9</v>
      </c>
      <c r="G29" s="582">
        <f t="shared" si="2"/>
        <v>3000</v>
      </c>
      <c r="H29" s="582">
        <f t="shared" si="1"/>
        <v>2991</v>
      </c>
    </row>
    <row r="30" spans="1:8" s="3" customFormat="1" ht="11.25">
      <c r="A30" s="311" t="s">
        <v>636</v>
      </c>
      <c r="B30" s="582"/>
      <c r="C30" s="582"/>
      <c r="D30" s="582">
        <f t="shared" si="0"/>
        <v>0</v>
      </c>
      <c r="E30" s="311" t="s">
        <v>636</v>
      </c>
      <c r="F30" s="582">
        <f t="shared" si="2"/>
        <v>0</v>
      </c>
      <c r="G30" s="582">
        <f t="shared" si="2"/>
        <v>0</v>
      </c>
      <c r="H30" s="582">
        <f t="shared" si="1"/>
        <v>0</v>
      </c>
    </row>
    <row r="31" spans="1:8" s="3" customFormat="1" ht="11.25">
      <c r="A31" s="311" t="s">
        <v>633</v>
      </c>
      <c r="B31" s="582"/>
      <c r="C31" s="582"/>
      <c r="D31" s="582">
        <f t="shared" si="0"/>
        <v>0</v>
      </c>
      <c r="E31" s="311" t="s">
        <v>634</v>
      </c>
      <c r="F31" s="582">
        <f aca="true" t="shared" si="3" ref="F31:G34">ROUND(B31/1000,0)</f>
        <v>0</v>
      </c>
      <c r="G31" s="582">
        <f t="shared" si="3"/>
        <v>0</v>
      </c>
      <c r="H31" s="582">
        <f t="shared" si="1"/>
        <v>0</v>
      </c>
    </row>
    <row r="32" spans="1:8" s="3" customFormat="1" ht="11.25">
      <c r="A32" s="311" t="s">
        <v>641</v>
      </c>
      <c r="B32" s="582"/>
      <c r="C32" s="582"/>
      <c r="D32" s="582">
        <f t="shared" si="0"/>
        <v>0</v>
      </c>
      <c r="E32" s="311" t="s">
        <v>641</v>
      </c>
      <c r="F32" s="582">
        <f t="shared" si="3"/>
        <v>0</v>
      </c>
      <c r="G32" s="582">
        <f t="shared" si="3"/>
        <v>0</v>
      </c>
      <c r="H32" s="582">
        <f t="shared" si="1"/>
        <v>0</v>
      </c>
    </row>
    <row r="33" spans="1:8" s="3" customFormat="1" ht="11.25">
      <c r="A33" s="311" t="s">
        <v>642</v>
      </c>
      <c r="B33" s="582"/>
      <c r="C33" s="582">
        <v>3000000</v>
      </c>
      <c r="D33" s="582">
        <f t="shared" si="0"/>
        <v>3000000</v>
      </c>
      <c r="E33" s="311" t="s">
        <v>642</v>
      </c>
      <c r="F33" s="582">
        <f t="shared" si="3"/>
        <v>0</v>
      </c>
      <c r="G33" s="582">
        <f t="shared" si="3"/>
        <v>3000</v>
      </c>
      <c r="H33" s="582">
        <f t="shared" si="1"/>
        <v>3000</v>
      </c>
    </row>
    <row r="34" spans="1:8" s="3" customFormat="1" ht="11.25">
      <c r="A34" s="311" t="s">
        <v>637</v>
      </c>
      <c r="B34" s="582"/>
      <c r="C34" s="582"/>
      <c r="D34" s="582">
        <f t="shared" si="0"/>
        <v>0</v>
      </c>
      <c r="E34" s="311" t="s">
        <v>637</v>
      </c>
      <c r="F34" s="582">
        <f t="shared" si="3"/>
        <v>0</v>
      </c>
      <c r="G34" s="582">
        <f t="shared" si="3"/>
        <v>0</v>
      </c>
      <c r="H34" s="582">
        <f t="shared" si="1"/>
        <v>0</v>
      </c>
    </row>
    <row r="35" spans="1:8" s="27" customFormat="1" ht="12.75">
      <c r="A35" s="142" t="s">
        <v>643</v>
      </c>
      <c r="B35" s="478">
        <f>B36</f>
        <v>1569805</v>
      </c>
      <c r="C35" s="478">
        <f>C36</f>
        <v>2863671</v>
      </c>
      <c r="D35" s="478">
        <f t="shared" si="0"/>
        <v>1293866</v>
      </c>
      <c r="E35" s="142" t="s">
        <v>643</v>
      </c>
      <c r="F35" s="478">
        <f>F36</f>
        <v>1570</v>
      </c>
      <c r="G35" s="478">
        <f>G36</f>
        <v>2863</v>
      </c>
      <c r="H35" s="478">
        <f t="shared" si="1"/>
        <v>1293</v>
      </c>
    </row>
    <row r="36" spans="1:8" s="681" customFormat="1" ht="12">
      <c r="A36" s="31" t="s">
        <v>644</v>
      </c>
      <c r="B36" s="441">
        <f>SUM(B37:B41)</f>
        <v>1569805</v>
      </c>
      <c r="C36" s="441">
        <f>SUM(C37:C41)</f>
        <v>2863671</v>
      </c>
      <c r="D36" s="441">
        <f t="shared" si="0"/>
        <v>1293866</v>
      </c>
      <c r="E36" s="31" t="s">
        <v>644</v>
      </c>
      <c r="F36" s="441">
        <f>SUM(F37:F41)</f>
        <v>1570</v>
      </c>
      <c r="G36" s="441">
        <f>SUM(G37:G41)</f>
        <v>2863</v>
      </c>
      <c r="H36" s="441">
        <f t="shared" si="1"/>
        <v>1293</v>
      </c>
    </row>
    <row r="37" spans="1:8" s="3" customFormat="1" ht="11.25">
      <c r="A37" s="311" t="s">
        <v>645</v>
      </c>
      <c r="B37" s="582">
        <v>158837</v>
      </c>
      <c r="C37" s="582">
        <v>138437</v>
      </c>
      <c r="D37" s="582">
        <f t="shared" si="0"/>
        <v>-20400</v>
      </c>
      <c r="E37" s="311" t="s">
        <v>645</v>
      </c>
      <c r="F37" s="582">
        <f aca="true" t="shared" si="4" ref="F37:G41">ROUND(B37/1000,0)</f>
        <v>159</v>
      </c>
      <c r="G37" s="582">
        <f>ROUND(C37/1000,0)</f>
        <v>138</v>
      </c>
      <c r="H37" s="582">
        <f t="shared" si="1"/>
        <v>-21</v>
      </c>
    </row>
    <row r="38" spans="1:8" s="3" customFormat="1" ht="11.25">
      <c r="A38" s="311" t="s">
        <v>646</v>
      </c>
      <c r="B38" s="582">
        <v>760900</v>
      </c>
      <c r="C38" s="582">
        <v>953170</v>
      </c>
      <c r="D38" s="582">
        <f t="shared" si="0"/>
        <v>192270</v>
      </c>
      <c r="E38" s="311" t="s">
        <v>647</v>
      </c>
      <c r="F38" s="582">
        <f t="shared" si="4"/>
        <v>761</v>
      </c>
      <c r="G38" s="582">
        <f t="shared" si="4"/>
        <v>953</v>
      </c>
      <c r="H38" s="582">
        <f t="shared" si="1"/>
        <v>192</v>
      </c>
    </row>
    <row r="39" spans="1:8" s="3" customFormat="1" ht="11.25">
      <c r="A39" s="311" t="s">
        <v>648</v>
      </c>
      <c r="B39" s="582">
        <v>120897</v>
      </c>
      <c r="C39" s="582">
        <v>204803</v>
      </c>
      <c r="D39" s="582">
        <f t="shared" si="0"/>
        <v>83906</v>
      </c>
      <c r="E39" s="311" t="s">
        <v>648</v>
      </c>
      <c r="F39" s="582">
        <f t="shared" si="4"/>
        <v>121</v>
      </c>
      <c r="G39" s="582">
        <f>ROUND(C39/1000,0)</f>
        <v>205</v>
      </c>
      <c r="H39" s="582">
        <f t="shared" si="1"/>
        <v>84</v>
      </c>
    </row>
    <row r="40" spans="1:8" s="3" customFormat="1" ht="11.25">
      <c r="A40" s="311" t="s">
        <v>649</v>
      </c>
      <c r="B40" s="582">
        <v>37031</v>
      </c>
      <c r="C40" s="582">
        <v>38236</v>
      </c>
      <c r="D40" s="582">
        <f t="shared" si="0"/>
        <v>1205</v>
      </c>
      <c r="E40" s="311" t="s">
        <v>650</v>
      </c>
      <c r="F40" s="582">
        <f>ROUND(B40/1000,0)</f>
        <v>37</v>
      </c>
      <c r="G40" s="582">
        <f t="shared" si="4"/>
        <v>38</v>
      </c>
      <c r="H40" s="582">
        <f t="shared" si="1"/>
        <v>1</v>
      </c>
    </row>
    <row r="41" spans="1:8" s="3" customFormat="1" ht="11.25">
      <c r="A41" s="311" t="s">
        <v>651</v>
      </c>
      <c r="B41" s="582">
        <v>492140</v>
      </c>
      <c r="C41" s="582">
        <v>1529025</v>
      </c>
      <c r="D41" s="582">
        <f t="shared" si="0"/>
        <v>1036885</v>
      </c>
      <c r="E41" s="311" t="s">
        <v>652</v>
      </c>
      <c r="F41" s="582">
        <f t="shared" si="4"/>
        <v>492</v>
      </c>
      <c r="G41" s="582">
        <f t="shared" si="4"/>
        <v>1529</v>
      </c>
      <c r="H41" s="582">
        <f t="shared" si="1"/>
        <v>1037</v>
      </c>
    </row>
    <row r="42" ht="12.75">
      <c r="E42" s="3" t="s">
        <v>653</v>
      </c>
    </row>
    <row r="44" spans="1:8" s="5" customFormat="1" ht="12.75">
      <c r="A44" s="5" t="s">
        <v>654</v>
      </c>
      <c r="B44" s="682"/>
      <c r="C44" s="682"/>
      <c r="D44" s="145" t="s">
        <v>830</v>
      </c>
      <c r="F44" s="42"/>
      <c r="G44" s="42"/>
      <c r="H44" s="145" t="s">
        <v>830</v>
      </c>
    </row>
    <row r="46" ht="12.75">
      <c r="E46" s="5" t="s">
        <v>654</v>
      </c>
    </row>
    <row r="52" ht="12.75">
      <c r="E52" s="3" t="s">
        <v>788</v>
      </c>
    </row>
    <row r="53" ht="12.75">
      <c r="E53" s="3" t="s">
        <v>789</v>
      </c>
    </row>
  </sheetData>
  <mergeCells count="6">
    <mergeCell ref="A6:D6"/>
    <mergeCell ref="E6:H6"/>
    <mergeCell ref="A3:D3"/>
    <mergeCell ref="E3:H3"/>
    <mergeCell ref="A5:D5"/>
    <mergeCell ref="E5:H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6"/>
  <sheetViews>
    <sheetView workbookViewId="0" topLeftCell="I1">
      <selection activeCell="N9" sqref="N9"/>
    </sheetView>
  </sheetViews>
  <sheetFormatPr defaultColWidth="9.140625" defaultRowHeight="17.25" customHeight="1"/>
  <cols>
    <col min="1" max="1" width="37.7109375" style="399" hidden="1" customWidth="1"/>
    <col min="2" max="2" width="12.140625" style="399" hidden="1" customWidth="1"/>
    <col min="3" max="3" width="12.421875" style="399" hidden="1" customWidth="1"/>
    <col min="4" max="4" width="11.140625" style="399" hidden="1" customWidth="1"/>
    <col min="5" max="5" width="5.57421875" style="399" hidden="1" customWidth="1"/>
    <col min="6" max="6" width="7.8515625" style="399" hidden="1" customWidth="1"/>
    <col min="7" max="7" width="11.421875" style="399" hidden="1" customWidth="1"/>
    <col min="8" max="8" width="9.7109375" style="399" hidden="1" customWidth="1"/>
    <col min="9" max="9" width="36.00390625" style="399" customWidth="1"/>
    <col min="10" max="10" width="11.28125" style="399" customWidth="1"/>
    <col min="11" max="11" width="11.8515625" style="399" customWidth="1"/>
    <col min="12" max="12" width="9.140625" style="399" customWidth="1"/>
    <col min="13" max="13" width="5.8515625" style="399" customWidth="1"/>
    <col min="14" max="14" width="9.8515625" style="399" customWidth="1"/>
    <col min="15" max="15" width="8.28125" style="399" customWidth="1"/>
    <col min="16" max="16384" width="9.140625" style="399" customWidth="1"/>
  </cols>
  <sheetData>
    <row r="1" spans="2:15" ht="17.25" customHeight="1">
      <c r="B1" s="400"/>
      <c r="C1" s="400"/>
      <c r="D1" s="400"/>
      <c r="E1" s="400"/>
      <c r="F1" s="400"/>
      <c r="G1" s="399" t="s">
        <v>280</v>
      </c>
      <c r="J1" s="400"/>
      <c r="K1" s="400"/>
      <c r="L1" s="400"/>
      <c r="M1" s="400"/>
      <c r="N1" s="400"/>
      <c r="O1" s="399" t="s">
        <v>280</v>
      </c>
    </row>
    <row r="2" spans="1:14" ht="17.25" customHeight="1">
      <c r="A2" s="400" t="s">
        <v>740</v>
      </c>
      <c r="B2" s="400"/>
      <c r="C2" s="400"/>
      <c r="D2" s="400"/>
      <c r="E2" s="400"/>
      <c r="F2" s="400"/>
      <c r="I2" s="400" t="s">
        <v>740</v>
      </c>
      <c r="J2" s="400"/>
      <c r="K2" s="400"/>
      <c r="L2" s="400"/>
      <c r="M2" s="400"/>
      <c r="N2" s="400"/>
    </row>
    <row r="3" spans="1:15" ht="17.25" customHeight="1">
      <c r="A3" s="401" t="s">
        <v>281</v>
      </c>
      <c r="B3" s="400"/>
      <c r="C3" s="400"/>
      <c r="D3" s="400"/>
      <c r="E3" s="400"/>
      <c r="F3" s="400"/>
      <c r="I3" s="767" t="s">
        <v>281</v>
      </c>
      <c r="J3" s="767"/>
      <c r="K3" s="767"/>
      <c r="L3" s="767"/>
      <c r="M3" s="767"/>
      <c r="N3" s="767"/>
      <c r="O3" s="767"/>
    </row>
    <row r="4" spans="1:14" ht="17.25" customHeight="1">
      <c r="A4" s="768" t="s">
        <v>282</v>
      </c>
      <c r="B4" s="768"/>
      <c r="C4" s="768"/>
      <c r="D4" s="768"/>
      <c r="E4" s="768"/>
      <c r="F4" s="768"/>
      <c r="I4" s="768" t="s">
        <v>793</v>
      </c>
      <c r="J4" s="768"/>
      <c r="K4" s="768"/>
      <c r="L4" s="768"/>
      <c r="M4" s="768"/>
      <c r="N4" s="768"/>
    </row>
    <row r="5" spans="1:14" ht="17.25" customHeight="1">
      <c r="A5" s="766" t="s">
        <v>283</v>
      </c>
      <c r="B5" s="766"/>
      <c r="C5" s="766"/>
      <c r="D5" s="766"/>
      <c r="E5" s="766"/>
      <c r="F5" s="766"/>
      <c r="I5" s="766" t="s">
        <v>283</v>
      </c>
      <c r="J5" s="766"/>
      <c r="K5" s="766"/>
      <c r="L5" s="766"/>
      <c r="M5" s="766"/>
      <c r="N5" s="766"/>
    </row>
    <row r="6" spans="1:14" ht="17.25" customHeight="1" hidden="1">
      <c r="A6" s="402"/>
      <c r="B6" s="402"/>
      <c r="C6" s="402"/>
      <c r="D6" s="402"/>
      <c r="E6" s="402"/>
      <c r="F6" s="402"/>
      <c r="I6" s="402"/>
      <c r="J6" s="402"/>
      <c r="K6" s="402"/>
      <c r="L6" s="402"/>
      <c r="M6" s="402"/>
      <c r="N6" s="402"/>
    </row>
    <row r="7" spans="1:15" ht="17.25" customHeight="1">
      <c r="A7" s="766"/>
      <c r="B7" s="766"/>
      <c r="C7" s="766"/>
      <c r="D7" s="766"/>
      <c r="E7" s="766"/>
      <c r="F7" s="766"/>
      <c r="G7" s="399" t="s">
        <v>837</v>
      </c>
      <c r="I7" s="766"/>
      <c r="J7" s="766"/>
      <c r="K7" s="766"/>
      <c r="L7" s="766"/>
      <c r="M7" s="766"/>
      <c r="N7" s="766"/>
      <c r="O7" s="399" t="s">
        <v>837</v>
      </c>
    </row>
    <row r="8" spans="1:15" ht="70.5" customHeight="1">
      <c r="A8" s="403" t="s">
        <v>748</v>
      </c>
      <c r="B8" s="403" t="s">
        <v>749</v>
      </c>
      <c r="C8" s="403" t="s">
        <v>750</v>
      </c>
      <c r="D8" s="403" t="s">
        <v>751</v>
      </c>
      <c r="E8" s="403" t="s">
        <v>752</v>
      </c>
      <c r="F8" s="403" t="s">
        <v>755</v>
      </c>
      <c r="G8" s="403" t="s">
        <v>40</v>
      </c>
      <c r="I8" s="403" t="s">
        <v>748</v>
      </c>
      <c r="J8" s="403" t="s">
        <v>749</v>
      </c>
      <c r="K8" s="403" t="s">
        <v>750</v>
      </c>
      <c r="L8" s="403" t="s">
        <v>751</v>
      </c>
      <c r="M8" s="403" t="s">
        <v>752</v>
      </c>
      <c r="N8" s="403" t="s">
        <v>755</v>
      </c>
      <c r="O8" s="403" t="s">
        <v>797</v>
      </c>
    </row>
    <row r="9" spans="1:15" ht="12">
      <c r="A9" s="403">
        <v>1</v>
      </c>
      <c r="B9" s="403">
        <v>2</v>
      </c>
      <c r="C9" s="403">
        <v>3</v>
      </c>
      <c r="D9" s="403">
        <v>4</v>
      </c>
      <c r="E9" s="403">
        <v>5</v>
      </c>
      <c r="F9" s="403">
        <v>6</v>
      </c>
      <c r="G9" s="404">
        <v>7</v>
      </c>
      <c r="I9" s="403">
        <v>1</v>
      </c>
      <c r="J9" s="403">
        <v>2</v>
      </c>
      <c r="K9" s="403">
        <v>3</v>
      </c>
      <c r="L9" s="403">
        <v>4</v>
      </c>
      <c r="M9" s="403">
        <v>5</v>
      </c>
      <c r="N9" s="403">
        <v>6</v>
      </c>
      <c r="O9" s="404">
        <v>7</v>
      </c>
    </row>
    <row r="10" spans="1:15" ht="17.25" customHeight="1">
      <c r="A10" s="405" t="s">
        <v>874</v>
      </c>
      <c r="B10" s="406">
        <v>795383031</v>
      </c>
      <c r="C10" s="407"/>
      <c r="D10" s="406">
        <v>168332580</v>
      </c>
      <c r="E10" s="408">
        <f aca="true" t="shared" si="0" ref="E10:E73">IF(ISERROR(D10/B10)," ",(D10/B10))*100</f>
        <v>21.163712757155867</v>
      </c>
      <c r="F10" s="409"/>
      <c r="G10" s="410">
        <v>54246477</v>
      </c>
      <c r="I10" s="405" t="s">
        <v>874</v>
      </c>
      <c r="J10" s="406">
        <v>795383</v>
      </c>
      <c r="K10" s="406"/>
      <c r="L10" s="406">
        <v>168333</v>
      </c>
      <c r="M10" s="411"/>
      <c r="N10" s="411"/>
      <c r="O10" s="406">
        <v>54247</v>
      </c>
    </row>
    <row r="11" spans="1:15" ht="12.75" customHeight="1">
      <c r="A11" s="412" t="s">
        <v>284</v>
      </c>
      <c r="B11" s="413">
        <f>B22+B28+B35+B43+B50+B57+B66+B77+B85+B94+B102+B110+B119+B127+B135+B143+B150+B158+B163+B170+B177+B183+B188+B193+B200+B205+B213+B221+B228+B234</f>
        <v>822566488</v>
      </c>
      <c r="C11" s="413">
        <f>C22+C28+C35+C43+C50+C57+C66+C77+C85+C94+C102+C110+C119+C127+C135+C143+C150+C158+C163+C170+C177+C183+C188+C193+C200+C205+C213+C221+C228+C234</f>
        <v>192499000</v>
      </c>
      <c r="D11" s="413">
        <f>D22+D28+D35+D43+D50+D57+D66+D77+D85+D94+D102+D110+D119+D127+D135+D143+D150+D158+D163+D170+D177+D183+D188+D193+D200+D205+D213+D221+D228+D234</f>
        <v>183155127.53</v>
      </c>
      <c r="E11" s="409">
        <f t="shared" si="0"/>
        <v>22.266300682310316</v>
      </c>
      <c r="F11" s="409">
        <f aca="true" t="shared" si="1" ref="F11:F73">IF(ISERROR(D11/C11)," ",(D11/C11))*100</f>
        <v>95.1460150598185</v>
      </c>
      <c r="G11" s="413">
        <f>G22+G28+G35+G43+G50+G57+G66+G77+G85+G94+G102+G110+G119+G127+G135+G143+G150+G158+G163+G170+G177+G183+G188+G193+G200+G205+G213+G221+G228+G234</f>
        <v>63592190.18</v>
      </c>
      <c r="I11" s="412" t="s">
        <v>284</v>
      </c>
      <c r="J11" s="414">
        <f>J22+J28+J35+J43+J50+J57+J66+J77+J85+J94+J102+J110+J119+J127+J135+J143+J150+J158+J163+J170+J177+J183+J188+J193+J200+J205+J213+J221+J228+J234</f>
        <v>822566</v>
      </c>
      <c r="K11" s="414">
        <f>K22+K28+K35+K43+K50+K57+K66+K77+K85+K94+K102+K110+K119+K127+K135+K143+K150+K158+K163+K170+K177+K183+K188+K193+K200+K205+K213+K221+K228+K234</f>
        <v>192499</v>
      </c>
      <c r="L11" s="414">
        <f>L22+L28+L35+L43+L50+L57+L66+L77+L85+L94+L102+L110+L119+L127+L135+L143+L150+L158+L163+L170+L177+L183+L188+L193+L200+L205+L213+L221+L228+L234</f>
        <v>184476</v>
      </c>
      <c r="M11" s="415">
        <f>L11/J11*100</f>
        <v>22.426893404298255</v>
      </c>
      <c r="N11" s="415">
        <f>L11/K11*100</f>
        <v>95.8321861412267</v>
      </c>
      <c r="O11" s="416">
        <f>O22+O28+O35+O43+O50+O57+O66+O77+O85+O94+O102+O110+O119+O127+O135+O143+O150+O158+O163+O170+O177+O183+O188+O193+O200+O205+O213+O221+O228+O234</f>
        <v>63267</v>
      </c>
    </row>
    <row r="12" spans="1:15" ht="12.75" customHeight="1">
      <c r="A12" s="412" t="s">
        <v>285</v>
      </c>
      <c r="B12" s="413">
        <f>B23+B29+B36+B44+B51+B58+B67+B78+B86+B95+B103+B111+B120+B128+B136+B144+B151+B159+B164+B171+B178+B184+B189+B194+B201+B206+B214+B229+B235</f>
        <v>702268383</v>
      </c>
      <c r="C12" s="413">
        <f>C23+C29+C36+C44+C51+C58+C67+C78+C86+C95+C103+C111+C120+C128+C136+C144+C151+C159+C164+C171+C178+C184+C189+C194+C201+C206+C214+C229+C235</f>
        <v>165472699</v>
      </c>
      <c r="D12" s="413">
        <f>D23+D29+D36+D44+D51+D58+D67+D78+D86+D95+D103+D111+D120+D128+D136+D144+D151+D159+D164+D171+D178+D184+D189+D194+D201+D206+D214+D229+D235</f>
        <v>165472699</v>
      </c>
      <c r="E12" s="409">
        <f t="shared" si="0"/>
        <v>23.56260127974464</v>
      </c>
      <c r="F12" s="409">
        <f t="shared" si="1"/>
        <v>100</v>
      </c>
      <c r="G12" s="413">
        <f>G23+G29+G36+G44+G51+G58+G67+G78+G86+G95+G103+G111+G120+G128+G136+G144+G151+G159+G164+G171+G178+G184+G189+G194+G201+G206+G214+G229+G235</f>
        <v>58551670.92</v>
      </c>
      <c r="I12" s="412" t="s">
        <v>285</v>
      </c>
      <c r="J12" s="414">
        <f>J23+J29+J36+J44+J51+J58+J67+J78+J86+J95+J103+J111+J120+J128+J136+J144+J151+J159+J164+J171+J178+J184+J189+J194+J201+J206+J214+J229+J235</f>
        <v>702268</v>
      </c>
      <c r="K12" s="414">
        <f>K23+K29+K36+K44+K51+K58+K67+K78+K86+K95+K103+K111+K120+K128+K136+K144+K151+K159+K164+K171+K178+K184+K189+K194+K201+K206+K214+K229+K235</f>
        <v>165473</v>
      </c>
      <c r="L12" s="416">
        <f>L23+L29+L36+L44+L51+L58+L67+L78+L86+L95+L103+L111+L120+L128+L136+L144+L151+L159+L164+L171+L178+L184+L189+L194+L201+L206+L214+L229+L235</f>
        <v>165474</v>
      </c>
      <c r="M12" s="415">
        <f aca="true" t="shared" si="2" ref="M12:M75">L12/J12*100</f>
        <v>23.56279938712856</v>
      </c>
      <c r="N12" s="415">
        <f aca="true" t="shared" si="3" ref="N12:N73">L12/K12*100</f>
        <v>100.00060432819855</v>
      </c>
      <c r="O12" s="416">
        <f>O23+O29+O36+O44+O51+O58+O67+O78+O86+O95+O103+O111+O120+O128+O136+O144+O151+O159+O164+O171+O178+O184+O189+O194+O201+O206+O214+O229+O235</f>
        <v>57833</v>
      </c>
    </row>
    <row r="13" spans="1:15" ht="12.75" customHeight="1">
      <c r="A13" s="412" t="s">
        <v>286</v>
      </c>
      <c r="B13" s="413">
        <f aca="true" t="shared" si="4" ref="B13:G13">B59+B68+B87+B112</f>
        <v>3480024</v>
      </c>
      <c r="C13" s="413">
        <f t="shared" si="4"/>
        <v>496468</v>
      </c>
      <c r="D13" s="413">
        <f t="shared" si="4"/>
        <v>290884.02</v>
      </c>
      <c r="E13" s="409">
        <f t="shared" si="0"/>
        <v>8.358678560837513</v>
      </c>
      <c r="F13" s="409">
        <f t="shared" si="1"/>
        <v>58.59068862444307</v>
      </c>
      <c r="G13" s="413">
        <f t="shared" si="4"/>
        <v>154601.83000000002</v>
      </c>
      <c r="I13" s="412" t="s">
        <v>286</v>
      </c>
      <c r="J13" s="414">
        <f>J59+J68+J87+J112</f>
        <v>3480</v>
      </c>
      <c r="K13" s="414">
        <f>K59+K68+K87+K112</f>
        <v>496</v>
      </c>
      <c r="L13" s="414">
        <f>L59+L68+L87+L112</f>
        <v>290</v>
      </c>
      <c r="M13" s="415">
        <f t="shared" si="2"/>
        <v>8.333333333333332</v>
      </c>
      <c r="N13" s="415">
        <f t="shared" si="3"/>
        <v>58.46774193548387</v>
      </c>
      <c r="O13" s="416">
        <f>O59+O68+O87+O112</f>
        <v>145</v>
      </c>
    </row>
    <row r="14" spans="1:15" ht="12.75" customHeight="1">
      <c r="A14" s="412" t="s">
        <v>929</v>
      </c>
      <c r="B14" s="413">
        <f>B30+B37+B45+B52+B60+B69+B79+B88+B96+B104+B113+B121+B129+B137+B145+B152+B165+B172+B195+B222</f>
        <v>60659270</v>
      </c>
      <c r="C14" s="413">
        <f>C30+C37+C45+C52+C60+C69+C79+C88+C96+C104+C113+C121+C129+C137+C145+C152+C165+C172+C195+C222</f>
        <v>14871188</v>
      </c>
      <c r="D14" s="413">
        <f>D30+D37+D45+D52+D60+D69+D79+D88+D96+D104+D113+D121+D129+D137+D145+D152+D165+D172+D195+D222+D215+D222</f>
        <v>15300505.64</v>
      </c>
      <c r="E14" s="409">
        <f t="shared" si="0"/>
        <v>25.223689042087056</v>
      </c>
      <c r="F14" s="409">
        <f t="shared" si="1"/>
        <v>102.88690883337632</v>
      </c>
      <c r="G14" s="413">
        <f>G30+G37+G45+G52+G60+G69+G79+G88+G96+G104+G113+G121+G129+G137+G145+G152+G165+G172+G195+G207+G222+G215</f>
        <v>4827791.1</v>
      </c>
      <c r="I14" s="412" t="s">
        <v>929</v>
      </c>
      <c r="J14" s="414">
        <f>J30+J37+J45+J52+J60+J69+J79+J88+J96+J104+J113+J121+J129+J137+J145+J152+J165+J172+J195+J215+J222</f>
        <v>60659</v>
      </c>
      <c r="K14" s="414">
        <f>K30+K37+K45+K52+K60+K69+K79+K88+K96+K104+K113+K121+K129+K137+K145+K152+K165+K172+K195+K215+K222</f>
        <v>14871</v>
      </c>
      <c r="L14" s="414">
        <f>L30+L37+L45+L52+L60+L69+L79+L88+L96+L104+L113+L121+L129+L137+L145+L152+L165+L172+L195+L215+L222</f>
        <v>15301</v>
      </c>
      <c r="M14" s="415">
        <f t="shared" si="2"/>
        <v>25.224616297663992</v>
      </c>
      <c r="N14" s="415">
        <f t="shared" si="3"/>
        <v>102.89153385784414</v>
      </c>
      <c r="O14" s="416">
        <f>O30+O37+O45+O52+O60+O69+O79+O88+O96+O104+O113+O121+O129+O137+O145+O152+O165+O172+O195+O215+O222</f>
        <v>4828</v>
      </c>
    </row>
    <row r="15" spans="1:15" ht="12.75" customHeight="1">
      <c r="A15" s="412" t="s">
        <v>758</v>
      </c>
      <c r="B15" s="413">
        <f>B38+B61+B70+B80+B89+B97+B105+B114+B122+B130+B138+B153+B208+B216</f>
        <v>56158811</v>
      </c>
      <c r="C15" s="413">
        <f>C38+C61+C70+C80+C89+C97+C105+C114+C122+C130+C138+C153+C208+C216</f>
        <v>11658645</v>
      </c>
      <c r="D15" s="417">
        <f>D38+D61+D70+D80+D89+D97+D105+D114+D122+D130+D138+D153+D208+D216</f>
        <v>3610366.8699999996</v>
      </c>
      <c r="E15" s="409">
        <f t="shared" si="0"/>
        <v>6.428852046030675</v>
      </c>
      <c r="F15" s="409">
        <f t="shared" si="1"/>
        <v>30.96729396941068</v>
      </c>
      <c r="G15" s="413">
        <f>G38+G61+G70+G80+G89+G97+G105+G114+G122+G130+G138+G153+G208+G216</f>
        <v>588740.3300000001</v>
      </c>
      <c r="I15" s="412" t="s">
        <v>758</v>
      </c>
      <c r="J15" s="414">
        <f>J38+J61+J70+J80+J89+J97+J105+J114+J122+J130+J138+J153+J208+J216</f>
        <v>56159</v>
      </c>
      <c r="K15" s="414">
        <f>K38+K61+K70+K80+K89+K97+K105+K114+K122+K130+K138+K153+K208+K216</f>
        <v>11659</v>
      </c>
      <c r="L15" s="414">
        <f>L38+L61+L70+L80+L89+L97+L105+L114+L122+L130+L138+L153+L208+L216</f>
        <v>3411</v>
      </c>
      <c r="M15" s="415">
        <f t="shared" si="2"/>
        <v>6.07382610089211</v>
      </c>
      <c r="N15" s="415">
        <f t="shared" si="3"/>
        <v>29.256368470709322</v>
      </c>
      <c r="O15" s="416">
        <f>O38+O61+O70+O80+O89+O97+O105+O114+O122+O130+O138+O153+O208+O216</f>
        <v>461</v>
      </c>
    </row>
    <row r="16" spans="1:15" s="402" customFormat="1" ht="12.75" customHeight="1">
      <c r="A16" s="418" t="s">
        <v>881</v>
      </c>
      <c r="B16" s="419">
        <f>B24+B31+B39+B46+B53+B62+B71+B81+B90+B98+B106+B115+B123+B131+B139+B146+B154+B160+B166+B173+B179+B185+B190+B196+B202+B209+B217+B223+B230+B236</f>
        <v>822563488</v>
      </c>
      <c r="C16" s="419">
        <f>C24+C31+C39+C46+C53+C62+C71+C81+C90+C98+C106+C115+C123+C131+C139+C146+C154+C160+C166+C173+C179+C185+C190+C196+C202+C209+C217+C223+C230+C236</f>
        <v>192538446</v>
      </c>
      <c r="D16" s="419">
        <f>D24+D31+D39+D46+D53+D62+D71+D81+D90+D98+D106+D115+D123+D131+D139+D146+D154+D160+D166+D173+D179+D185+D190+D196+D202+D209+D217+D223+D230+D236</f>
        <v>174285334.70999998</v>
      </c>
      <c r="E16" s="409">
        <f t="shared" si="0"/>
        <v>21.188070860495085</v>
      </c>
      <c r="F16" s="409">
        <f t="shared" si="1"/>
        <v>90.51975765401158</v>
      </c>
      <c r="G16" s="419">
        <f>G24+G31+G39+G46+G53+G62+G71+G81+G90+G98+G106+G115+G123+G131+G139+G146+G154+G160+G166+G173+G179+G185+G190+G196+G202+G209+G217+G223+G230+G236</f>
        <v>62257951.720000006</v>
      </c>
      <c r="H16" s="399"/>
      <c r="I16" s="418" t="s">
        <v>881</v>
      </c>
      <c r="J16" s="406">
        <f>J17+J18</f>
        <v>822563</v>
      </c>
      <c r="K16" s="406">
        <f>K17+K18</f>
        <v>192538</v>
      </c>
      <c r="L16" s="420">
        <f>L17+L18</f>
        <v>174285</v>
      </c>
      <c r="M16" s="411">
        <f t="shared" si="2"/>
        <v>21.188042739583473</v>
      </c>
      <c r="N16" s="411">
        <f t="shared" si="3"/>
        <v>90.51979349531003</v>
      </c>
      <c r="O16" s="406">
        <f>O17+O18</f>
        <v>62258</v>
      </c>
    </row>
    <row r="17" spans="1:15" s="424" customFormat="1" ht="12.75" customHeight="1">
      <c r="A17" s="421" t="s">
        <v>876</v>
      </c>
      <c r="B17" s="422">
        <f>B25+B32+B40+B47+B54+B63+B72+B82+B91+B99+B107+B116+B124+B132+B140+B147+B155+B161+B174+B180+B186+B191+B197+B203+B210+B218+B224+B231+B237+B167</f>
        <v>743343379</v>
      </c>
      <c r="C17" s="422">
        <f>C25+C32+C40+C47+C54+C63+C72+C82+C91+C99+C107+C116+C124+C132+C140+C147+C155+C161+C174+C180+C186+C191+C197+C203+C210+C218+C224+C231+C237+C167</f>
        <v>178089864</v>
      </c>
      <c r="D17" s="422">
        <f>D25+D32+D40+D47+D54+D63+D72+D82+D91+D99+D107+D116+D124+D132+D140+D147+D155+D161+D174+D180+D186+D191+D197+D203+D210+D218+D224+D231+D237+D167</f>
        <v>165470934.27</v>
      </c>
      <c r="E17" s="409">
        <f t="shared" si="0"/>
        <v>22.26036296880772</v>
      </c>
      <c r="F17" s="409">
        <f t="shared" si="1"/>
        <v>92.91429088294436</v>
      </c>
      <c r="G17" s="422">
        <f>G25+G32+G40+G47+G54+G63+G72+G82+G91+G99+G107+G116+G124+G132+G140+G147+G155+G161+G174+G180+G186+G191+G197+G203+G210+G218+G224+G231+G237+G167</f>
        <v>58365354.07</v>
      </c>
      <c r="H17" s="399"/>
      <c r="I17" s="421" t="s">
        <v>876</v>
      </c>
      <c r="J17" s="422">
        <f>J25+J32+J40+J47+J54+J63+J72+J82+J91+J99+J107+J116+J124+J132+J140+J147+J155+J161+J174+J180+J186+J191+J197+J203+J210+J218+J224+J231+J237+J167</f>
        <v>743343</v>
      </c>
      <c r="K17" s="422">
        <f>K25+K32+K40+K47+K54+K63+K72+K82+K91+K99+K107+K116+K124+K132+K140+K147+K155+K161+K174+K180+K186+K191+K197+K203+K210+K218+K224+K231+K237+K167</f>
        <v>178090</v>
      </c>
      <c r="L17" s="423">
        <f>L25+L32+L40+L47+L54+L63+L72+L82+L91+L99+L107+L116+L124+L132+L140+L147+L155+L161+L174+L180+L186+L191+L197+L203+L210+L218+L224+L231+L237+L167</f>
        <v>165471</v>
      </c>
      <c r="M17" s="415">
        <f t="shared" si="2"/>
        <v>22.260383160936474</v>
      </c>
      <c r="N17" s="415">
        <f t="shared" si="3"/>
        <v>92.91425683643102</v>
      </c>
      <c r="O17" s="414">
        <f>O25+O32+O40+O47+O54+O63+O72+O82+O91+O99+O107+O116+O124+O132+O140+O147+O155+O161+O174+O180+O186+O191+O197+O203+O210+O218+O224+O231+O237+O167</f>
        <v>58365</v>
      </c>
    </row>
    <row r="18" spans="1:15" s="424" customFormat="1" ht="12.75" customHeight="1">
      <c r="A18" s="421" t="s">
        <v>877</v>
      </c>
      <c r="B18" s="422">
        <f>B26+B33+B41+B48+B55+B64+B73+B83+B92+B100+B108+B117+B125+B133+B141+B148+B156+B168+B175+B181+B198+B211+B219+B225+B232</f>
        <v>79220109</v>
      </c>
      <c r="C18" s="422">
        <f>C26+C33+C41+C48+C55+C64+C73+C83+C92+C100+C108+C117+C125+C133+C141+C148+C156+C168+C175+C181+C198+C211+C219+C225+C232</f>
        <v>14448582</v>
      </c>
      <c r="D18" s="422">
        <f>D26+D33+D41+D48+D55+D64+D73+D83+D92+D100+D108+D117+D125+D133+D141+D148+D156+D168+D175+D181+D198+D211+D219+D225+D232</f>
        <v>8814400.44</v>
      </c>
      <c r="E18" s="409">
        <f t="shared" si="0"/>
        <v>11.126468457648802</v>
      </c>
      <c r="F18" s="409">
        <f t="shared" si="1"/>
        <v>61.00529754407733</v>
      </c>
      <c r="G18" s="422">
        <f>G26+G33+G41+G48+G55+G64+G73+G83+G92+G100+G108+G117+G125+G133+G141+G148+G156+G168+G175+G181+G198+G211+G219+G225+G232</f>
        <v>3892597.6499999994</v>
      </c>
      <c r="H18" s="399"/>
      <c r="I18" s="421" t="s">
        <v>877</v>
      </c>
      <c r="J18" s="422">
        <f>J26+J33+J41+J48+J55+J64+J73+J83+J92+J100+J108+J117+J125+J133+J141+J148+J156+J168+J175+J181+J198+J211+J219+J225+J232</f>
        <v>79220</v>
      </c>
      <c r="K18" s="422">
        <f>K26+K33+K41+K48+K55+K64+K73+K83+K92+K100+K108+K117+K125+K133+K141+K148+K156+K168+K175+K181+K198+K211+K219+K225+K232</f>
        <v>14448</v>
      </c>
      <c r="L18" s="423">
        <f>L26+L33+L41+L48+L55+L64+L73+L83+L92+L100+L108+L117+L125+L133+L141+L148+L156+L168+L175+L181+L198+L211+L219+L225+L232</f>
        <v>8814</v>
      </c>
      <c r="M18" s="415">
        <f t="shared" si="2"/>
        <v>11.125978288311032</v>
      </c>
      <c r="N18" s="415">
        <f t="shared" si="3"/>
        <v>61.00498338870432</v>
      </c>
      <c r="O18" s="414">
        <f>O26+O33+O41+O48+O55+O64+O73+O83+O92+O100+O108+O117+O125+O133+O141+O148+O156+O168+O175+O181+O198+O211+O219+O225+O232</f>
        <v>3893</v>
      </c>
    </row>
    <row r="19" spans="1:15" ht="12.75" customHeight="1">
      <c r="A19" s="425" t="s">
        <v>45</v>
      </c>
      <c r="B19" s="426">
        <f>B74</f>
        <v>48898920</v>
      </c>
      <c r="C19" s="426"/>
      <c r="D19" s="426">
        <f>D74</f>
        <v>12632419</v>
      </c>
      <c r="E19" s="426"/>
      <c r="F19" s="426">
        <f>F74</f>
        <v>0</v>
      </c>
      <c r="G19" s="426">
        <f>G74</f>
        <v>-958051</v>
      </c>
      <c r="I19" s="425" t="s">
        <v>45</v>
      </c>
      <c r="J19" s="414">
        <f>ROUND(B19/1000,0)</f>
        <v>48899</v>
      </c>
      <c r="K19" s="414"/>
      <c r="L19" s="414">
        <v>12632</v>
      </c>
      <c r="M19" s="415">
        <f t="shared" si="2"/>
        <v>25.832839117364365</v>
      </c>
      <c r="N19" s="415"/>
      <c r="O19" s="414">
        <v>-958</v>
      </c>
    </row>
    <row r="20" spans="1:15" ht="12.75" customHeight="1">
      <c r="A20" s="425" t="s">
        <v>46</v>
      </c>
      <c r="B20" s="426">
        <f>B10-B16-B19</f>
        <v>-76079377</v>
      </c>
      <c r="C20" s="426"/>
      <c r="D20" s="426">
        <f>D10-D16-D19</f>
        <v>-18585173.70999998</v>
      </c>
      <c r="E20" s="409"/>
      <c r="F20" s="409"/>
      <c r="G20" s="426">
        <f>G10-G16-G19</f>
        <v>-7053423.720000006</v>
      </c>
      <c r="I20" s="425" t="s">
        <v>46</v>
      </c>
      <c r="J20" s="414">
        <f>ROUND(B20/1000,0)</f>
        <v>-76079</v>
      </c>
      <c r="K20" s="414"/>
      <c r="L20" s="426">
        <f>L10-L16-L19</f>
        <v>-18584</v>
      </c>
      <c r="M20" s="415">
        <f t="shared" si="2"/>
        <v>24.427240105679623</v>
      </c>
      <c r="N20" s="415"/>
      <c r="O20" s="414">
        <f>O10-O16-O19</f>
        <v>-7053</v>
      </c>
    </row>
    <row r="21" spans="1:15" s="424" customFormat="1" ht="12.75" customHeight="1">
      <c r="A21" s="427" t="s">
        <v>878</v>
      </c>
      <c r="B21" s="428"/>
      <c r="C21" s="428"/>
      <c r="D21" s="428"/>
      <c r="E21" s="428"/>
      <c r="F21" s="428"/>
      <c r="G21" s="428"/>
      <c r="H21" s="399"/>
      <c r="I21" s="427" t="s">
        <v>878</v>
      </c>
      <c r="J21" s="428"/>
      <c r="K21" s="428"/>
      <c r="L21" s="428"/>
      <c r="M21" s="415"/>
      <c r="N21" s="415"/>
      <c r="O21" s="428"/>
    </row>
    <row r="22" spans="1:15" s="424" customFormat="1" ht="12.75" customHeight="1">
      <c r="A22" s="412" t="s">
        <v>284</v>
      </c>
      <c r="B22" s="426">
        <f aca="true" t="shared" si="5" ref="B22:G22">B23</f>
        <v>1179112</v>
      </c>
      <c r="C22" s="426">
        <f t="shared" si="5"/>
        <v>255070</v>
      </c>
      <c r="D22" s="426">
        <f t="shared" si="5"/>
        <v>255070</v>
      </c>
      <c r="E22" s="409">
        <f t="shared" si="0"/>
        <v>21.632380978227683</v>
      </c>
      <c r="F22" s="409">
        <f t="shared" si="1"/>
        <v>100</v>
      </c>
      <c r="G22" s="426">
        <f t="shared" si="5"/>
        <v>108802</v>
      </c>
      <c r="H22" s="399"/>
      <c r="I22" s="412" t="s">
        <v>284</v>
      </c>
      <c r="J22" s="414">
        <f>J23</f>
        <v>1179</v>
      </c>
      <c r="K22" s="414">
        <f>K23</f>
        <v>255</v>
      </c>
      <c r="L22" s="414">
        <f>L23</f>
        <v>255</v>
      </c>
      <c r="M22" s="415">
        <f t="shared" si="2"/>
        <v>21.62849872773537</v>
      </c>
      <c r="N22" s="415">
        <f t="shared" si="3"/>
        <v>100</v>
      </c>
      <c r="O22" s="414">
        <f>O23</f>
        <v>109</v>
      </c>
    </row>
    <row r="23" spans="1:15" s="424" customFormat="1" ht="12.75" customHeight="1">
      <c r="A23" s="412" t="s">
        <v>285</v>
      </c>
      <c r="B23" s="426">
        <v>1179112</v>
      </c>
      <c r="C23" s="426">
        <v>255070</v>
      </c>
      <c r="D23" s="426">
        <v>255070</v>
      </c>
      <c r="E23" s="409">
        <f t="shared" si="0"/>
        <v>21.632380978227683</v>
      </c>
      <c r="F23" s="409">
        <f t="shared" si="1"/>
        <v>100</v>
      </c>
      <c r="G23" s="426">
        <f>D23-'[11]februāris'!D23</f>
        <v>108802</v>
      </c>
      <c r="H23" s="399"/>
      <c r="I23" s="412" t="s">
        <v>285</v>
      </c>
      <c r="J23" s="414">
        <f>ROUND(B23/1000,0)</f>
        <v>1179</v>
      </c>
      <c r="K23" s="414">
        <f>ROUND(C23/1000,0)</f>
        <v>255</v>
      </c>
      <c r="L23" s="414">
        <f>ROUND(D23/1000,0)</f>
        <v>255</v>
      </c>
      <c r="M23" s="415">
        <f t="shared" si="2"/>
        <v>21.62849872773537</v>
      </c>
      <c r="N23" s="415">
        <f t="shared" si="3"/>
        <v>100</v>
      </c>
      <c r="O23" s="414">
        <f>ROUND(G23/1000,0)</f>
        <v>109</v>
      </c>
    </row>
    <row r="24" spans="1:15" s="424" customFormat="1" ht="12.75" customHeight="1">
      <c r="A24" s="418" t="s">
        <v>799</v>
      </c>
      <c r="B24" s="428">
        <f aca="true" t="shared" si="6" ref="B24:G24">SUM(B25:B26)</f>
        <v>1179112</v>
      </c>
      <c r="C24" s="428">
        <f t="shared" si="6"/>
        <v>255070</v>
      </c>
      <c r="D24" s="428">
        <f t="shared" si="6"/>
        <v>254901.18</v>
      </c>
      <c r="E24" s="408">
        <f t="shared" si="0"/>
        <v>21.618063424000432</v>
      </c>
      <c r="F24" s="408">
        <f t="shared" si="1"/>
        <v>99.93381424706944</v>
      </c>
      <c r="G24" s="428">
        <f t="shared" si="6"/>
        <v>108885.41</v>
      </c>
      <c r="H24" s="399"/>
      <c r="I24" s="418" t="s">
        <v>799</v>
      </c>
      <c r="J24" s="406">
        <f>J25+J26</f>
        <v>1179</v>
      </c>
      <c r="K24" s="406">
        <f>K25+K26</f>
        <v>255</v>
      </c>
      <c r="L24" s="406">
        <f>L25+L26</f>
        <v>255</v>
      </c>
      <c r="M24" s="411">
        <f t="shared" si="2"/>
        <v>21.62849872773537</v>
      </c>
      <c r="N24" s="411">
        <f t="shared" si="3"/>
        <v>100</v>
      </c>
      <c r="O24" s="406">
        <f>O25+O26</f>
        <v>109</v>
      </c>
    </row>
    <row r="25" spans="1:15" s="424" customFormat="1" ht="12.75" customHeight="1">
      <c r="A25" s="421" t="s">
        <v>876</v>
      </c>
      <c r="B25" s="426">
        <v>1123212</v>
      </c>
      <c r="C25" s="426">
        <v>233892</v>
      </c>
      <c r="D25" s="426">
        <v>233892</v>
      </c>
      <c r="E25" s="409">
        <f t="shared" si="0"/>
        <v>20.82349547547569</v>
      </c>
      <c r="F25" s="409">
        <f t="shared" si="1"/>
        <v>100</v>
      </c>
      <c r="G25" s="426">
        <v>89332.82</v>
      </c>
      <c r="H25" s="399"/>
      <c r="I25" s="421" t="s">
        <v>876</v>
      </c>
      <c r="J25" s="414">
        <f aca="true" t="shared" si="7" ref="J25:L26">ROUND(B25/1000,0)</f>
        <v>1123</v>
      </c>
      <c r="K25" s="414">
        <f t="shared" si="7"/>
        <v>234</v>
      </c>
      <c r="L25" s="414">
        <f t="shared" si="7"/>
        <v>234</v>
      </c>
      <c r="M25" s="415">
        <f t="shared" si="2"/>
        <v>20.837043633125557</v>
      </c>
      <c r="N25" s="415">
        <f t="shared" si="3"/>
        <v>100</v>
      </c>
      <c r="O25" s="414">
        <f>ROUND(G25/1000,0)</f>
        <v>89</v>
      </c>
    </row>
    <row r="26" spans="1:15" s="424" customFormat="1" ht="12.75" customHeight="1">
      <c r="A26" s="421" t="s">
        <v>877</v>
      </c>
      <c r="B26" s="426">
        <v>55900</v>
      </c>
      <c r="C26" s="426">
        <v>21178</v>
      </c>
      <c r="D26" s="426">
        <v>21009.18</v>
      </c>
      <c r="E26" s="409">
        <f t="shared" si="0"/>
        <v>37.58350626118068</v>
      </c>
      <c r="F26" s="409">
        <f t="shared" si="1"/>
        <v>99.20285201624327</v>
      </c>
      <c r="G26" s="426">
        <v>19552.59</v>
      </c>
      <c r="H26" s="399"/>
      <c r="I26" s="421" t="s">
        <v>877</v>
      </c>
      <c r="J26" s="414">
        <f t="shared" si="7"/>
        <v>56</v>
      </c>
      <c r="K26" s="414">
        <f t="shared" si="7"/>
        <v>21</v>
      </c>
      <c r="L26" s="414">
        <f t="shared" si="7"/>
        <v>21</v>
      </c>
      <c r="M26" s="415">
        <f t="shared" si="2"/>
        <v>37.5</v>
      </c>
      <c r="N26" s="415">
        <f t="shared" si="3"/>
        <v>100</v>
      </c>
      <c r="O26" s="414">
        <f>ROUND(G26/1000,0)</f>
        <v>20</v>
      </c>
    </row>
    <row r="27" spans="1:15" s="424" customFormat="1" ht="12.75" customHeight="1">
      <c r="A27" s="418" t="s">
        <v>762</v>
      </c>
      <c r="B27" s="428"/>
      <c r="C27" s="428"/>
      <c r="D27" s="428"/>
      <c r="E27" s="428"/>
      <c r="F27" s="428"/>
      <c r="G27" s="426"/>
      <c r="H27" s="399"/>
      <c r="I27" s="418" t="s">
        <v>762</v>
      </c>
      <c r="J27" s="428"/>
      <c r="K27" s="428"/>
      <c r="L27" s="428"/>
      <c r="M27" s="415"/>
      <c r="N27" s="415"/>
      <c r="O27" s="428"/>
    </row>
    <row r="28" spans="1:15" s="424" customFormat="1" ht="12.75" customHeight="1">
      <c r="A28" s="412" t="s">
        <v>284</v>
      </c>
      <c r="B28" s="426">
        <f>SUM(B29:B30)</f>
        <v>7212591</v>
      </c>
      <c r="C28" s="426">
        <f>SUM(C29:C30)</f>
        <v>1599327</v>
      </c>
      <c r="D28" s="426">
        <v>93268.47</v>
      </c>
      <c r="E28" s="409">
        <f t="shared" si="0"/>
        <v>1.2931340484993534</v>
      </c>
      <c r="F28" s="409">
        <f t="shared" si="1"/>
        <v>5.831732347418633</v>
      </c>
      <c r="G28" s="426">
        <v>28556.59</v>
      </c>
      <c r="H28" s="399"/>
      <c r="I28" s="412" t="s">
        <v>284</v>
      </c>
      <c r="J28" s="414">
        <f>J29+J30</f>
        <v>7213</v>
      </c>
      <c r="K28" s="414">
        <f>K29+K30</f>
        <v>1599</v>
      </c>
      <c r="L28" s="414">
        <f>L29+L30</f>
        <v>1612</v>
      </c>
      <c r="M28" s="415">
        <f t="shared" si="2"/>
        <v>22.34853736309441</v>
      </c>
      <c r="N28" s="415">
        <f t="shared" si="3"/>
        <v>100.8130081300813</v>
      </c>
      <c r="O28" s="414">
        <f>O29+O30</f>
        <v>560</v>
      </c>
    </row>
    <row r="29" spans="1:15" s="424" customFormat="1" ht="12.75" customHeight="1">
      <c r="A29" s="412" t="s">
        <v>285</v>
      </c>
      <c r="B29" s="426">
        <v>6972591</v>
      </c>
      <c r="C29" s="426">
        <v>1519328</v>
      </c>
      <c r="D29" s="426">
        <v>1519328</v>
      </c>
      <c r="E29" s="409">
        <f t="shared" si="0"/>
        <v>21.790006039361838</v>
      </c>
      <c r="F29" s="409">
        <f t="shared" si="1"/>
        <v>100</v>
      </c>
      <c r="G29" s="426">
        <f>D29-'[11]februāris'!D29</f>
        <v>530614</v>
      </c>
      <c r="H29" s="399"/>
      <c r="I29" s="412" t="s">
        <v>285</v>
      </c>
      <c r="J29" s="414">
        <f aca="true" t="shared" si="8" ref="J29:L30">ROUND(B29/1000,0)</f>
        <v>6973</v>
      </c>
      <c r="K29" s="414">
        <f t="shared" si="8"/>
        <v>1519</v>
      </c>
      <c r="L29" s="414">
        <f t="shared" si="8"/>
        <v>1519</v>
      </c>
      <c r="M29" s="415">
        <f t="shared" si="2"/>
        <v>21.784024092929872</v>
      </c>
      <c r="N29" s="415">
        <f t="shared" si="3"/>
        <v>100</v>
      </c>
      <c r="O29" s="414">
        <f>ROUND(G29/1000,0)</f>
        <v>531</v>
      </c>
    </row>
    <row r="30" spans="1:15" s="424" customFormat="1" ht="12.75" customHeight="1">
      <c r="A30" s="412" t="s">
        <v>929</v>
      </c>
      <c r="B30" s="426">
        <v>240000</v>
      </c>
      <c r="C30" s="426">
        <v>79999</v>
      </c>
      <c r="D30" s="426">
        <v>93268.47</v>
      </c>
      <c r="E30" s="409">
        <f t="shared" si="0"/>
        <v>38.8618625</v>
      </c>
      <c r="F30" s="409">
        <f t="shared" si="1"/>
        <v>116.58704483806048</v>
      </c>
      <c r="G30" s="426">
        <v>28556.59</v>
      </c>
      <c r="H30" s="399"/>
      <c r="I30" s="412" t="s">
        <v>929</v>
      </c>
      <c r="J30" s="414">
        <f t="shared" si="8"/>
        <v>240</v>
      </c>
      <c r="K30" s="414">
        <f t="shared" si="8"/>
        <v>80</v>
      </c>
      <c r="L30" s="414">
        <f t="shared" si="8"/>
        <v>93</v>
      </c>
      <c r="M30" s="415">
        <f t="shared" si="2"/>
        <v>38.75</v>
      </c>
      <c r="N30" s="415">
        <f t="shared" si="3"/>
        <v>116.25000000000001</v>
      </c>
      <c r="O30" s="414">
        <f>ROUND(G30/1000,0)</f>
        <v>29</v>
      </c>
    </row>
    <row r="31" spans="1:15" s="424" customFormat="1" ht="12.75" customHeight="1">
      <c r="A31" s="418" t="s">
        <v>881</v>
      </c>
      <c r="B31" s="428">
        <f aca="true" t="shared" si="9" ref="B31:G31">SUM(B32:B33)</f>
        <v>7212591</v>
      </c>
      <c r="C31" s="428">
        <f t="shared" si="9"/>
        <v>1599327</v>
      </c>
      <c r="D31" s="428">
        <f t="shared" si="9"/>
        <v>1494290.64</v>
      </c>
      <c r="E31" s="408">
        <f t="shared" si="0"/>
        <v>20.71780640271991</v>
      </c>
      <c r="F31" s="408">
        <f t="shared" si="1"/>
        <v>93.4324650306035</v>
      </c>
      <c r="G31" s="428">
        <f t="shared" si="9"/>
        <v>503644.57</v>
      </c>
      <c r="H31" s="399"/>
      <c r="I31" s="418" t="s">
        <v>881</v>
      </c>
      <c r="J31" s="406">
        <f>J32+J33</f>
        <v>7213</v>
      </c>
      <c r="K31" s="406">
        <f>K32+K33</f>
        <v>1599</v>
      </c>
      <c r="L31" s="406">
        <f>L32+L33</f>
        <v>1494</v>
      </c>
      <c r="M31" s="411">
        <f t="shared" si="2"/>
        <v>20.712602245944822</v>
      </c>
      <c r="N31" s="411">
        <f t="shared" si="3"/>
        <v>93.43339587242026</v>
      </c>
      <c r="O31" s="406">
        <f>O32+O33</f>
        <v>503</v>
      </c>
    </row>
    <row r="32" spans="1:15" s="424" customFormat="1" ht="12.75" customHeight="1">
      <c r="A32" s="421" t="s">
        <v>876</v>
      </c>
      <c r="B32" s="426">
        <v>5998635</v>
      </c>
      <c r="C32" s="426">
        <v>1310151</v>
      </c>
      <c r="D32" s="426">
        <v>1253224.69</v>
      </c>
      <c r="E32" s="409">
        <f t="shared" si="0"/>
        <v>20.891831058232412</v>
      </c>
      <c r="F32" s="409">
        <f t="shared" si="1"/>
        <v>95.65498099074075</v>
      </c>
      <c r="G32" s="426">
        <v>440501.19</v>
      </c>
      <c r="H32" s="399"/>
      <c r="I32" s="421" t="s">
        <v>876</v>
      </c>
      <c r="J32" s="414">
        <f aca="true" t="shared" si="10" ref="J32:L33">ROUND(B32/1000,0)</f>
        <v>5999</v>
      </c>
      <c r="K32" s="414">
        <f t="shared" si="10"/>
        <v>1310</v>
      </c>
      <c r="L32" s="414">
        <f t="shared" si="10"/>
        <v>1253</v>
      </c>
      <c r="M32" s="415">
        <f t="shared" si="2"/>
        <v>20.88681446907818</v>
      </c>
      <c r="N32" s="415">
        <f t="shared" si="3"/>
        <v>95.64885496183206</v>
      </c>
      <c r="O32" s="414">
        <f>ROUND(G32/1000,0)-1</f>
        <v>440</v>
      </c>
    </row>
    <row r="33" spans="1:15" s="424" customFormat="1" ht="12.75" customHeight="1">
      <c r="A33" s="421" t="s">
        <v>877</v>
      </c>
      <c r="B33" s="426">
        <v>1213956</v>
      </c>
      <c r="C33" s="426">
        <v>289176</v>
      </c>
      <c r="D33" s="426">
        <v>241065.95</v>
      </c>
      <c r="E33" s="409">
        <f t="shared" si="0"/>
        <v>19.857881999018087</v>
      </c>
      <c r="F33" s="409">
        <f t="shared" si="1"/>
        <v>83.36305571693363</v>
      </c>
      <c r="G33" s="426">
        <v>63143.38</v>
      </c>
      <c r="H33" s="399"/>
      <c r="I33" s="421" t="s">
        <v>877</v>
      </c>
      <c r="J33" s="414">
        <f t="shared" si="10"/>
        <v>1214</v>
      </c>
      <c r="K33" s="414">
        <f t="shared" si="10"/>
        <v>289</v>
      </c>
      <c r="L33" s="414">
        <f t="shared" si="10"/>
        <v>241</v>
      </c>
      <c r="M33" s="415">
        <f t="shared" si="2"/>
        <v>19.85172981878089</v>
      </c>
      <c r="N33" s="415">
        <f t="shared" si="3"/>
        <v>83.39100346020761</v>
      </c>
      <c r="O33" s="414">
        <f>ROUND(G33/1000,0)</f>
        <v>63</v>
      </c>
    </row>
    <row r="34" spans="1:15" s="424" customFormat="1" ht="12.75" customHeight="1">
      <c r="A34" s="418" t="s">
        <v>764</v>
      </c>
      <c r="B34" s="426"/>
      <c r="C34" s="426"/>
      <c r="D34" s="426"/>
      <c r="E34" s="426"/>
      <c r="F34" s="426"/>
      <c r="G34" s="426"/>
      <c r="H34" s="399"/>
      <c r="I34" s="418" t="s">
        <v>764</v>
      </c>
      <c r="J34" s="426"/>
      <c r="K34" s="426"/>
      <c r="L34" s="426"/>
      <c r="M34" s="415"/>
      <c r="N34" s="415"/>
      <c r="O34" s="426"/>
    </row>
    <row r="35" spans="1:15" s="424" customFormat="1" ht="12.75" customHeight="1">
      <c r="A35" s="412" t="s">
        <v>284</v>
      </c>
      <c r="B35" s="426">
        <f aca="true" t="shared" si="11" ref="B35:G35">SUM(B36:B38)</f>
        <v>3622702</v>
      </c>
      <c r="C35" s="426">
        <f t="shared" si="11"/>
        <v>1006814</v>
      </c>
      <c r="D35" s="426">
        <f t="shared" si="11"/>
        <v>737120.66</v>
      </c>
      <c r="E35" s="409">
        <f t="shared" si="0"/>
        <v>20.347261795201483</v>
      </c>
      <c r="F35" s="409">
        <f t="shared" si="1"/>
        <v>73.21319131438379</v>
      </c>
      <c r="G35" s="426">
        <f t="shared" si="11"/>
        <v>260289.2</v>
      </c>
      <c r="H35" s="399"/>
      <c r="I35" s="412" t="s">
        <v>284</v>
      </c>
      <c r="J35" s="414">
        <f>J36+J37+J38</f>
        <v>3623</v>
      </c>
      <c r="K35" s="414">
        <f>K36+K37+K38</f>
        <v>1007</v>
      </c>
      <c r="L35" s="414">
        <f>L36+L37+L38</f>
        <v>737</v>
      </c>
      <c r="M35" s="415">
        <f t="shared" si="2"/>
        <v>20.342257797405466</v>
      </c>
      <c r="N35" s="415">
        <f t="shared" si="3"/>
        <v>73.18768619662363</v>
      </c>
      <c r="O35" s="414">
        <f>O36+O37+O38</f>
        <v>260</v>
      </c>
    </row>
    <row r="36" spans="1:15" s="424" customFormat="1" ht="12.75" customHeight="1">
      <c r="A36" s="412" t="s">
        <v>285</v>
      </c>
      <c r="B36" s="426">
        <v>3048776</v>
      </c>
      <c r="C36" s="426">
        <v>664328</v>
      </c>
      <c r="D36" s="426">
        <v>664328</v>
      </c>
      <c r="E36" s="409">
        <f t="shared" si="0"/>
        <v>21.789990474865977</v>
      </c>
      <c r="F36" s="409">
        <f t="shared" si="1"/>
        <v>100</v>
      </c>
      <c r="G36" s="426">
        <f>D36-'[11]februāris'!D36</f>
        <v>232012</v>
      </c>
      <c r="H36" s="399"/>
      <c r="I36" s="412" t="s">
        <v>285</v>
      </c>
      <c r="J36" s="414">
        <f>ROUND(B36/1000,0)</f>
        <v>3049</v>
      </c>
      <c r="K36" s="414">
        <f>ROUND(C36/1000,0)</f>
        <v>664</v>
      </c>
      <c r="L36" s="414">
        <f>ROUND(D36/1000,0)</f>
        <v>664</v>
      </c>
      <c r="M36" s="415">
        <f t="shared" si="2"/>
        <v>21.777632010495243</v>
      </c>
      <c r="N36" s="415">
        <f t="shared" si="3"/>
        <v>100</v>
      </c>
      <c r="O36" s="414">
        <f>ROUND(G36/1000,0)</f>
        <v>232</v>
      </c>
    </row>
    <row r="37" spans="1:15" s="424" customFormat="1" ht="12.75" customHeight="1">
      <c r="A37" s="412" t="s">
        <v>929</v>
      </c>
      <c r="B37" s="426">
        <v>312000</v>
      </c>
      <c r="C37" s="426">
        <v>80560</v>
      </c>
      <c r="D37" s="426">
        <v>72792.66</v>
      </c>
      <c r="E37" s="409">
        <f t="shared" si="0"/>
        <v>23.33098076923077</v>
      </c>
      <c r="F37" s="409">
        <f t="shared" si="1"/>
        <v>90.35831678252235</v>
      </c>
      <c r="G37" s="426">
        <v>28277.2</v>
      </c>
      <c r="H37" s="399"/>
      <c r="I37" s="412" t="s">
        <v>929</v>
      </c>
      <c r="J37" s="414">
        <f>ROUND(B37/1000,0)</f>
        <v>312</v>
      </c>
      <c r="K37" s="414">
        <v>81</v>
      </c>
      <c r="L37" s="414">
        <f>ROUND(D37/1000,0)</f>
        <v>73</v>
      </c>
      <c r="M37" s="415">
        <f t="shared" si="2"/>
        <v>23.397435897435898</v>
      </c>
      <c r="N37" s="415">
        <f t="shared" si="3"/>
        <v>90.12345679012346</v>
      </c>
      <c r="O37" s="414">
        <f>ROUND(G37/1000,0)</f>
        <v>28</v>
      </c>
    </row>
    <row r="38" spans="1:15" s="424" customFormat="1" ht="12.75" customHeight="1">
      <c r="A38" s="412" t="s">
        <v>758</v>
      </c>
      <c r="B38" s="426">
        <v>261926</v>
      </c>
      <c r="C38" s="426">
        <v>261926</v>
      </c>
      <c r="D38" s="426"/>
      <c r="E38" s="409">
        <f t="shared" si="0"/>
        <v>0</v>
      </c>
      <c r="F38" s="409">
        <f t="shared" si="1"/>
        <v>0</v>
      </c>
      <c r="G38" s="426"/>
      <c r="H38" s="399"/>
      <c r="I38" s="412" t="s">
        <v>758</v>
      </c>
      <c r="J38" s="414">
        <f>ROUND(B38/1000,0)</f>
        <v>262</v>
      </c>
      <c r="K38" s="414">
        <f>ROUND(C38/1000,0)</f>
        <v>262</v>
      </c>
      <c r="L38" s="414">
        <f>ROUND(D38/1000,0)</f>
        <v>0</v>
      </c>
      <c r="M38" s="415">
        <f t="shared" si="2"/>
        <v>0</v>
      </c>
      <c r="N38" s="415">
        <f t="shared" si="3"/>
        <v>0</v>
      </c>
      <c r="O38" s="414">
        <f>ROUND(G38/1000,0)</f>
        <v>0</v>
      </c>
    </row>
    <row r="39" spans="1:15" s="424" customFormat="1" ht="12.75" customHeight="1">
      <c r="A39" s="418" t="s">
        <v>881</v>
      </c>
      <c r="B39" s="428">
        <f aca="true" t="shared" si="12" ref="B39:G39">SUM(B40:B41)</f>
        <v>3622702</v>
      </c>
      <c r="C39" s="428">
        <f t="shared" si="12"/>
        <v>1006814</v>
      </c>
      <c r="D39" s="428">
        <f t="shared" si="12"/>
        <v>711571.02</v>
      </c>
      <c r="E39" s="409">
        <f t="shared" si="0"/>
        <v>19.641997050820077</v>
      </c>
      <c r="F39" s="409">
        <f t="shared" si="1"/>
        <v>70.6755190134424</v>
      </c>
      <c r="G39" s="428">
        <f t="shared" si="12"/>
        <v>272653.97000000003</v>
      </c>
      <c r="H39" s="399"/>
      <c r="I39" s="418" t="s">
        <v>881</v>
      </c>
      <c r="J39" s="406">
        <f>J40+J41</f>
        <v>3622</v>
      </c>
      <c r="K39" s="406">
        <f>K40+K41</f>
        <v>1007</v>
      </c>
      <c r="L39" s="406">
        <f>L40+L41</f>
        <v>711</v>
      </c>
      <c r="M39" s="411">
        <f t="shared" si="2"/>
        <v>19.630038652678078</v>
      </c>
      <c r="N39" s="411">
        <f t="shared" si="3"/>
        <v>70.60575968222443</v>
      </c>
      <c r="O39" s="406">
        <f>O40+O41</f>
        <v>273</v>
      </c>
    </row>
    <row r="40" spans="1:15" s="424" customFormat="1" ht="12.75" customHeight="1">
      <c r="A40" s="421" t="s">
        <v>876</v>
      </c>
      <c r="B40" s="426">
        <v>3494402</v>
      </c>
      <c r="C40" s="426">
        <v>976814</v>
      </c>
      <c r="D40" s="426">
        <v>682467.24</v>
      </c>
      <c r="E40" s="409">
        <f t="shared" si="0"/>
        <v>19.530301321942925</v>
      </c>
      <c r="F40" s="409">
        <f t="shared" si="1"/>
        <v>69.86665219785957</v>
      </c>
      <c r="G40" s="426">
        <v>255469.39</v>
      </c>
      <c r="H40" s="399"/>
      <c r="I40" s="421" t="s">
        <v>876</v>
      </c>
      <c r="J40" s="414">
        <f aca="true" t="shared" si="13" ref="J40:L41">ROUND(B40/1000,0)</f>
        <v>3494</v>
      </c>
      <c r="K40" s="414">
        <f t="shared" si="13"/>
        <v>977</v>
      </c>
      <c r="L40" s="414">
        <f t="shared" si="13"/>
        <v>682</v>
      </c>
      <c r="M40" s="415">
        <f t="shared" si="2"/>
        <v>19.519175729822553</v>
      </c>
      <c r="N40" s="415">
        <f t="shared" si="3"/>
        <v>69.80552712384852</v>
      </c>
      <c r="O40" s="414">
        <f>ROUND(G40/1000,0)+1</f>
        <v>256</v>
      </c>
    </row>
    <row r="41" spans="1:15" s="424" customFormat="1" ht="12.75" customHeight="1">
      <c r="A41" s="421" t="s">
        <v>877</v>
      </c>
      <c r="B41" s="426">
        <v>128300</v>
      </c>
      <c r="C41" s="426">
        <v>30000</v>
      </c>
      <c r="D41" s="426">
        <v>29103.78</v>
      </c>
      <c r="E41" s="409">
        <f t="shared" si="0"/>
        <v>22.684162120031175</v>
      </c>
      <c r="F41" s="409">
        <f t="shared" si="1"/>
        <v>97.01259999999999</v>
      </c>
      <c r="G41" s="426">
        <v>17184.58</v>
      </c>
      <c r="H41" s="399"/>
      <c r="I41" s="421" t="s">
        <v>877</v>
      </c>
      <c r="J41" s="414">
        <f t="shared" si="13"/>
        <v>128</v>
      </c>
      <c r="K41" s="414">
        <f t="shared" si="13"/>
        <v>30</v>
      </c>
      <c r="L41" s="414">
        <f t="shared" si="13"/>
        <v>29</v>
      </c>
      <c r="M41" s="415">
        <f t="shared" si="2"/>
        <v>22.65625</v>
      </c>
      <c r="N41" s="415">
        <f t="shared" si="3"/>
        <v>96.66666666666667</v>
      </c>
      <c r="O41" s="414">
        <f>ROUND(G41/1000,0)</f>
        <v>17</v>
      </c>
    </row>
    <row r="42" spans="1:15" s="424" customFormat="1" ht="12.75" customHeight="1">
      <c r="A42" s="418" t="s">
        <v>880</v>
      </c>
      <c r="B42" s="426"/>
      <c r="C42" s="426"/>
      <c r="D42" s="426"/>
      <c r="E42" s="426"/>
      <c r="F42" s="426"/>
      <c r="G42" s="426"/>
      <c r="H42" s="399"/>
      <c r="I42" s="418" t="s">
        <v>880</v>
      </c>
      <c r="J42" s="426"/>
      <c r="K42" s="426"/>
      <c r="L42" s="426"/>
      <c r="M42" s="415"/>
      <c r="N42" s="415"/>
      <c r="O42" s="426"/>
    </row>
    <row r="43" spans="1:15" s="424" customFormat="1" ht="12.75" customHeight="1">
      <c r="A43" s="412" t="s">
        <v>284</v>
      </c>
      <c r="B43" s="426">
        <f aca="true" t="shared" si="14" ref="B43:G43">SUM(B44:B45)</f>
        <v>48424727</v>
      </c>
      <c r="C43" s="426">
        <f t="shared" si="14"/>
        <v>11842624</v>
      </c>
      <c r="D43" s="426">
        <f t="shared" si="14"/>
        <v>11757541.08</v>
      </c>
      <c r="E43" s="409">
        <f t="shared" si="0"/>
        <v>24.28003585853979</v>
      </c>
      <c r="F43" s="409">
        <f t="shared" si="1"/>
        <v>99.28155348003956</v>
      </c>
      <c r="G43" s="426">
        <f t="shared" si="14"/>
        <v>4006047.92</v>
      </c>
      <c r="H43" s="399"/>
      <c r="I43" s="412" t="s">
        <v>284</v>
      </c>
      <c r="J43" s="414">
        <f>J44+J45</f>
        <v>48425</v>
      </c>
      <c r="K43" s="414">
        <f>K44+K45</f>
        <v>11843</v>
      </c>
      <c r="L43" s="414">
        <f>L44+L45</f>
        <v>11758</v>
      </c>
      <c r="M43" s="415">
        <f t="shared" si="2"/>
        <v>24.280846670108417</v>
      </c>
      <c r="N43" s="415">
        <f t="shared" si="3"/>
        <v>99.28227645022376</v>
      </c>
      <c r="O43" s="414">
        <f>O44+O45</f>
        <v>4006</v>
      </c>
    </row>
    <row r="44" spans="1:15" s="424" customFormat="1" ht="12.75" customHeight="1">
      <c r="A44" s="412" t="s">
        <v>285</v>
      </c>
      <c r="B44" s="426">
        <v>46214691</v>
      </c>
      <c r="C44" s="426">
        <v>11345707</v>
      </c>
      <c r="D44" s="426">
        <v>11345707</v>
      </c>
      <c r="E44" s="409">
        <f t="shared" si="0"/>
        <v>24.550000777891167</v>
      </c>
      <c r="F44" s="409">
        <f t="shared" si="1"/>
        <v>100</v>
      </c>
      <c r="G44" s="426">
        <f>D44-'[11]februāris'!D44</f>
        <v>3868170</v>
      </c>
      <c r="H44" s="399"/>
      <c r="I44" s="412" t="s">
        <v>285</v>
      </c>
      <c r="J44" s="414">
        <f>ROUND(B44/1000,0)</f>
        <v>46215</v>
      </c>
      <c r="K44" s="414">
        <v>11346</v>
      </c>
      <c r="L44" s="414">
        <v>11346</v>
      </c>
      <c r="M44" s="415">
        <f t="shared" si="2"/>
        <v>24.550470626419994</v>
      </c>
      <c r="N44" s="415">
        <f t="shared" si="3"/>
        <v>100</v>
      </c>
      <c r="O44" s="414">
        <f>ROUND(G44/1000,0)</f>
        <v>3868</v>
      </c>
    </row>
    <row r="45" spans="1:15" s="424" customFormat="1" ht="12.75" customHeight="1">
      <c r="A45" s="412" t="s">
        <v>929</v>
      </c>
      <c r="B45" s="426">
        <v>2210036</v>
      </c>
      <c r="C45" s="426">
        <v>496917</v>
      </c>
      <c r="D45" s="426">
        <v>411834.08</v>
      </c>
      <c r="E45" s="409">
        <f t="shared" si="0"/>
        <v>18.634722692300034</v>
      </c>
      <c r="F45" s="409">
        <f t="shared" si="1"/>
        <v>82.87784076616417</v>
      </c>
      <c r="G45" s="426">
        <v>137877.92</v>
      </c>
      <c r="H45" s="399"/>
      <c r="I45" s="412" t="s">
        <v>929</v>
      </c>
      <c r="J45" s="414">
        <f>ROUND(B45/1000,0)</f>
        <v>2210</v>
      </c>
      <c r="K45" s="414">
        <f>ROUND(C45/1000,0)</f>
        <v>497</v>
      </c>
      <c r="L45" s="414">
        <f>ROUND(D45/1000,0)</f>
        <v>412</v>
      </c>
      <c r="M45" s="415">
        <f t="shared" si="2"/>
        <v>18.642533936651585</v>
      </c>
      <c r="N45" s="415">
        <f t="shared" si="3"/>
        <v>82.897384305835</v>
      </c>
      <c r="O45" s="414">
        <f>ROUND(G45/1000,0)</f>
        <v>138</v>
      </c>
    </row>
    <row r="46" spans="1:15" s="424" customFormat="1" ht="12.75" customHeight="1">
      <c r="A46" s="418" t="s">
        <v>881</v>
      </c>
      <c r="B46" s="428">
        <f aca="true" t="shared" si="15" ref="B46:G46">SUM(B47:B48)</f>
        <v>48424727</v>
      </c>
      <c r="C46" s="428">
        <f t="shared" si="15"/>
        <v>11842624</v>
      </c>
      <c r="D46" s="428">
        <f t="shared" si="15"/>
        <v>10993442.93</v>
      </c>
      <c r="E46" s="409">
        <f t="shared" si="0"/>
        <v>22.702126808066463</v>
      </c>
      <c r="F46" s="409">
        <f t="shared" si="1"/>
        <v>92.8294517329943</v>
      </c>
      <c r="G46" s="428">
        <f t="shared" si="15"/>
        <v>4355727.1</v>
      </c>
      <c r="H46" s="399"/>
      <c r="I46" s="418" t="s">
        <v>881</v>
      </c>
      <c r="J46" s="406">
        <f>J47+J48</f>
        <v>48425</v>
      </c>
      <c r="K46" s="406">
        <f>K47+K48</f>
        <v>11843</v>
      </c>
      <c r="L46" s="406">
        <f>L47+L48</f>
        <v>10993</v>
      </c>
      <c r="M46" s="411">
        <f t="shared" si="2"/>
        <v>22.701084150748578</v>
      </c>
      <c r="N46" s="411">
        <f t="shared" si="3"/>
        <v>92.8227645022376</v>
      </c>
      <c r="O46" s="406">
        <f>O47+O48</f>
        <v>4356</v>
      </c>
    </row>
    <row r="47" spans="1:15" s="424" customFormat="1" ht="12.75" customHeight="1">
      <c r="A47" s="429" t="s">
        <v>876</v>
      </c>
      <c r="B47" s="426">
        <v>43901860</v>
      </c>
      <c r="C47" s="426">
        <v>10906956</v>
      </c>
      <c r="D47" s="426">
        <v>10251860.03</v>
      </c>
      <c r="E47" s="409">
        <f t="shared" si="0"/>
        <v>23.351766941081767</v>
      </c>
      <c r="F47" s="409">
        <f t="shared" si="1"/>
        <v>93.99377819072525</v>
      </c>
      <c r="G47" s="426">
        <v>4023282.61</v>
      </c>
      <c r="H47" s="399"/>
      <c r="I47" s="429" t="s">
        <v>876</v>
      </c>
      <c r="J47" s="414">
        <f aca="true" t="shared" si="16" ref="J47:L48">ROUND(B47/1000,0)</f>
        <v>43902</v>
      </c>
      <c r="K47" s="414">
        <f t="shared" si="16"/>
        <v>10907</v>
      </c>
      <c r="L47" s="414">
        <f t="shared" si="16"/>
        <v>10252</v>
      </c>
      <c r="M47" s="415">
        <f t="shared" si="2"/>
        <v>23.35201129789076</v>
      </c>
      <c r="N47" s="415">
        <f t="shared" si="3"/>
        <v>93.99468231411021</v>
      </c>
      <c r="O47" s="414">
        <f>ROUND(G47/1000,0)</f>
        <v>4023</v>
      </c>
    </row>
    <row r="48" spans="1:15" s="424" customFormat="1" ht="12.75" customHeight="1">
      <c r="A48" s="429" t="s">
        <v>877</v>
      </c>
      <c r="B48" s="426">
        <v>4522867</v>
      </c>
      <c r="C48" s="426">
        <v>935668</v>
      </c>
      <c r="D48" s="426">
        <v>741582.9</v>
      </c>
      <c r="E48" s="409">
        <f t="shared" si="0"/>
        <v>16.396301284119122</v>
      </c>
      <c r="F48" s="409">
        <f t="shared" si="1"/>
        <v>79.25705485278966</v>
      </c>
      <c r="G48" s="426">
        <v>332444.49</v>
      </c>
      <c r="H48" s="399"/>
      <c r="I48" s="429" t="s">
        <v>877</v>
      </c>
      <c r="J48" s="414">
        <f t="shared" si="16"/>
        <v>4523</v>
      </c>
      <c r="K48" s="414">
        <f t="shared" si="16"/>
        <v>936</v>
      </c>
      <c r="L48" s="414">
        <f>ROUND(D48/1000,0)-1</f>
        <v>741</v>
      </c>
      <c r="M48" s="415">
        <f t="shared" si="2"/>
        <v>16.382931682511607</v>
      </c>
      <c r="N48" s="415">
        <f t="shared" si="3"/>
        <v>79.16666666666666</v>
      </c>
      <c r="O48" s="414">
        <v>333</v>
      </c>
    </row>
    <row r="49" spans="1:15" s="424" customFormat="1" ht="12.75" customHeight="1">
      <c r="A49" s="418" t="s">
        <v>766</v>
      </c>
      <c r="B49" s="426"/>
      <c r="C49" s="426"/>
      <c r="D49" s="426"/>
      <c r="E49" s="409"/>
      <c r="F49" s="426"/>
      <c r="G49" s="426"/>
      <c r="H49" s="399"/>
      <c r="I49" s="418" t="s">
        <v>766</v>
      </c>
      <c r="J49" s="426"/>
      <c r="K49" s="426"/>
      <c r="L49" s="426"/>
      <c r="M49" s="415"/>
      <c r="N49" s="415"/>
      <c r="O49" s="426"/>
    </row>
    <row r="50" spans="1:15" s="424" customFormat="1" ht="12.75" customHeight="1">
      <c r="A50" s="412" t="s">
        <v>284</v>
      </c>
      <c r="B50" s="426">
        <f aca="true" t="shared" si="17" ref="B50:G50">SUM(B51:B52)</f>
        <v>11043968</v>
      </c>
      <c r="C50" s="426">
        <f t="shared" si="17"/>
        <v>2871599</v>
      </c>
      <c r="D50" s="426">
        <f t="shared" si="17"/>
        <v>2877986.51</v>
      </c>
      <c r="E50" s="409">
        <f t="shared" si="0"/>
        <v>26.05935212778595</v>
      </c>
      <c r="F50" s="409">
        <f t="shared" si="1"/>
        <v>100.22243739463622</v>
      </c>
      <c r="G50" s="426">
        <f t="shared" si="17"/>
        <v>935686.5</v>
      </c>
      <c r="H50" s="399"/>
      <c r="I50" s="412" t="s">
        <v>284</v>
      </c>
      <c r="J50" s="414">
        <f>J51+J52</f>
        <v>11044</v>
      </c>
      <c r="K50" s="414">
        <f>K51+K52</f>
        <v>2872</v>
      </c>
      <c r="L50" s="414">
        <f>L51+L52</f>
        <v>2878</v>
      </c>
      <c r="M50" s="415">
        <f t="shared" si="2"/>
        <v>26.059398768562115</v>
      </c>
      <c r="N50" s="415">
        <f t="shared" si="3"/>
        <v>100.20891364902506</v>
      </c>
      <c r="O50" s="414">
        <f>O51+O52</f>
        <v>936</v>
      </c>
    </row>
    <row r="51" spans="1:15" s="424" customFormat="1" ht="12.75" customHeight="1">
      <c r="A51" s="412" t="s">
        <v>285</v>
      </c>
      <c r="B51" s="426">
        <v>10847968</v>
      </c>
      <c r="C51" s="426">
        <v>2842099</v>
      </c>
      <c r="D51" s="426">
        <v>2842099</v>
      </c>
      <c r="E51" s="409">
        <f t="shared" si="0"/>
        <v>26.199367476010256</v>
      </c>
      <c r="F51" s="409">
        <f t="shared" si="1"/>
        <v>100</v>
      </c>
      <c r="G51" s="426">
        <f>D51-'[11]februāris'!D51</f>
        <v>935566</v>
      </c>
      <c r="H51" s="399"/>
      <c r="I51" s="412" t="s">
        <v>285</v>
      </c>
      <c r="J51" s="414">
        <f>ROUND(B51/1000,0)</f>
        <v>10848</v>
      </c>
      <c r="K51" s="414">
        <v>2842</v>
      </c>
      <c r="L51" s="414">
        <v>2842</v>
      </c>
      <c r="M51" s="415">
        <f t="shared" si="2"/>
        <v>26.198377581120948</v>
      </c>
      <c r="N51" s="415">
        <f t="shared" si="3"/>
        <v>100</v>
      </c>
      <c r="O51" s="414">
        <f>ROUND(G51/1000,0)</f>
        <v>936</v>
      </c>
    </row>
    <row r="52" spans="1:15" ht="12.75" customHeight="1">
      <c r="A52" s="412" t="s">
        <v>929</v>
      </c>
      <c r="B52" s="426">
        <v>196000</v>
      </c>
      <c r="C52" s="426">
        <v>29500</v>
      </c>
      <c r="D52" s="426">
        <v>35887.51</v>
      </c>
      <c r="E52" s="409">
        <f t="shared" si="0"/>
        <v>18.309954081632654</v>
      </c>
      <c r="F52" s="409">
        <f t="shared" si="1"/>
        <v>121.65257627118645</v>
      </c>
      <c r="G52" s="426">
        <v>120.5</v>
      </c>
      <c r="I52" s="412" t="s">
        <v>929</v>
      </c>
      <c r="J52" s="414">
        <f>ROUND(B52/1000,0)</f>
        <v>196</v>
      </c>
      <c r="K52" s="414">
        <f>ROUND(C52/1000,0)</f>
        <v>30</v>
      </c>
      <c r="L52" s="414">
        <f>ROUND(D52/1000,0)</f>
        <v>36</v>
      </c>
      <c r="M52" s="415">
        <f t="shared" si="2"/>
        <v>18.367346938775512</v>
      </c>
      <c r="N52" s="415">
        <f t="shared" si="3"/>
        <v>120</v>
      </c>
      <c r="O52" s="414">
        <f>ROUND(G52/1000,0)</f>
        <v>0</v>
      </c>
    </row>
    <row r="53" spans="1:15" s="424" customFormat="1" ht="12.75" customHeight="1">
      <c r="A53" s="418" t="s">
        <v>881</v>
      </c>
      <c r="B53" s="428">
        <f aca="true" t="shared" si="18" ref="B53:G53">SUM(B54:B55)</f>
        <v>11043968</v>
      </c>
      <c r="C53" s="428">
        <f t="shared" si="18"/>
        <v>2871599</v>
      </c>
      <c r="D53" s="428">
        <f t="shared" si="18"/>
        <v>2755138.7</v>
      </c>
      <c r="E53" s="409">
        <f t="shared" si="0"/>
        <v>24.94700002752634</v>
      </c>
      <c r="F53" s="409">
        <f t="shared" si="1"/>
        <v>95.94440936913546</v>
      </c>
      <c r="G53" s="428">
        <f t="shared" si="18"/>
        <v>970128.58</v>
      </c>
      <c r="H53" s="399"/>
      <c r="I53" s="418" t="s">
        <v>881</v>
      </c>
      <c r="J53" s="406">
        <f>J54+J55</f>
        <v>11044</v>
      </c>
      <c r="K53" s="406">
        <f>K54+K55</f>
        <v>2872</v>
      </c>
      <c r="L53" s="406">
        <f>L54+L55</f>
        <v>2755</v>
      </c>
      <c r="M53" s="411">
        <f t="shared" si="2"/>
        <v>24.945671858022457</v>
      </c>
      <c r="N53" s="411">
        <f t="shared" si="3"/>
        <v>95.92618384401113</v>
      </c>
      <c r="O53" s="406">
        <f>O54+O55</f>
        <v>971</v>
      </c>
    </row>
    <row r="54" spans="1:15" s="424" customFormat="1" ht="12.75" customHeight="1">
      <c r="A54" s="429" t="s">
        <v>876</v>
      </c>
      <c r="B54" s="426">
        <v>10475758</v>
      </c>
      <c r="C54" s="426">
        <v>2726087</v>
      </c>
      <c r="D54" s="426">
        <v>2668285.7</v>
      </c>
      <c r="E54" s="409">
        <f t="shared" si="0"/>
        <v>25.4710513549473</v>
      </c>
      <c r="F54" s="409">
        <f t="shared" si="1"/>
        <v>97.87969716300324</v>
      </c>
      <c r="G54" s="426">
        <v>926356.61</v>
      </c>
      <c r="H54" s="399"/>
      <c r="I54" s="429" t="s">
        <v>876</v>
      </c>
      <c r="J54" s="414">
        <f aca="true" t="shared" si="19" ref="J54:L55">ROUND(B54/1000,0)</f>
        <v>10476</v>
      </c>
      <c r="K54" s="414">
        <f t="shared" si="19"/>
        <v>2726</v>
      </c>
      <c r="L54" s="414">
        <f t="shared" si="19"/>
        <v>2668</v>
      </c>
      <c r="M54" s="415">
        <f t="shared" si="2"/>
        <v>25.467735777014127</v>
      </c>
      <c r="N54" s="415">
        <f t="shared" si="3"/>
        <v>97.87234042553192</v>
      </c>
      <c r="O54" s="414">
        <f>ROUND(G54/1000,0)+1</f>
        <v>927</v>
      </c>
    </row>
    <row r="55" spans="1:15" s="424" customFormat="1" ht="12.75" customHeight="1">
      <c r="A55" s="429" t="s">
        <v>877</v>
      </c>
      <c r="B55" s="426">
        <v>568210</v>
      </c>
      <c r="C55" s="426">
        <v>145512</v>
      </c>
      <c r="D55" s="426">
        <v>86853</v>
      </c>
      <c r="E55" s="409">
        <f t="shared" si="0"/>
        <v>15.285369845655655</v>
      </c>
      <c r="F55" s="409">
        <f t="shared" si="1"/>
        <v>59.68786079498598</v>
      </c>
      <c r="G55" s="426">
        <v>43771.97</v>
      </c>
      <c r="H55" s="399"/>
      <c r="I55" s="429" t="s">
        <v>877</v>
      </c>
      <c r="J55" s="414">
        <f t="shared" si="19"/>
        <v>568</v>
      </c>
      <c r="K55" s="414">
        <f>ROUND(C55/1000,0)</f>
        <v>146</v>
      </c>
      <c r="L55" s="414">
        <f t="shared" si="19"/>
        <v>87</v>
      </c>
      <c r="M55" s="415">
        <f t="shared" si="2"/>
        <v>15.316901408450704</v>
      </c>
      <c r="N55" s="415">
        <f t="shared" si="3"/>
        <v>59.589041095890416</v>
      </c>
      <c r="O55" s="414">
        <f>ROUND(G55/1000,0)</f>
        <v>44</v>
      </c>
    </row>
    <row r="56" spans="1:15" s="424" customFormat="1" ht="12.75" customHeight="1">
      <c r="A56" s="418" t="s">
        <v>767</v>
      </c>
      <c r="B56" s="426"/>
      <c r="C56" s="426"/>
      <c r="D56" s="426"/>
      <c r="E56" s="426"/>
      <c r="F56" s="426"/>
      <c r="G56" s="426"/>
      <c r="H56" s="399"/>
      <c r="I56" s="418" t="s">
        <v>767</v>
      </c>
      <c r="J56" s="426"/>
      <c r="K56" s="426"/>
      <c r="L56" s="426"/>
      <c r="M56" s="415"/>
      <c r="N56" s="415"/>
      <c r="O56" s="426"/>
    </row>
    <row r="57" spans="1:15" s="424" customFormat="1" ht="12.75" customHeight="1">
      <c r="A57" s="412" t="s">
        <v>284</v>
      </c>
      <c r="B57" s="426">
        <f aca="true" t="shared" si="20" ref="B57:G57">SUM(B58:B61)</f>
        <v>11189389</v>
      </c>
      <c r="C57" s="426">
        <f t="shared" si="20"/>
        <v>2077420</v>
      </c>
      <c r="D57" s="426">
        <f t="shared" si="20"/>
        <v>1536586.2</v>
      </c>
      <c r="E57" s="409">
        <f t="shared" si="0"/>
        <v>13.732529988902877</v>
      </c>
      <c r="F57" s="409">
        <f t="shared" si="1"/>
        <v>73.96608292978792</v>
      </c>
      <c r="G57" s="426">
        <f t="shared" si="20"/>
        <v>688781.21</v>
      </c>
      <c r="H57" s="399"/>
      <c r="I57" s="412" t="s">
        <v>284</v>
      </c>
      <c r="J57" s="414">
        <f>J58+J59+J60+J61</f>
        <v>11189</v>
      </c>
      <c r="K57" s="414">
        <f>K58+K59+K60+K61</f>
        <v>2077</v>
      </c>
      <c r="L57" s="414">
        <f>L58+L59+L60+L61</f>
        <v>1399</v>
      </c>
      <c r="M57" s="415">
        <f t="shared" si="2"/>
        <v>12.503351505943336</v>
      </c>
      <c r="N57" s="415">
        <f t="shared" si="3"/>
        <v>67.3567645642754</v>
      </c>
      <c r="O57" s="414">
        <f>O58+O59+O60+O61</f>
        <v>552</v>
      </c>
    </row>
    <row r="58" spans="1:15" s="424" customFormat="1" ht="12.75" customHeight="1">
      <c r="A58" s="412" t="s">
        <v>285</v>
      </c>
      <c r="B58" s="426">
        <v>4712447</v>
      </c>
      <c r="C58" s="426">
        <v>1087490</v>
      </c>
      <c r="D58" s="426">
        <v>1087490</v>
      </c>
      <c r="E58" s="409">
        <f t="shared" si="0"/>
        <v>23.076970414733577</v>
      </c>
      <c r="F58" s="409">
        <f t="shared" si="1"/>
        <v>100</v>
      </c>
      <c r="G58" s="426">
        <f>D58-'[11]februāris'!D58</f>
        <v>375954</v>
      </c>
      <c r="H58" s="399"/>
      <c r="I58" s="412" t="s">
        <v>285</v>
      </c>
      <c r="J58" s="414">
        <f>ROUND(B58/1000,0)</f>
        <v>4712</v>
      </c>
      <c r="K58" s="414">
        <f>ROUND(C58/1000,0)</f>
        <v>1087</v>
      </c>
      <c r="L58" s="414">
        <f>ROUND(D58/1000,0)</f>
        <v>1087</v>
      </c>
      <c r="M58" s="415">
        <f t="shared" si="2"/>
        <v>23.068760611205434</v>
      </c>
      <c r="N58" s="415">
        <f t="shared" si="3"/>
        <v>100</v>
      </c>
      <c r="O58" s="414">
        <f>ROUND(G58/1000,0)</f>
        <v>376</v>
      </c>
    </row>
    <row r="59" spans="1:15" s="424" customFormat="1" ht="12.75" customHeight="1">
      <c r="A59" s="412" t="s">
        <v>286</v>
      </c>
      <c r="B59" s="426">
        <v>12122</v>
      </c>
      <c r="C59" s="426">
        <v>10090</v>
      </c>
      <c r="D59" s="426">
        <v>10640.03</v>
      </c>
      <c r="E59" s="409">
        <f t="shared" si="0"/>
        <v>87.77454215475996</v>
      </c>
      <c r="F59" s="409">
        <f t="shared" si="1"/>
        <v>105.45123885034688</v>
      </c>
      <c r="G59" s="426">
        <v>100.63</v>
      </c>
      <c r="H59" s="399"/>
      <c r="I59" s="412" t="s">
        <v>286</v>
      </c>
      <c r="J59" s="414">
        <f>ROUND(B59/1000,0)</f>
        <v>12</v>
      </c>
      <c r="K59" s="414">
        <f>ROUND(C59/1000,0)</f>
        <v>10</v>
      </c>
      <c r="L59" s="414">
        <v>10</v>
      </c>
      <c r="M59" s="415">
        <f t="shared" si="2"/>
        <v>83.33333333333334</v>
      </c>
      <c r="N59" s="415">
        <f t="shared" si="3"/>
        <v>100</v>
      </c>
      <c r="O59" s="414">
        <v>0</v>
      </c>
    </row>
    <row r="60" spans="1:15" s="424" customFormat="1" ht="12.75" customHeight="1">
      <c r="A60" s="412" t="s">
        <v>929</v>
      </c>
      <c r="B60" s="426">
        <v>437781</v>
      </c>
      <c r="C60" s="426">
        <v>150045</v>
      </c>
      <c r="D60" s="426">
        <v>154408.98</v>
      </c>
      <c r="E60" s="409">
        <f t="shared" si="0"/>
        <v>35.27082719441913</v>
      </c>
      <c r="F60" s="409">
        <f t="shared" si="1"/>
        <v>102.90844746576029</v>
      </c>
      <c r="G60" s="426">
        <v>48392.55</v>
      </c>
      <c r="H60" s="399"/>
      <c r="I60" s="412" t="s">
        <v>929</v>
      </c>
      <c r="J60" s="414">
        <f>ROUND(B60/1000,0)</f>
        <v>438</v>
      </c>
      <c r="K60" s="414">
        <v>150</v>
      </c>
      <c r="L60" s="414">
        <f>ROUND(D60/1000,0)</f>
        <v>154</v>
      </c>
      <c r="M60" s="415">
        <f t="shared" si="2"/>
        <v>35.15981735159817</v>
      </c>
      <c r="N60" s="415">
        <f t="shared" si="3"/>
        <v>102.66666666666666</v>
      </c>
      <c r="O60" s="414">
        <f>ROUND(G60/1000,0)</f>
        <v>48</v>
      </c>
    </row>
    <row r="61" spans="1:15" s="424" customFormat="1" ht="12.75" customHeight="1">
      <c r="A61" s="412" t="s">
        <v>758</v>
      </c>
      <c r="B61" s="426">
        <v>6027039</v>
      </c>
      <c r="C61" s="426">
        <v>829795</v>
      </c>
      <c r="D61" s="426">
        <v>284047.19</v>
      </c>
      <c r="E61" s="409">
        <f t="shared" si="0"/>
        <v>4.712881234052078</v>
      </c>
      <c r="F61" s="409">
        <f t="shared" si="1"/>
        <v>34.23100765851807</v>
      </c>
      <c r="G61" s="426">
        <v>264334.03</v>
      </c>
      <c r="H61" s="399"/>
      <c r="I61" s="412" t="s">
        <v>758</v>
      </c>
      <c r="J61" s="414">
        <f>ROUND(B61/1000,0)</f>
        <v>6027</v>
      </c>
      <c r="K61" s="414">
        <v>830</v>
      </c>
      <c r="L61" s="414">
        <v>148</v>
      </c>
      <c r="M61" s="415">
        <f t="shared" si="2"/>
        <v>2.4556163928986225</v>
      </c>
      <c r="N61" s="415">
        <f t="shared" si="3"/>
        <v>17.83132530120482</v>
      </c>
      <c r="O61" s="414">
        <v>128</v>
      </c>
    </row>
    <row r="62" spans="1:15" s="424" customFormat="1" ht="12.75" customHeight="1">
      <c r="A62" s="418" t="s">
        <v>881</v>
      </c>
      <c r="B62" s="428">
        <f aca="true" t="shared" si="21" ref="B62:G62">SUM(B63:B64)</f>
        <v>11189389</v>
      </c>
      <c r="C62" s="428">
        <f t="shared" si="21"/>
        <v>2077420</v>
      </c>
      <c r="D62" s="428">
        <f t="shared" si="21"/>
        <v>1365714.8499999999</v>
      </c>
      <c r="E62" s="409">
        <f t="shared" si="0"/>
        <v>12.205446159750098</v>
      </c>
      <c r="F62" s="409">
        <f t="shared" si="1"/>
        <v>65.74091180406465</v>
      </c>
      <c r="G62" s="428">
        <f t="shared" si="21"/>
        <v>566879.86</v>
      </c>
      <c r="H62" s="399"/>
      <c r="I62" s="418" t="s">
        <v>881</v>
      </c>
      <c r="J62" s="406">
        <f>J63+J64</f>
        <v>11189</v>
      </c>
      <c r="K62" s="406">
        <f>K63+K64</f>
        <v>2078</v>
      </c>
      <c r="L62" s="406">
        <f>L63+L64</f>
        <v>1365</v>
      </c>
      <c r="M62" s="411">
        <f t="shared" si="2"/>
        <v>12.19948163374743</v>
      </c>
      <c r="N62" s="411">
        <f t="shared" si="3"/>
        <v>65.68816169393648</v>
      </c>
      <c r="O62" s="406">
        <f>O63+O64</f>
        <v>567</v>
      </c>
    </row>
    <row r="63" spans="1:15" s="424" customFormat="1" ht="12.75" customHeight="1">
      <c r="A63" s="421" t="s">
        <v>876</v>
      </c>
      <c r="B63" s="426">
        <v>10781923</v>
      </c>
      <c r="C63" s="426">
        <v>2065720</v>
      </c>
      <c r="D63" s="426">
        <v>1357746.44</v>
      </c>
      <c r="E63" s="409">
        <f t="shared" si="0"/>
        <v>12.592804085133977</v>
      </c>
      <c r="F63" s="409">
        <f t="shared" si="1"/>
        <v>65.72751582983173</v>
      </c>
      <c r="G63" s="426">
        <v>561879.86</v>
      </c>
      <c r="H63" s="399"/>
      <c r="I63" s="421" t="s">
        <v>876</v>
      </c>
      <c r="J63" s="414">
        <f>ROUND(B63/1000,0)</f>
        <v>10782</v>
      </c>
      <c r="K63" s="414">
        <f>ROUND(C63/1000,0)</f>
        <v>2066</v>
      </c>
      <c r="L63" s="414">
        <f>ROUND(D63/1000,0)-1</f>
        <v>1357</v>
      </c>
      <c r="M63" s="415">
        <f t="shared" si="2"/>
        <v>12.585791133370433</v>
      </c>
      <c r="N63" s="415">
        <f t="shared" si="3"/>
        <v>65.68247821878025</v>
      </c>
      <c r="O63" s="414">
        <f>ROUND(G63/1000,0)</f>
        <v>562</v>
      </c>
    </row>
    <row r="64" spans="1:15" s="424" customFormat="1" ht="12.75" customHeight="1">
      <c r="A64" s="421" t="s">
        <v>877</v>
      </c>
      <c r="B64" s="426">
        <v>407466</v>
      </c>
      <c r="C64" s="426">
        <v>11700</v>
      </c>
      <c r="D64" s="426">
        <v>7968.41</v>
      </c>
      <c r="E64" s="409">
        <f t="shared" si="0"/>
        <v>1.9556012035360004</v>
      </c>
      <c r="F64" s="409"/>
      <c r="G64" s="426">
        <v>5000</v>
      </c>
      <c r="H64" s="399"/>
      <c r="I64" s="421" t="s">
        <v>877</v>
      </c>
      <c r="J64" s="414">
        <f>ROUND(B64/1000,0)</f>
        <v>407</v>
      </c>
      <c r="K64" s="414">
        <v>12</v>
      </c>
      <c r="L64" s="414">
        <f>ROUND(D64/1000,0)</f>
        <v>8</v>
      </c>
      <c r="M64" s="415">
        <f t="shared" si="2"/>
        <v>1.9656019656019657</v>
      </c>
      <c r="N64" s="415">
        <f t="shared" si="3"/>
        <v>66.66666666666666</v>
      </c>
      <c r="O64" s="414">
        <v>5</v>
      </c>
    </row>
    <row r="65" spans="1:15" s="424" customFormat="1" ht="12.75" customHeight="1">
      <c r="A65" s="418" t="s">
        <v>768</v>
      </c>
      <c r="B65" s="426"/>
      <c r="C65" s="426"/>
      <c r="D65" s="426"/>
      <c r="E65" s="426"/>
      <c r="F65" s="426"/>
      <c r="G65" s="426"/>
      <c r="H65" s="399"/>
      <c r="I65" s="418" t="s">
        <v>768</v>
      </c>
      <c r="J65" s="426"/>
      <c r="K65" s="426"/>
      <c r="L65" s="426"/>
      <c r="M65" s="415"/>
      <c r="N65" s="415"/>
      <c r="O65" s="426"/>
    </row>
    <row r="66" spans="1:15" s="424" customFormat="1" ht="12.75" customHeight="1">
      <c r="A66" s="412" t="s">
        <v>284</v>
      </c>
      <c r="B66" s="426">
        <f aca="true" t="shared" si="22" ref="B66:G66">SUM(B67:B70)</f>
        <v>95465330</v>
      </c>
      <c r="C66" s="426">
        <f t="shared" si="22"/>
        <v>21715542</v>
      </c>
      <c r="D66" s="426">
        <f t="shared" si="22"/>
        <v>20785785.32</v>
      </c>
      <c r="E66" s="409">
        <f t="shared" si="0"/>
        <v>21.773124672590562</v>
      </c>
      <c r="F66" s="409">
        <f t="shared" si="1"/>
        <v>95.71847352463043</v>
      </c>
      <c r="G66" s="426">
        <f t="shared" si="22"/>
        <v>8462053.819999998</v>
      </c>
      <c r="H66" s="399"/>
      <c r="I66" s="412" t="s">
        <v>284</v>
      </c>
      <c r="J66" s="414">
        <f>J67+J68+J69+J70</f>
        <v>95465</v>
      </c>
      <c r="K66" s="414">
        <f>K67+K68+K69+K70</f>
        <v>21715</v>
      </c>
      <c r="L66" s="414">
        <f>L67+L68+L69+L70</f>
        <v>20732</v>
      </c>
      <c r="M66" s="415">
        <f t="shared" si="2"/>
        <v>21.716859582045775</v>
      </c>
      <c r="N66" s="415">
        <f t="shared" si="3"/>
        <v>95.4731752244992</v>
      </c>
      <c r="O66" s="414">
        <f>O67+O68+O69+O70</f>
        <v>8464</v>
      </c>
    </row>
    <row r="67" spans="1:15" s="424" customFormat="1" ht="12.75" customHeight="1">
      <c r="A67" s="412" t="s">
        <v>285</v>
      </c>
      <c r="B67" s="426">
        <v>87453160</v>
      </c>
      <c r="C67" s="426">
        <v>19025483</v>
      </c>
      <c r="D67" s="426">
        <v>19025483</v>
      </c>
      <c r="E67" s="409">
        <f t="shared" si="0"/>
        <v>21.755054934550106</v>
      </c>
      <c r="F67" s="409">
        <f t="shared" si="1"/>
        <v>100</v>
      </c>
      <c r="G67" s="426">
        <f>D67-'[11]februāris'!D67</f>
        <v>8099993</v>
      </c>
      <c r="H67" s="399"/>
      <c r="I67" s="412" t="s">
        <v>285</v>
      </c>
      <c r="J67" s="414">
        <f aca="true" t="shared" si="23" ref="J67:L74">ROUND(B67/1000,0)</f>
        <v>87453</v>
      </c>
      <c r="K67" s="414">
        <v>19025</v>
      </c>
      <c r="L67" s="414">
        <v>19025</v>
      </c>
      <c r="M67" s="415">
        <f t="shared" si="2"/>
        <v>21.75454243993917</v>
      </c>
      <c r="N67" s="415">
        <f t="shared" si="3"/>
        <v>100</v>
      </c>
      <c r="O67" s="414">
        <f aca="true" t="shared" si="24" ref="O67:O73">ROUND(G67/1000,0)</f>
        <v>8100</v>
      </c>
    </row>
    <row r="68" spans="1:15" s="424" customFormat="1" ht="12.75" customHeight="1">
      <c r="A68" s="412" t="s">
        <v>286</v>
      </c>
      <c r="B68" s="426">
        <v>1033000</v>
      </c>
      <c r="C68" s="426">
        <v>267878</v>
      </c>
      <c r="D68" s="426">
        <v>115872.52</v>
      </c>
      <c r="E68" s="409">
        <f t="shared" si="0"/>
        <v>11.217088092933205</v>
      </c>
      <c r="F68" s="409">
        <f t="shared" si="1"/>
        <v>43.25570595569625</v>
      </c>
      <c r="G68" s="426">
        <v>48626.85</v>
      </c>
      <c r="H68" s="399"/>
      <c r="I68" s="412" t="s">
        <v>286</v>
      </c>
      <c r="J68" s="414">
        <f t="shared" si="23"/>
        <v>1033</v>
      </c>
      <c r="K68" s="414">
        <f t="shared" si="23"/>
        <v>268</v>
      </c>
      <c r="L68" s="414">
        <f t="shared" si="23"/>
        <v>116</v>
      </c>
      <c r="M68" s="415">
        <f t="shared" si="2"/>
        <v>11.22942884801549</v>
      </c>
      <c r="N68" s="415">
        <f t="shared" si="3"/>
        <v>43.28358208955223</v>
      </c>
      <c r="O68" s="414">
        <v>49</v>
      </c>
    </row>
    <row r="69" spans="1:15" s="424" customFormat="1" ht="12.75" customHeight="1">
      <c r="A69" s="412" t="s">
        <v>929</v>
      </c>
      <c r="B69" s="426">
        <v>4138590</v>
      </c>
      <c r="C69" s="426">
        <v>1070183</v>
      </c>
      <c r="D69" s="426">
        <v>1049969.75</v>
      </c>
      <c r="E69" s="409">
        <f t="shared" si="0"/>
        <v>25.370228749404987</v>
      </c>
      <c r="F69" s="409">
        <f t="shared" si="1"/>
        <v>98.1112342468531</v>
      </c>
      <c r="G69" s="426">
        <f>252224.15+137.46</f>
        <v>252361.61</v>
      </c>
      <c r="H69" s="399"/>
      <c r="I69" s="412" t="s">
        <v>929</v>
      </c>
      <c r="J69" s="414">
        <v>4138</v>
      </c>
      <c r="K69" s="414">
        <f t="shared" si="23"/>
        <v>1070</v>
      </c>
      <c r="L69" s="414">
        <f t="shared" si="23"/>
        <v>1050</v>
      </c>
      <c r="M69" s="415">
        <f t="shared" si="2"/>
        <v>25.374577090381827</v>
      </c>
      <c r="N69" s="415">
        <f t="shared" si="3"/>
        <v>98.13084112149532</v>
      </c>
      <c r="O69" s="414">
        <f t="shared" si="24"/>
        <v>252</v>
      </c>
    </row>
    <row r="70" spans="1:15" s="424" customFormat="1" ht="12.75" customHeight="1">
      <c r="A70" s="412" t="s">
        <v>758</v>
      </c>
      <c r="B70" s="426">
        <v>2840580</v>
      </c>
      <c r="C70" s="426">
        <v>1351998</v>
      </c>
      <c r="D70" s="426">
        <v>594460.05</v>
      </c>
      <c r="E70" s="409">
        <f t="shared" si="0"/>
        <v>20.927417992100207</v>
      </c>
      <c r="F70" s="409">
        <f t="shared" si="1"/>
        <v>43.969003652372265</v>
      </c>
      <c r="G70" s="426">
        <v>61072.36</v>
      </c>
      <c r="H70" s="399"/>
      <c r="I70" s="412" t="s">
        <v>758</v>
      </c>
      <c r="J70" s="414">
        <f t="shared" si="23"/>
        <v>2841</v>
      </c>
      <c r="K70" s="414">
        <f t="shared" si="23"/>
        <v>1352</v>
      </c>
      <c r="L70" s="414">
        <v>541</v>
      </c>
      <c r="M70" s="415">
        <f t="shared" si="2"/>
        <v>19.042590637099615</v>
      </c>
      <c r="N70" s="415">
        <f t="shared" si="3"/>
        <v>40.014792899408285</v>
      </c>
      <c r="O70" s="414">
        <v>63</v>
      </c>
    </row>
    <row r="71" spans="1:15" s="424" customFormat="1" ht="12.75" customHeight="1">
      <c r="A71" s="418" t="s">
        <v>881</v>
      </c>
      <c r="B71" s="428">
        <f aca="true" t="shared" si="25" ref="B71:G71">SUM(B72:B73)</f>
        <v>95562330</v>
      </c>
      <c r="C71" s="428">
        <f t="shared" si="25"/>
        <v>21711232</v>
      </c>
      <c r="D71" s="428">
        <f t="shared" si="25"/>
        <v>19267702.45</v>
      </c>
      <c r="E71" s="409">
        <f t="shared" si="0"/>
        <v>20.162445233388514</v>
      </c>
      <c r="F71" s="409">
        <f t="shared" si="1"/>
        <v>88.74532062482682</v>
      </c>
      <c r="G71" s="428">
        <f t="shared" si="25"/>
        <v>8239915.3</v>
      </c>
      <c r="H71" s="399"/>
      <c r="I71" s="418" t="s">
        <v>881</v>
      </c>
      <c r="J71" s="406">
        <f>J72+J73</f>
        <v>95563</v>
      </c>
      <c r="K71" s="406">
        <f>K72+K73</f>
        <v>21711</v>
      </c>
      <c r="L71" s="406">
        <f>L72+L73</f>
        <v>19268</v>
      </c>
      <c r="M71" s="411">
        <f t="shared" si="2"/>
        <v>20.16261523811517</v>
      </c>
      <c r="N71" s="411">
        <f t="shared" si="3"/>
        <v>88.7476394454424</v>
      </c>
      <c r="O71" s="406">
        <f>O72+O73</f>
        <v>8240</v>
      </c>
    </row>
    <row r="72" spans="1:15" s="424" customFormat="1" ht="12.75" customHeight="1">
      <c r="A72" s="421" t="s">
        <v>876</v>
      </c>
      <c r="B72" s="426">
        <v>88541740</v>
      </c>
      <c r="C72" s="426">
        <v>19385465</v>
      </c>
      <c r="D72" s="426">
        <v>17450083.04</v>
      </c>
      <c r="E72" s="409">
        <f t="shared" si="0"/>
        <v>19.708312757350374</v>
      </c>
      <c r="F72" s="409">
        <f t="shared" si="1"/>
        <v>90.01632429245313</v>
      </c>
      <c r="G72" s="426">
        <v>7348769.41</v>
      </c>
      <c r="H72" s="399"/>
      <c r="I72" s="421" t="s">
        <v>876</v>
      </c>
      <c r="J72" s="414">
        <f t="shared" si="23"/>
        <v>88542</v>
      </c>
      <c r="K72" s="414">
        <f t="shared" si="23"/>
        <v>19385</v>
      </c>
      <c r="L72" s="414">
        <f t="shared" si="23"/>
        <v>17450</v>
      </c>
      <c r="M72" s="415">
        <f t="shared" si="2"/>
        <v>19.70816109868763</v>
      </c>
      <c r="N72" s="415">
        <f t="shared" si="3"/>
        <v>90.01805519731751</v>
      </c>
      <c r="O72" s="414">
        <f t="shared" si="24"/>
        <v>7349</v>
      </c>
    </row>
    <row r="73" spans="1:15" s="424" customFormat="1" ht="12.75" customHeight="1">
      <c r="A73" s="421" t="s">
        <v>877</v>
      </c>
      <c r="B73" s="426">
        <v>7020590</v>
      </c>
      <c r="C73" s="426">
        <v>2325767</v>
      </c>
      <c r="D73" s="426">
        <v>1817619.41</v>
      </c>
      <c r="E73" s="409">
        <f t="shared" si="0"/>
        <v>25.889838460870095</v>
      </c>
      <c r="F73" s="409">
        <f t="shared" si="1"/>
        <v>78.15139736697614</v>
      </c>
      <c r="G73" s="426">
        <v>891145.89</v>
      </c>
      <c r="H73" s="399"/>
      <c r="I73" s="421" t="s">
        <v>877</v>
      </c>
      <c r="J73" s="414">
        <f t="shared" si="23"/>
        <v>7021</v>
      </c>
      <c r="K73" s="414">
        <f t="shared" si="23"/>
        <v>2326</v>
      </c>
      <c r="L73" s="414">
        <v>1818</v>
      </c>
      <c r="M73" s="415">
        <f t="shared" si="2"/>
        <v>25.893747329440252</v>
      </c>
      <c r="N73" s="415">
        <f t="shared" si="3"/>
        <v>78.15993121238178</v>
      </c>
      <c r="O73" s="414">
        <f t="shared" si="24"/>
        <v>891</v>
      </c>
    </row>
    <row r="74" spans="1:15" s="424" customFormat="1" ht="12.75" customHeight="1">
      <c r="A74" s="425" t="s">
        <v>45</v>
      </c>
      <c r="B74" s="426">
        <v>48898920</v>
      </c>
      <c r="C74" s="426"/>
      <c r="D74" s="426">
        <v>12632419</v>
      </c>
      <c r="E74" s="409"/>
      <c r="F74" s="409"/>
      <c r="G74" s="426">
        <v>-958051</v>
      </c>
      <c r="H74" s="399"/>
      <c r="I74" s="425" t="s">
        <v>45</v>
      </c>
      <c r="J74" s="414">
        <f t="shared" si="23"/>
        <v>48899</v>
      </c>
      <c r="K74" s="414"/>
      <c r="L74" s="414">
        <v>12632</v>
      </c>
      <c r="M74" s="415">
        <f t="shared" si="2"/>
        <v>25.832839117364365</v>
      </c>
      <c r="N74" s="415"/>
      <c r="O74" s="414">
        <v>-958</v>
      </c>
    </row>
    <row r="75" spans="1:15" s="424" customFormat="1" ht="12.75" customHeight="1">
      <c r="A75" s="425" t="s">
        <v>46</v>
      </c>
      <c r="B75" s="426">
        <f>B66-B71-B74</f>
        <v>-48995920</v>
      </c>
      <c r="C75" s="426"/>
      <c r="D75" s="426">
        <v>-3427804</v>
      </c>
      <c r="E75" s="409"/>
      <c r="F75" s="426"/>
      <c r="G75" s="426">
        <v>-1133278</v>
      </c>
      <c r="H75" s="399"/>
      <c r="I75" s="425" t="s">
        <v>46</v>
      </c>
      <c r="J75" s="414">
        <f>ROUND(B75/1000,0)</f>
        <v>-48996</v>
      </c>
      <c r="K75" s="414"/>
      <c r="L75" s="414">
        <f>L66-L71-L74</f>
        <v>-11168</v>
      </c>
      <c r="M75" s="415">
        <f t="shared" si="2"/>
        <v>22.79369744468936</v>
      </c>
      <c r="N75" s="415"/>
      <c r="O75" s="414">
        <f>O66-O71-O74</f>
        <v>1182</v>
      </c>
    </row>
    <row r="76" spans="1:15" s="424" customFormat="1" ht="12.75" customHeight="1">
      <c r="A76" s="418" t="s">
        <v>769</v>
      </c>
      <c r="B76" s="426"/>
      <c r="C76" s="426"/>
      <c r="D76" s="426"/>
      <c r="E76" s="426"/>
      <c r="F76" s="426"/>
      <c r="G76" s="426"/>
      <c r="H76" s="399"/>
      <c r="I76" s="418" t="s">
        <v>769</v>
      </c>
      <c r="J76" s="426"/>
      <c r="K76" s="426"/>
      <c r="L76" s="426"/>
      <c r="M76" s="415"/>
      <c r="N76" s="415"/>
      <c r="O76" s="426"/>
    </row>
    <row r="77" spans="1:15" s="424" customFormat="1" ht="12.75" customHeight="1">
      <c r="A77" s="412" t="s">
        <v>284</v>
      </c>
      <c r="B77" s="426">
        <f>SUM(B78:B80)</f>
        <v>88411691</v>
      </c>
      <c r="C77" s="426">
        <f>SUM(C78:C80)</f>
        <v>20331306</v>
      </c>
      <c r="D77" s="426">
        <f>SUM(D78:D80)</f>
        <v>19414966.83</v>
      </c>
      <c r="E77" s="409">
        <f aca="true" t="shared" si="26" ref="E77:E140">IF(ISERROR(D77/B77)," ",(D77/B77))*100</f>
        <v>21.959727961769218</v>
      </c>
      <c r="F77" s="409">
        <f aca="true" t="shared" si="27" ref="F77:F83">IF(ISERROR(D77/C77)," ",(D77/C77))*100</f>
        <v>95.49296454443211</v>
      </c>
      <c r="G77" s="426">
        <f>SUM(G78:G80)</f>
        <v>6755237.97</v>
      </c>
      <c r="H77" s="399"/>
      <c r="I77" s="412" t="s">
        <v>284</v>
      </c>
      <c r="J77" s="414">
        <f>J78+J79+J80</f>
        <v>88412</v>
      </c>
      <c r="K77" s="414">
        <f>K78+K79+K80</f>
        <v>20331</v>
      </c>
      <c r="L77" s="414">
        <f>L78+L79+L80</f>
        <v>19415</v>
      </c>
      <c r="M77" s="415">
        <f aca="true" t="shared" si="28" ref="M77:M140">L77/J77*100</f>
        <v>21.959688730036646</v>
      </c>
      <c r="N77" s="415">
        <f aca="true" t="shared" si="29" ref="N77:N140">L77/K77*100</f>
        <v>95.49456495007624</v>
      </c>
      <c r="O77" s="414">
        <f>O78+O79+O80</f>
        <v>6755</v>
      </c>
    </row>
    <row r="78" spans="1:15" s="424" customFormat="1" ht="12.75" customHeight="1">
      <c r="A78" s="412" t="s">
        <v>285</v>
      </c>
      <c r="B78" s="426">
        <v>77270929</v>
      </c>
      <c r="C78" s="426">
        <v>17673683</v>
      </c>
      <c r="D78" s="426">
        <v>17673683</v>
      </c>
      <c r="E78" s="409">
        <f t="shared" si="26"/>
        <v>22.87235733894179</v>
      </c>
      <c r="F78" s="409">
        <f t="shared" si="27"/>
        <v>100</v>
      </c>
      <c r="G78" s="426">
        <f>D78-'[11]februāris'!D78</f>
        <v>6112451</v>
      </c>
      <c r="H78" s="399"/>
      <c r="I78" s="412" t="s">
        <v>285</v>
      </c>
      <c r="J78" s="414">
        <f>ROUND(B78/1000,0)</f>
        <v>77271</v>
      </c>
      <c r="K78" s="414">
        <f aca="true" t="shared" si="30" ref="K78:L80">ROUND(C78/1000,0)</f>
        <v>17674</v>
      </c>
      <c r="L78" s="414">
        <f t="shared" si="30"/>
        <v>17674</v>
      </c>
      <c r="M78" s="415">
        <f t="shared" si="28"/>
        <v>22.87274656727621</v>
      </c>
      <c r="N78" s="415">
        <f t="shared" si="29"/>
        <v>100</v>
      </c>
      <c r="O78" s="414">
        <f>ROUND(G78/1000,0)</f>
        <v>6112</v>
      </c>
    </row>
    <row r="79" spans="1:15" s="424" customFormat="1" ht="12.75" customHeight="1">
      <c r="A79" s="412" t="s">
        <v>929</v>
      </c>
      <c r="B79" s="426">
        <v>7779610</v>
      </c>
      <c r="C79" s="426">
        <v>2120502</v>
      </c>
      <c r="D79" s="426">
        <v>1693688.13</v>
      </c>
      <c r="E79" s="409">
        <f t="shared" si="26"/>
        <v>21.770861649877048</v>
      </c>
      <c r="F79" s="409">
        <f t="shared" si="27"/>
        <v>79.8720364328824</v>
      </c>
      <c r="G79" s="426">
        <v>611540.92</v>
      </c>
      <c r="H79" s="399"/>
      <c r="I79" s="412" t="s">
        <v>929</v>
      </c>
      <c r="J79" s="414">
        <f>ROUND(B79/1000,0)</f>
        <v>7780</v>
      </c>
      <c r="K79" s="414">
        <f>ROUND(C79/1000,0)-1</f>
        <v>2120</v>
      </c>
      <c r="L79" s="414">
        <f t="shared" si="30"/>
        <v>1694</v>
      </c>
      <c r="M79" s="415">
        <f t="shared" si="28"/>
        <v>21.773778920308484</v>
      </c>
      <c r="N79" s="415">
        <f t="shared" si="29"/>
        <v>79.90566037735849</v>
      </c>
      <c r="O79" s="414">
        <f>ROUND(G79/1000,0)</f>
        <v>612</v>
      </c>
    </row>
    <row r="80" spans="1:15" s="424" customFormat="1" ht="12.75" customHeight="1">
      <c r="A80" s="412" t="s">
        <v>758</v>
      </c>
      <c r="B80" s="426">
        <v>3361152</v>
      </c>
      <c r="C80" s="426">
        <v>537121</v>
      </c>
      <c r="D80" s="426">
        <v>47595.7</v>
      </c>
      <c r="E80" s="409">
        <f t="shared" si="26"/>
        <v>1.4160531865265242</v>
      </c>
      <c r="F80" s="409">
        <f t="shared" si="27"/>
        <v>8.861262173700153</v>
      </c>
      <c r="G80" s="426">
        <v>31246.05</v>
      </c>
      <c r="H80" s="399"/>
      <c r="I80" s="412" t="s">
        <v>758</v>
      </c>
      <c r="J80" s="414">
        <f>ROUND(B80/1000,0)</f>
        <v>3361</v>
      </c>
      <c r="K80" s="414">
        <f t="shared" si="30"/>
        <v>537</v>
      </c>
      <c r="L80" s="414">
        <v>47</v>
      </c>
      <c r="M80" s="415">
        <f t="shared" si="28"/>
        <v>1.39839333531687</v>
      </c>
      <c r="N80" s="415">
        <f t="shared" si="29"/>
        <v>8.752327746741155</v>
      </c>
      <c r="O80" s="414">
        <f>ROUND(G80/1000,0)</f>
        <v>31</v>
      </c>
    </row>
    <row r="81" spans="1:15" s="424" customFormat="1" ht="12.75" customHeight="1">
      <c r="A81" s="418" t="s">
        <v>881</v>
      </c>
      <c r="B81" s="428">
        <f aca="true" t="shared" si="31" ref="B81:G81">SUM(B82:B83)</f>
        <v>88411691</v>
      </c>
      <c r="C81" s="428">
        <f t="shared" si="31"/>
        <v>20331306</v>
      </c>
      <c r="D81" s="428">
        <f t="shared" si="31"/>
        <v>19288950.92</v>
      </c>
      <c r="E81" s="409">
        <f t="shared" si="26"/>
        <v>21.817194877541706</v>
      </c>
      <c r="F81" s="409">
        <f t="shared" si="27"/>
        <v>94.8731523690608</v>
      </c>
      <c r="G81" s="428">
        <f t="shared" si="31"/>
        <v>6672792.380000001</v>
      </c>
      <c r="H81" s="399"/>
      <c r="I81" s="418" t="s">
        <v>881</v>
      </c>
      <c r="J81" s="406">
        <f>J82+J83</f>
        <v>88411</v>
      </c>
      <c r="K81" s="406">
        <f>K82+K83</f>
        <v>20331</v>
      </c>
      <c r="L81" s="406">
        <f>L82+L83</f>
        <v>19288</v>
      </c>
      <c r="M81" s="411">
        <f t="shared" si="28"/>
        <v>21.8162898281888</v>
      </c>
      <c r="N81" s="411">
        <f t="shared" si="29"/>
        <v>94.86990310363484</v>
      </c>
      <c r="O81" s="406">
        <f>O82+O83</f>
        <v>6673</v>
      </c>
    </row>
    <row r="82" spans="1:15" s="424" customFormat="1" ht="12.75" customHeight="1">
      <c r="A82" s="421" t="s">
        <v>876</v>
      </c>
      <c r="B82" s="426">
        <v>74053323</v>
      </c>
      <c r="C82" s="426">
        <v>18700242</v>
      </c>
      <c r="D82" s="426">
        <v>18163355.41</v>
      </c>
      <c r="E82" s="409">
        <f t="shared" si="26"/>
        <v>24.527400897323677</v>
      </c>
      <c r="F82" s="409">
        <f t="shared" si="27"/>
        <v>97.12898587087804</v>
      </c>
      <c r="G82" s="426">
        <v>6270815.98</v>
      </c>
      <c r="H82" s="399"/>
      <c r="I82" s="421" t="s">
        <v>876</v>
      </c>
      <c r="J82" s="414">
        <f>ROUND(B82/1000,0)</f>
        <v>74053</v>
      </c>
      <c r="K82" s="414">
        <v>18700</v>
      </c>
      <c r="L82" s="414">
        <f>ROUND(D82/1000,0)</f>
        <v>18163</v>
      </c>
      <c r="M82" s="415">
        <f t="shared" si="28"/>
        <v>24.52702793944877</v>
      </c>
      <c r="N82" s="415">
        <f t="shared" si="29"/>
        <v>97.1283422459893</v>
      </c>
      <c r="O82" s="414">
        <f>ROUND(G82/1000,0)</f>
        <v>6271</v>
      </c>
    </row>
    <row r="83" spans="1:15" s="424" customFormat="1" ht="12.75" customHeight="1">
      <c r="A83" s="421" t="s">
        <v>877</v>
      </c>
      <c r="B83" s="426">
        <v>14358368</v>
      </c>
      <c r="C83" s="426">
        <v>1631064</v>
      </c>
      <c r="D83" s="426">
        <v>1125595.51</v>
      </c>
      <c r="E83" s="409">
        <f t="shared" si="26"/>
        <v>7.839299772787547</v>
      </c>
      <c r="F83" s="409">
        <f t="shared" si="27"/>
        <v>69.00989231569086</v>
      </c>
      <c r="G83" s="426">
        <v>401976.4</v>
      </c>
      <c r="H83" s="399"/>
      <c r="I83" s="421" t="s">
        <v>877</v>
      </c>
      <c r="J83" s="414">
        <f>ROUND(B83/1000,0)</f>
        <v>14358</v>
      </c>
      <c r="K83" s="414">
        <f>ROUND(C83/1000,0)</f>
        <v>1631</v>
      </c>
      <c r="L83" s="414">
        <f>ROUND(D83/1000,0)-1</f>
        <v>1125</v>
      </c>
      <c r="M83" s="415">
        <f t="shared" si="28"/>
        <v>7.8353531132469705</v>
      </c>
      <c r="N83" s="415">
        <f t="shared" si="29"/>
        <v>68.976088289393</v>
      </c>
      <c r="O83" s="414">
        <f>ROUND(G83/1000,0)</f>
        <v>402</v>
      </c>
    </row>
    <row r="84" spans="1:15" s="424" customFormat="1" ht="12.75" customHeight="1">
      <c r="A84" s="427" t="s">
        <v>770</v>
      </c>
      <c r="B84" s="426"/>
      <c r="C84" s="426"/>
      <c r="D84" s="426"/>
      <c r="E84" s="409"/>
      <c r="F84" s="426"/>
      <c r="G84" s="426"/>
      <c r="H84" s="399"/>
      <c r="I84" s="427" t="s">
        <v>770</v>
      </c>
      <c r="J84" s="426"/>
      <c r="K84" s="426"/>
      <c r="L84" s="426"/>
      <c r="M84" s="415"/>
      <c r="N84" s="415"/>
      <c r="O84" s="426"/>
    </row>
    <row r="85" spans="1:15" s="424" customFormat="1" ht="12.75" customHeight="1">
      <c r="A85" s="412" t="s">
        <v>284</v>
      </c>
      <c r="B85" s="426">
        <f aca="true" t="shared" si="32" ref="B85:G85">SUM(B86:B89)</f>
        <v>79799585</v>
      </c>
      <c r="C85" s="426">
        <f t="shared" si="32"/>
        <v>21645700</v>
      </c>
      <c r="D85" s="426">
        <f t="shared" si="32"/>
        <v>21456920.18</v>
      </c>
      <c r="E85" s="409">
        <f t="shared" si="26"/>
        <v>26.888510986617288</v>
      </c>
      <c r="F85" s="409">
        <f aca="true" t="shared" si="33" ref="F85:F92">IF(ISERROR(D85/C85)," ",(D85/C85))*100</f>
        <v>99.12786456432455</v>
      </c>
      <c r="G85" s="426">
        <f t="shared" si="32"/>
        <v>6528068.3</v>
      </c>
      <c r="H85" s="399"/>
      <c r="I85" s="412" t="s">
        <v>284</v>
      </c>
      <c r="J85" s="414">
        <f>J86+J87+J88+J89</f>
        <v>79799</v>
      </c>
      <c r="K85" s="414">
        <f>K86+K87+K88+K89</f>
        <v>21644</v>
      </c>
      <c r="L85" s="414">
        <f>L86+L87+L88+L89</f>
        <v>21431</v>
      </c>
      <c r="M85" s="415">
        <f t="shared" si="28"/>
        <v>26.856226268499604</v>
      </c>
      <c r="N85" s="415">
        <f t="shared" si="29"/>
        <v>99.01589355017558</v>
      </c>
      <c r="O85" s="414">
        <f>O86+O87+O88+O89</f>
        <v>6518</v>
      </c>
    </row>
    <row r="86" spans="1:15" s="424" customFormat="1" ht="12.75" customHeight="1">
      <c r="A86" s="412" t="s">
        <v>285</v>
      </c>
      <c r="B86" s="426">
        <v>56294148</v>
      </c>
      <c r="C86" s="426">
        <v>14395503</v>
      </c>
      <c r="D86" s="426">
        <v>14395503</v>
      </c>
      <c r="E86" s="409">
        <f t="shared" si="26"/>
        <v>25.571935114818682</v>
      </c>
      <c r="F86" s="409">
        <f t="shared" si="33"/>
        <v>100</v>
      </c>
      <c r="G86" s="426">
        <f>D86-'[11]februāris'!D86</f>
        <v>4854496</v>
      </c>
      <c r="H86" s="399"/>
      <c r="I86" s="412" t="s">
        <v>285</v>
      </c>
      <c r="J86" s="414">
        <f>ROUND(B86/1000,0)</f>
        <v>56294</v>
      </c>
      <c r="K86" s="414">
        <f>ROUND(C86/1000,0)-1</f>
        <v>14395</v>
      </c>
      <c r="L86" s="414">
        <f aca="true" t="shared" si="34" ref="K86:L89">ROUND(D86/1000,0)</f>
        <v>14396</v>
      </c>
      <c r="M86" s="415">
        <f t="shared" si="28"/>
        <v>25.57288520979145</v>
      </c>
      <c r="N86" s="415">
        <f t="shared" si="29"/>
        <v>100.0069468565474</v>
      </c>
      <c r="O86" s="414">
        <f>ROUND(G86/1000,0)</f>
        <v>4854</v>
      </c>
    </row>
    <row r="87" spans="1:15" s="424" customFormat="1" ht="12.75" customHeight="1">
      <c r="A87" s="412" t="s">
        <v>286</v>
      </c>
      <c r="B87" s="426">
        <v>2311000</v>
      </c>
      <c r="C87" s="426">
        <v>218500</v>
      </c>
      <c r="D87" s="426">
        <v>164371.47</v>
      </c>
      <c r="E87" s="409">
        <f t="shared" si="26"/>
        <v>7.112569017741238</v>
      </c>
      <c r="F87" s="409">
        <f t="shared" si="33"/>
        <v>75.22721739130435</v>
      </c>
      <c r="G87" s="426">
        <v>105874.35</v>
      </c>
      <c r="H87" s="399"/>
      <c r="I87" s="412" t="s">
        <v>286</v>
      </c>
      <c r="J87" s="414">
        <f>ROUND(B87/1000,0)</f>
        <v>2311</v>
      </c>
      <c r="K87" s="414">
        <f>ROUND(C87/1000,0)-1</f>
        <v>218</v>
      </c>
      <c r="L87" s="414">
        <f t="shared" si="34"/>
        <v>164</v>
      </c>
      <c r="M87" s="415">
        <f t="shared" si="28"/>
        <v>7.096495023799221</v>
      </c>
      <c r="N87" s="415">
        <f t="shared" si="29"/>
        <v>75.22935779816514</v>
      </c>
      <c r="O87" s="414">
        <v>96</v>
      </c>
    </row>
    <row r="88" spans="1:15" s="424" customFormat="1" ht="12.75" customHeight="1">
      <c r="A88" s="412" t="s">
        <v>929</v>
      </c>
      <c r="B88" s="426">
        <v>18428228</v>
      </c>
      <c r="C88" s="426">
        <v>4492488</v>
      </c>
      <c r="D88" s="426">
        <v>5612973.99</v>
      </c>
      <c r="E88" s="409">
        <f t="shared" si="26"/>
        <v>30.458566010796044</v>
      </c>
      <c r="F88" s="409">
        <f t="shared" si="33"/>
        <v>124.94132405028127</v>
      </c>
      <c r="G88" s="426">
        <v>1512868.98</v>
      </c>
      <c r="H88" s="399"/>
      <c r="I88" s="412" t="s">
        <v>929</v>
      </c>
      <c r="J88" s="414">
        <f>ROUND(B88/1000,0)</f>
        <v>18428</v>
      </c>
      <c r="K88" s="414">
        <f t="shared" si="34"/>
        <v>4492</v>
      </c>
      <c r="L88" s="414">
        <f t="shared" si="34"/>
        <v>5613</v>
      </c>
      <c r="M88" s="415">
        <f t="shared" si="28"/>
        <v>30.45908400260473</v>
      </c>
      <c r="N88" s="415">
        <f t="shared" si="29"/>
        <v>124.95547640249332</v>
      </c>
      <c r="O88" s="414">
        <v>1513</v>
      </c>
    </row>
    <row r="89" spans="1:15" s="424" customFormat="1" ht="12.75" customHeight="1">
      <c r="A89" s="412" t="s">
        <v>758</v>
      </c>
      <c r="B89" s="426">
        <v>2766209</v>
      </c>
      <c r="C89" s="426">
        <v>2539209</v>
      </c>
      <c r="D89" s="426">
        <v>1284071.72</v>
      </c>
      <c r="E89" s="409">
        <f t="shared" si="26"/>
        <v>46.419909703135225</v>
      </c>
      <c r="F89" s="409">
        <f t="shared" si="33"/>
        <v>50.56975302151182</v>
      </c>
      <c r="G89" s="426">
        <v>54828.97</v>
      </c>
      <c r="H89" s="399"/>
      <c r="I89" s="412" t="s">
        <v>758</v>
      </c>
      <c r="J89" s="414">
        <f>ROUND(B89/1000,0)</f>
        <v>2766</v>
      </c>
      <c r="K89" s="414">
        <f t="shared" si="34"/>
        <v>2539</v>
      </c>
      <c r="L89" s="414">
        <v>1258</v>
      </c>
      <c r="M89" s="415">
        <f t="shared" si="28"/>
        <v>45.480838756326825</v>
      </c>
      <c r="N89" s="415">
        <f t="shared" si="29"/>
        <v>49.54706577392674</v>
      </c>
      <c r="O89" s="414">
        <f>ROUND(G89/1000,0)</f>
        <v>55</v>
      </c>
    </row>
    <row r="90" spans="1:15" s="424" customFormat="1" ht="12.75" customHeight="1">
      <c r="A90" s="418" t="s">
        <v>881</v>
      </c>
      <c r="B90" s="428">
        <f aca="true" t="shared" si="35" ref="B90:G90">SUM(B91:B92)</f>
        <v>79799585</v>
      </c>
      <c r="C90" s="428">
        <f t="shared" si="35"/>
        <v>21645700</v>
      </c>
      <c r="D90" s="428">
        <f t="shared" si="35"/>
        <v>17253630.49</v>
      </c>
      <c r="E90" s="409">
        <f t="shared" si="26"/>
        <v>21.621203280693752</v>
      </c>
      <c r="F90" s="409">
        <f t="shared" si="33"/>
        <v>79.70927477512853</v>
      </c>
      <c r="G90" s="428">
        <f t="shared" si="35"/>
        <v>5766257.68</v>
      </c>
      <c r="H90" s="399"/>
      <c r="I90" s="418" t="s">
        <v>881</v>
      </c>
      <c r="J90" s="406">
        <f>J91+J92</f>
        <v>79800</v>
      </c>
      <c r="K90" s="406">
        <f>K91+K92</f>
        <v>21645</v>
      </c>
      <c r="L90" s="406">
        <f>L91+L92</f>
        <v>17253</v>
      </c>
      <c r="M90" s="411">
        <f t="shared" si="28"/>
        <v>21.620300751879697</v>
      </c>
      <c r="N90" s="411">
        <f t="shared" si="29"/>
        <v>79.70893970893971</v>
      </c>
      <c r="O90" s="406">
        <f>O91+O92</f>
        <v>5766</v>
      </c>
    </row>
    <row r="91" spans="1:15" s="424" customFormat="1" ht="12.75" customHeight="1">
      <c r="A91" s="421" t="s">
        <v>876</v>
      </c>
      <c r="B91" s="426">
        <v>73110630</v>
      </c>
      <c r="C91" s="426">
        <v>20628224</v>
      </c>
      <c r="D91" s="426">
        <v>16668524.42</v>
      </c>
      <c r="E91" s="409">
        <f t="shared" si="26"/>
        <v>22.799043613767246</v>
      </c>
      <c r="F91" s="409">
        <f t="shared" si="33"/>
        <v>80.80445713600938</v>
      </c>
      <c r="G91" s="426">
        <v>5429134.96</v>
      </c>
      <c r="H91" s="399"/>
      <c r="I91" s="421" t="s">
        <v>876</v>
      </c>
      <c r="J91" s="414">
        <f>ROUND(B91/1000,0)</f>
        <v>73111</v>
      </c>
      <c r="K91" s="414">
        <f>ROUND(C91/1000,0)</f>
        <v>20628</v>
      </c>
      <c r="L91" s="414">
        <f>ROUND(D91/1000,0)-1</f>
        <v>16668</v>
      </c>
      <c r="M91" s="415">
        <f t="shared" si="28"/>
        <v>22.798210939530303</v>
      </c>
      <c r="N91" s="415">
        <f t="shared" si="29"/>
        <v>80.80279232111693</v>
      </c>
      <c r="O91" s="414">
        <f>ROUND(G91/1000,0)</f>
        <v>5429</v>
      </c>
    </row>
    <row r="92" spans="1:15" s="424" customFormat="1" ht="12.75" customHeight="1">
      <c r="A92" s="421" t="s">
        <v>877</v>
      </c>
      <c r="B92" s="426">
        <v>6688955</v>
      </c>
      <c r="C92" s="426">
        <v>1017476</v>
      </c>
      <c r="D92" s="426">
        <v>585106.07</v>
      </c>
      <c r="E92" s="409">
        <f t="shared" si="26"/>
        <v>8.747346483867808</v>
      </c>
      <c r="F92" s="409">
        <f t="shared" si="33"/>
        <v>57.505638462233996</v>
      </c>
      <c r="G92" s="426">
        <v>337122.72</v>
      </c>
      <c r="H92" s="399"/>
      <c r="I92" s="421" t="s">
        <v>877</v>
      </c>
      <c r="J92" s="414">
        <f>ROUND(B92/1000,0)</f>
        <v>6689</v>
      </c>
      <c r="K92" s="414">
        <v>1017</v>
      </c>
      <c r="L92" s="414">
        <f>ROUND(D92/1000,0)</f>
        <v>585</v>
      </c>
      <c r="M92" s="415">
        <f t="shared" si="28"/>
        <v>8.745701898639558</v>
      </c>
      <c r="N92" s="415">
        <f t="shared" si="29"/>
        <v>57.52212389380531</v>
      </c>
      <c r="O92" s="414">
        <f>ROUND(G92/1000,0)</f>
        <v>337</v>
      </c>
    </row>
    <row r="93" spans="1:15" s="424" customFormat="1" ht="12.75" customHeight="1">
      <c r="A93" s="418" t="s">
        <v>771</v>
      </c>
      <c r="B93" s="426"/>
      <c r="C93" s="426"/>
      <c r="D93" s="426"/>
      <c r="E93" s="426"/>
      <c r="F93" s="426"/>
      <c r="G93" s="426"/>
      <c r="H93" s="399"/>
      <c r="I93" s="418" t="s">
        <v>771</v>
      </c>
      <c r="J93" s="426"/>
      <c r="K93" s="426"/>
      <c r="L93" s="426"/>
      <c r="M93" s="415"/>
      <c r="N93" s="415"/>
      <c r="O93" s="426"/>
    </row>
    <row r="94" spans="1:15" s="424" customFormat="1" ht="12.75" customHeight="1">
      <c r="A94" s="412" t="s">
        <v>284</v>
      </c>
      <c r="B94" s="426">
        <f aca="true" t="shared" si="36" ref="B94:G94">SUM(B95:B97)</f>
        <v>76198416</v>
      </c>
      <c r="C94" s="426">
        <f t="shared" si="36"/>
        <v>14950040</v>
      </c>
      <c r="D94" s="426">
        <f t="shared" si="36"/>
        <v>14455054.37</v>
      </c>
      <c r="E94" s="409">
        <f t="shared" si="26"/>
        <v>18.970281967541162</v>
      </c>
      <c r="F94" s="409">
        <f aca="true" t="shared" si="37" ref="F94:F100">IF(ISERROR(D94/C94)," ",(D94/C94))*100</f>
        <v>96.6890681897841</v>
      </c>
      <c r="G94" s="426">
        <f t="shared" si="36"/>
        <v>5420833.17</v>
      </c>
      <c r="H94" s="399"/>
      <c r="I94" s="412" t="s">
        <v>284</v>
      </c>
      <c r="J94" s="414">
        <f>J95+J96+J97</f>
        <v>76199</v>
      </c>
      <c r="K94" s="414">
        <f>K95+K96+K97</f>
        <v>14950</v>
      </c>
      <c r="L94" s="414">
        <f>ROUND(D94/1000,0)</f>
        <v>14455</v>
      </c>
      <c r="M94" s="415">
        <f t="shared" si="28"/>
        <v>18.97006522395307</v>
      </c>
      <c r="N94" s="415">
        <f t="shared" si="29"/>
        <v>96.68896321070234</v>
      </c>
      <c r="O94" s="414">
        <f>ROUND(G94/1000,0)</f>
        <v>5421</v>
      </c>
    </row>
    <row r="95" spans="1:15" s="424" customFormat="1" ht="12.75" customHeight="1">
      <c r="A95" s="412" t="s">
        <v>285</v>
      </c>
      <c r="B95" s="426">
        <v>53338265</v>
      </c>
      <c r="C95" s="426">
        <v>12521102</v>
      </c>
      <c r="D95" s="426">
        <v>12521102</v>
      </c>
      <c r="E95" s="409">
        <f t="shared" si="26"/>
        <v>23.47489555575158</v>
      </c>
      <c r="F95" s="409">
        <f t="shared" si="37"/>
        <v>100</v>
      </c>
      <c r="G95" s="426">
        <f>D95-'[11]februāris'!D95</f>
        <v>4700694</v>
      </c>
      <c r="H95" s="399"/>
      <c r="I95" s="412" t="s">
        <v>285</v>
      </c>
      <c r="J95" s="414">
        <f>ROUND(B95/1000,0)</f>
        <v>53338</v>
      </c>
      <c r="K95" s="414">
        <f>ROUND(C95/1000,0)</f>
        <v>12521</v>
      </c>
      <c r="L95" s="414">
        <f>ROUND(D95/1000,0)</f>
        <v>12521</v>
      </c>
      <c r="M95" s="415">
        <f t="shared" si="28"/>
        <v>23.4748209531666</v>
      </c>
      <c r="N95" s="415">
        <f t="shared" si="29"/>
        <v>100</v>
      </c>
      <c r="O95" s="414">
        <f>ROUND(G95/1000,0)</f>
        <v>4701</v>
      </c>
    </row>
    <row r="96" spans="1:15" s="424" customFormat="1" ht="12.75" customHeight="1">
      <c r="A96" s="412" t="s">
        <v>929</v>
      </c>
      <c r="B96" s="426">
        <v>6626721</v>
      </c>
      <c r="C96" s="426">
        <v>1573268</v>
      </c>
      <c r="D96" s="426">
        <v>1889885.77</v>
      </c>
      <c r="E96" s="409">
        <f t="shared" si="26"/>
        <v>28.519169133573</v>
      </c>
      <c r="F96" s="409">
        <f t="shared" si="37"/>
        <v>120.12484649786306</v>
      </c>
      <c r="G96" s="426">
        <v>720139.17</v>
      </c>
      <c r="H96" s="399"/>
      <c r="I96" s="412" t="s">
        <v>929</v>
      </c>
      <c r="J96" s="414">
        <f>ROUND(B96/1000,0)</f>
        <v>6627</v>
      </c>
      <c r="K96" s="414">
        <f>ROUND(C96/1000,0)</f>
        <v>1573</v>
      </c>
      <c r="L96" s="414">
        <f>ROUND(D96/1000,0)</f>
        <v>1890</v>
      </c>
      <c r="M96" s="415">
        <f t="shared" si="28"/>
        <v>28.519692168401996</v>
      </c>
      <c r="N96" s="415">
        <f t="shared" si="29"/>
        <v>120.15257469802924</v>
      </c>
      <c r="O96" s="414">
        <f>ROUND(G96/1000,0)</f>
        <v>720</v>
      </c>
    </row>
    <row r="97" spans="1:15" s="424" customFormat="1" ht="12.75" customHeight="1">
      <c r="A97" s="412" t="s">
        <v>758</v>
      </c>
      <c r="B97" s="426">
        <v>16233430</v>
      </c>
      <c r="C97" s="426">
        <v>855670</v>
      </c>
      <c r="D97" s="426">
        <v>44066.6</v>
      </c>
      <c r="E97" s="409">
        <f t="shared" si="26"/>
        <v>0.2714558783941533</v>
      </c>
      <c r="F97" s="409">
        <f t="shared" si="37"/>
        <v>5.149952668668996</v>
      </c>
      <c r="G97" s="426"/>
      <c r="H97" s="399"/>
      <c r="I97" s="412" t="s">
        <v>758</v>
      </c>
      <c r="J97" s="414">
        <v>16234</v>
      </c>
      <c r="K97" s="414">
        <f>ROUND(C97/1000,0)</f>
        <v>856</v>
      </c>
      <c r="L97" s="414">
        <v>44</v>
      </c>
      <c r="M97" s="415">
        <f t="shared" si="28"/>
        <v>0.27103609708020204</v>
      </c>
      <c r="N97" s="415">
        <f t="shared" si="29"/>
        <v>5.14018691588785</v>
      </c>
      <c r="O97" s="414">
        <f>ROUND(G97/1000,0)</f>
        <v>0</v>
      </c>
    </row>
    <row r="98" spans="1:15" s="424" customFormat="1" ht="12.75" customHeight="1">
      <c r="A98" s="418" t="s">
        <v>881</v>
      </c>
      <c r="B98" s="428">
        <f aca="true" t="shared" si="38" ref="B98:G98">SUM(B99:B100)</f>
        <v>76198416</v>
      </c>
      <c r="C98" s="428">
        <f t="shared" si="38"/>
        <v>14993796</v>
      </c>
      <c r="D98" s="428">
        <f t="shared" si="38"/>
        <v>13694257.67</v>
      </c>
      <c r="E98" s="409">
        <f t="shared" si="26"/>
        <v>17.971840346392504</v>
      </c>
      <c r="F98" s="409">
        <f t="shared" si="37"/>
        <v>91.33282639032836</v>
      </c>
      <c r="G98" s="428">
        <f t="shared" si="38"/>
        <v>5603714.36</v>
      </c>
      <c r="H98" s="399"/>
      <c r="I98" s="418" t="s">
        <v>881</v>
      </c>
      <c r="J98" s="406">
        <f>J99+J100</f>
        <v>76198</v>
      </c>
      <c r="K98" s="406">
        <f>K99+K100</f>
        <v>14993</v>
      </c>
      <c r="L98" s="406">
        <f>L99+L100</f>
        <v>13695</v>
      </c>
      <c r="M98" s="411">
        <f t="shared" si="28"/>
        <v>17.972912674873356</v>
      </c>
      <c r="N98" s="411">
        <f t="shared" si="29"/>
        <v>91.34262655906089</v>
      </c>
      <c r="O98" s="406">
        <f>O99+O100</f>
        <v>5603</v>
      </c>
    </row>
    <row r="99" spans="1:15" ht="12.75" customHeight="1">
      <c r="A99" s="421" t="s">
        <v>876</v>
      </c>
      <c r="B99" s="426">
        <v>71241725</v>
      </c>
      <c r="C99" s="426">
        <v>13568297</v>
      </c>
      <c r="D99" s="426">
        <v>12877609.97</v>
      </c>
      <c r="E99" s="409">
        <f t="shared" si="26"/>
        <v>18.075937900156124</v>
      </c>
      <c r="F99" s="409">
        <f t="shared" si="37"/>
        <v>94.90955254001295</v>
      </c>
      <c r="G99" s="426">
        <v>5190281.94</v>
      </c>
      <c r="I99" s="421" t="s">
        <v>876</v>
      </c>
      <c r="J99" s="414">
        <v>71241</v>
      </c>
      <c r="K99" s="414">
        <f>ROUND(C99/1000,0)</f>
        <v>13568</v>
      </c>
      <c r="L99" s="414">
        <f>ROUND(D99/1000,0)</f>
        <v>12878</v>
      </c>
      <c r="M99" s="415">
        <f t="shared" si="28"/>
        <v>18.076669333670218</v>
      </c>
      <c r="N99" s="415">
        <f t="shared" si="29"/>
        <v>94.91450471698113</v>
      </c>
      <c r="O99" s="414">
        <f>ROUND(G99/1000,0)</f>
        <v>5190</v>
      </c>
    </row>
    <row r="100" spans="1:15" ht="12.75" customHeight="1">
      <c r="A100" s="421" t="s">
        <v>877</v>
      </c>
      <c r="B100" s="426">
        <v>4956691</v>
      </c>
      <c r="C100" s="426">
        <v>1425499</v>
      </c>
      <c r="D100" s="426">
        <v>816647.7</v>
      </c>
      <c r="E100" s="409">
        <f t="shared" si="26"/>
        <v>16.4756628968802</v>
      </c>
      <c r="F100" s="409">
        <f t="shared" si="37"/>
        <v>57.288549483373885</v>
      </c>
      <c r="G100" s="426">
        <v>413432.42</v>
      </c>
      <c r="I100" s="421" t="s">
        <v>877</v>
      </c>
      <c r="J100" s="414">
        <f>ROUND(B100/1000,0)</f>
        <v>4957</v>
      </c>
      <c r="K100" s="414">
        <f>ROUND(C100/1000,0)</f>
        <v>1425</v>
      </c>
      <c r="L100" s="414">
        <f>ROUND(D100/1000,0)</f>
        <v>817</v>
      </c>
      <c r="M100" s="415">
        <f t="shared" si="28"/>
        <v>16.48174298971152</v>
      </c>
      <c r="N100" s="415">
        <f t="shared" si="29"/>
        <v>57.333333333333336</v>
      </c>
      <c r="O100" s="414">
        <f>ROUND(G100/1000,0)</f>
        <v>413</v>
      </c>
    </row>
    <row r="101" spans="1:15" ht="12.75" customHeight="1">
      <c r="A101" s="418" t="s">
        <v>772</v>
      </c>
      <c r="B101" s="426"/>
      <c r="C101" s="426"/>
      <c r="D101" s="426"/>
      <c r="E101" s="426"/>
      <c r="F101" s="426"/>
      <c r="G101" s="426"/>
      <c r="I101" s="418" t="s">
        <v>772</v>
      </c>
      <c r="J101" s="426"/>
      <c r="K101" s="426"/>
      <c r="L101" s="426"/>
      <c r="M101" s="415"/>
      <c r="N101" s="415"/>
      <c r="O101" s="426"/>
    </row>
    <row r="102" spans="1:15" ht="12.75" customHeight="1">
      <c r="A102" s="412" t="s">
        <v>284</v>
      </c>
      <c r="B102" s="426">
        <f>SUM(B103:B105)</f>
        <v>17518289</v>
      </c>
      <c r="C102" s="426">
        <f>C103+C104+C105</f>
        <v>2624788</v>
      </c>
      <c r="D102" s="426">
        <f>SUM(D103:D105)</f>
        <v>2016480.25</v>
      </c>
      <c r="E102" s="409">
        <f t="shared" si="26"/>
        <v>11.51071460232218</v>
      </c>
      <c r="F102" s="409">
        <f aca="true" t="shared" si="39" ref="F102:F108">IF(ISERROR(D102/C102)," ",(D102/C102))*100</f>
        <v>76.8244997310259</v>
      </c>
      <c r="G102" s="426">
        <f>SUM(G103:G105)</f>
        <v>721342.61</v>
      </c>
      <c r="I102" s="412" t="s">
        <v>284</v>
      </c>
      <c r="J102" s="414">
        <f>J103+J104+J105</f>
        <v>17519</v>
      </c>
      <c r="K102" s="414">
        <f>K103+K104+K105</f>
        <v>2625</v>
      </c>
      <c r="L102" s="414">
        <f>L103+L104+L105</f>
        <v>2017</v>
      </c>
      <c r="M102" s="415">
        <f t="shared" si="28"/>
        <v>11.513214224556197</v>
      </c>
      <c r="N102" s="415">
        <f t="shared" si="29"/>
        <v>76.83809523809524</v>
      </c>
      <c r="O102" s="414">
        <f>O103+O104+O105</f>
        <v>721</v>
      </c>
    </row>
    <row r="103" spans="1:15" ht="12.75" customHeight="1">
      <c r="A103" s="412" t="s">
        <v>285</v>
      </c>
      <c r="B103" s="426">
        <v>9585836</v>
      </c>
      <c r="C103" s="426">
        <v>1924783</v>
      </c>
      <c r="D103" s="426">
        <v>1924783</v>
      </c>
      <c r="E103" s="409">
        <f t="shared" si="26"/>
        <v>20.079448469596183</v>
      </c>
      <c r="F103" s="409">
        <f t="shared" si="39"/>
        <v>100</v>
      </c>
      <c r="G103" s="426">
        <f>D103-'[11]februāris'!D103</f>
        <v>721268</v>
      </c>
      <c r="I103" s="412" t="s">
        <v>285</v>
      </c>
      <c r="J103" s="414">
        <f aca="true" t="shared" si="40" ref="J103:L104">ROUND(B103/1000,0)</f>
        <v>9586</v>
      </c>
      <c r="K103" s="414">
        <f t="shared" si="40"/>
        <v>1925</v>
      </c>
      <c r="L103" s="414">
        <f t="shared" si="40"/>
        <v>1925</v>
      </c>
      <c r="M103" s="415">
        <f t="shared" si="28"/>
        <v>20.081368662633007</v>
      </c>
      <c r="N103" s="415">
        <f t="shared" si="29"/>
        <v>100</v>
      </c>
      <c r="O103" s="414">
        <f>ROUND(G103/1000,0)</f>
        <v>721</v>
      </c>
    </row>
    <row r="104" spans="1:15" ht="12.75" customHeight="1">
      <c r="A104" s="412" t="s">
        <v>929</v>
      </c>
      <c r="B104" s="426">
        <v>58722</v>
      </c>
      <c r="C104" s="426">
        <v>14676</v>
      </c>
      <c r="D104" s="426">
        <v>1213.88</v>
      </c>
      <c r="E104" s="409">
        <f t="shared" si="26"/>
        <v>2.067163924934437</v>
      </c>
      <c r="F104" s="409">
        <f t="shared" si="39"/>
        <v>8.271191060234397</v>
      </c>
      <c r="G104" s="426">
        <v>74.61</v>
      </c>
      <c r="I104" s="412" t="s">
        <v>929</v>
      </c>
      <c r="J104" s="414">
        <f t="shared" si="40"/>
        <v>59</v>
      </c>
      <c r="K104" s="414">
        <f t="shared" si="40"/>
        <v>15</v>
      </c>
      <c r="L104" s="414">
        <f t="shared" si="40"/>
        <v>1</v>
      </c>
      <c r="M104" s="415">
        <f t="shared" si="28"/>
        <v>1.694915254237288</v>
      </c>
      <c r="N104" s="415">
        <f t="shared" si="29"/>
        <v>6.666666666666667</v>
      </c>
      <c r="O104" s="414">
        <f>ROUND(G104/1000,0)</f>
        <v>0</v>
      </c>
    </row>
    <row r="105" spans="1:15" ht="12.75" customHeight="1">
      <c r="A105" s="412" t="s">
        <v>758</v>
      </c>
      <c r="B105" s="426">
        <v>7873731</v>
      </c>
      <c r="C105" s="426">
        <v>685329</v>
      </c>
      <c r="D105" s="426">
        <v>90483.37</v>
      </c>
      <c r="E105" s="409">
        <f t="shared" si="26"/>
        <v>1.1491803568092434</v>
      </c>
      <c r="F105" s="409">
        <f t="shared" si="39"/>
        <v>13.202909843301539</v>
      </c>
      <c r="G105" s="426"/>
      <c r="I105" s="412" t="s">
        <v>758</v>
      </c>
      <c r="J105" s="414">
        <f>ROUND(B105/1000,0)</f>
        <v>7874</v>
      </c>
      <c r="K105" s="414">
        <f>ROUND(C105/1000,0)</f>
        <v>685</v>
      </c>
      <c r="L105" s="414">
        <v>91</v>
      </c>
      <c r="M105" s="415">
        <f t="shared" si="28"/>
        <v>1.1557023114046228</v>
      </c>
      <c r="N105" s="415">
        <f t="shared" si="29"/>
        <v>13.284671532846716</v>
      </c>
      <c r="O105" s="414">
        <f>ROUND(G105/1000,0)</f>
        <v>0</v>
      </c>
    </row>
    <row r="106" spans="1:15" ht="12.75" customHeight="1">
      <c r="A106" s="418" t="s">
        <v>881</v>
      </c>
      <c r="B106" s="428">
        <f aca="true" t="shared" si="41" ref="B106:G106">SUM(B107:B108)</f>
        <v>17518289</v>
      </c>
      <c r="C106" s="428">
        <f t="shared" si="41"/>
        <v>2624788</v>
      </c>
      <c r="D106" s="428">
        <f t="shared" si="41"/>
        <v>1730429.12</v>
      </c>
      <c r="E106" s="409">
        <f t="shared" si="26"/>
        <v>9.877843207176227</v>
      </c>
      <c r="F106" s="409">
        <f t="shared" si="39"/>
        <v>65.9264336776913</v>
      </c>
      <c r="G106" s="428">
        <f t="shared" si="41"/>
        <v>680672.1499999999</v>
      </c>
      <c r="I106" s="418" t="s">
        <v>881</v>
      </c>
      <c r="J106" s="406">
        <f>J107+J108</f>
        <v>17518</v>
      </c>
      <c r="K106" s="406">
        <f>K107+K108</f>
        <v>2624</v>
      </c>
      <c r="L106" s="406">
        <f>L107+L108</f>
        <v>1730</v>
      </c>
      <c r="M106" s="411">
        <f t="shared" si="28"/>
        <v>9.875556570384747</v>
      </c>
      <c r="N106" s="411">
        <f t="shared" si="29"/>
        <v>65.9298780487805</v>
      </c>
      <c r="O106" s="406">
        <f>O107+O108</f>
        <v>681</v>
      </c>
    </row>
    <row r="107" spans="1:15" ht="12.75" customHeight="1">
      <c r="A107" s="421" t="s">
        <v>876</v>
      </c>
      <c r="B107" s="426">
        <v>7125586</v>
      </c>
      <c r="C107" s="426">
        <v>1754185</v>
      </c>
      <c r="D107" s="426">
        <v>1633318.76</v>
      </c>
      <c r="E107" s="409">
        <f t="shared" si="26"/>
        <v>22.921886845516987</v>
      </c>
      <c r="F107" s="409">
        <f t="shared" si="39"/>
        <v>93.10983505160516</v>
      </c>
      <c r="G107" s="426">
        <v>623992.7</v>
      </c>
      <c r="I107" s="421" t="s">
        <v>876</v>
      </c>
      <c r="J107" s="414">
        <f>ROUND(B107/1000,0)</f>
        <v>7126</v>
      </c>
      <c r="K107" s="414">
        <f>ROUND(C107/1000,0)</f>
        <v>1754</v>
      </c>
      <c r="L107" s="414">
        <f>ROUND(D107/1000,0)</f>
        <v>1633</v>
      </c>
      <c r="M107" s="415">
        <f t="shared" si="28"/>
        <v>22.916081953410046</v>
      </c>
      <c r="N107" s="415">
        <f t="shared" si="29"/>
        <v>93.10148232611174</v>
      </c>
      <c r="O107" s="414">
        <f>ROUND(G107/1000,0)</f>
        <v>624</v>
      </c>
    </row>
    <row r="108" spans="1:15" ht="12.75" customHeight="1">
      <c r="A108" s="421" t="s">
        <v>877</v>
      </c>
      <c r="B108" s="426">
        <v>10392703</v>
      </c>
      <c r="C108" s="426">
        <v>870603</v>
      </c>
      <c r="D108" s="426">
        <v>97110.36</v>
      </c>
      <c r="E108" s="409">
        <f t="shared" si="26"/>
        <v>0.934409075290615</v>
      </c>
      <c r="F108" s="409">
        <f t="shared" si="39"/>
        <v>11.154379206136436</v>
      </c>
      <c r="G108" s="426">
        <v>56679.45</v>
      </c>
      <c r="I108" s="421" t="s">
        <v>877</v>
      </c>
      <c r="J108" s="414">
        <v>10392</v>
      </c>
      <c r="K108" s="414">
        <f>ROUND(C108/1000,0)-1</f>
        <v>870</v>
      </c>
      <c r="L108" s="414">
        <f>ROUND(D108/1000,0)</f>
        <v>97</v>
      </c>
      <c r="M108" s="415">
        <f t="shared" si="28"/>
        <v>0.9334103156274057</v>
      </c>
      <c r="N108" s="415">
        <f t="shared" si="29"/>
        <v>11.149425287356323</v>
      </c>
      <c r="O108" s="414">
        <f>ROUND(G108/1000,0)</f>
        <v>57</v>
      </c>
    </row>
    <row r="109" spans="1:15" ht="12.75" customHeight="1">
      <c r="A109" s="418" t="s">
        <v>773</v>
      </c>
      <c r="B109" s="428"/>
      <c r="C109" s="428"/>
      <c r="D109" s="428"/>
      <c r="E109" s="428"/>
      <c r="F109" s="428"/>
      <c r="G109" s="428"/>
      <c r="I109" s="418" t="s">
        <v>773</v>
      </c>
      <c r="J109" s="428"/>
      <c r="K109" s="428"/>
      <c r="L109" s="428"/>
      <c r="M109" s="415"/>
      <c r="N109" s="415"/>
      <c r="O109" s="428"/>
    </row>
    <row r="110" spans="1:15" ht="12.75" customHeight="1">
      <c r="A110" s="412" t="s">
        <v>284</v>
      </c>
      <c r="B110" s="426">
        <f>SUM(B111:B114)</f>
        <v>162542594</v>
      </c>
      <c r="C110" s="426">
        <f>SUM(C111:C114)</f>
        <v>38309034</v>
      </c>
      <c r="D110" s="426">
        <f>SUM(D111:D114)</f>
        <v>37701498.5</v>
      </c>
      <c r="E110" s="409">
        <f t="shared" si="26"/>
        <v>23.194842393126812</v>
      </c>
      <c r="F110" s="409">
        <f aca="true" t="shared" si="42" ref="F110:F198">IF(ISERROR(D110/C110)," ",(D110/C110))*100</f>
        <v>98.41411949985479</v>
      </c>
      <c r="G110" s="426">
        <f>SUM(G111:G114)</f>
        <v>12215014.979999999</v>
      </c>
      <c r="I110" s="412" t="s">
        <v>284</v>
      </c>
      <c r="J110" s="414">
        <f>J111+J112+J113+J114</f>
        <v>162542</v>
      </c>
      <c r="K110" s="414">
        <f>K111+K112+K113+K114</f>
        <v>38308</v>
      </c>
      <c r="L110" s="414">
        <f>L111+L112+L113+L114</f>
        <v>37702</v>
      </c>
      <c r="M110" s="415">
        <f t="shared" si="28"/>
        <v>23.1952356929286</v>
      </c>
      <c r="N110" s="415">
        <f t="shared" si="29"/>
        <v>98.41808499530124</v>
      </c>
      <c r="O110" s="414">
        <f>O111+O112+O113+O114</f>
        <v>12215</v>
      </c>
    </row>
    <row r="111" spans="1:15" ht="12.75" customHeight="1">
      <c r="A111" s="412" t="s">
        <v>285</v>
      </c>
      <c r="B111" s="426">
        <v>154077482</v>
      </c>
      <c r="C111" s="426">
        <v>36563256</v>
      </c>
      <c r="D111" s="426">
        <v>36563256</v>
      </c>
      <c r="E111" s="409">
        <f t="shared" si="26"/>
        <v>23.73043453552804</v>
      </c>
      <c r="F111" s="409">
        <f t="shared" si="42"/>
        <v>100</v>
      </c>
      <c r="G111" s="426">
        <f>D111-'[11]februāris'!D111</f>
        <v>11834072</v>
      </c>
      <c r="I111" s="412" t="s">
        <v>285</v>
      </c>
      <c r="J111" s="414">
        <f>ROUND(B111/1000,0)</f>
        <v>154077</v>
      </c>
      <c r="K111" s="414">
        <f>ROUND(C111/1000,0)</f>
        <v>36563</v>
      </c>
      <c r="L111" s="414">
        <f>ROUND(D111/1000,0)</f>
        <v>36563</v>
      </c>
      <c r="M111" s="415">
        <f t="shared" si="28"/>
        <v>23.730342620897343</v>
      </c>
      <c r="N111" s="415">
        <f t="shared" si="29"/>
        <v>100</v>
      </c>
      <c r="O111" s="414">
        <v>11834</v>
      </c>
    </row>
    <row r="112" spans="1:15" ht="12.75" customHeight="1">
      <c r="A112" s="412" t="s">
        <v>286</v>
      </c>
      <c r="B112" s="426">
        <v>123902</v>
      </c>
      <c r="C112" s="426"/>
      <c r="D112" s="426"/>
      <c r="E112" s="409">
        <f t="shared" si="26"/>
        <v>0</v>
      </c>
      <c r="F112" s="409"/>
      <c r="G112" s="426"/>
      <c r="I112" s="412" t="s">
        <v>286</v>
      </c>
      <c r="J112" s="414">
        <f>ROUND(B112/1000,0)</f>
        <v>124</v>
      </c>
      <c r="K112" s="414"/>
      <c r="L112" s="414"/>
      <c r="M112" s="415"/>
      <c r="N112" s="415"/>
      <c r="O112" s="414"/>
    </row>
    <row r="113" spans="1:15" ht="12.75" customHeight="1">
      <c r="A113" s="412" t="s">
        <v>929</v>
      </c>
      <c r="B113" s="426">
        <v>5299958</v>
      </c>
      <c r="C113" s="426">
        <v>1313280</v>
      </c>
      <c r="D113" s="426">
        <v>1129703.81</v>
      </c>
      <c r="E113" s="409">
        <f t="shared" si="26"/>
        <v>21.31533514039168</v>
      </c>
      <c r="F113" s="409">
        <f t="shared" si="42"/>
        <v>86.02154985989279</v>
      </c>
      <c r="G113" s="426">
        <v>372404.29</v>
      </c>
      <c r="I113" s="412" t="s">
        <v>929</v>
      </c>
      <c r="J113" s="414">
        <f>ROUND(B113/1000,0)</f>
        <v>5300</v>
      </c>
      <c r="K113" s="414">
        <f>ROUND(C113/1000,0)</f>
        <v>1313</v>
      </c>
      <c r="L113" s="414">
        <f>ROUND(D113/1000,0)</f>
        <v>1130</v>
      </c>
      <c r="M113" s="415">
        <f t="shared" si="28"/>
        <v>21.32075471698113</v>
      </c>
      <c r="N113" s="415">
        <f t="shared" si="29"/>
        <v>86.06245239908607</v>
      </c>
      <c r="O113" s="414">
        <f>ROUND(G113/1000,0)</f>
        <v>372</v>
      </c>
    </row>
    <row r="114" spans="1:15" ht="12.75" customHeight="1">
      <c r="A114" s="412" t="s">
        <v>758</v>
      </c>
      <c r="B114" s="426">
        <v>3041252</v>
      </c>
      <c r="C114" s="426">
        <v>432498</v>
      </c>
      <c r="D114" s="426">
        <v>8538.69</v>
      </c>
      <c r="E114" s="409">
        <f t="shared" si="26"/>
        <v>0.28076233077693</v>
      </c>
      <c r="F114" s="409">
        <f t="shared" si="42"/>
        <v>1.9742727133998308</v>
      </c>
      <c r="G114" s="426">
        <v>8538.69</v>
      </c>
      <c r="I114" s="412" t="s">
        <v>758</v>
      </c>
      <c r="J114" s="414">
        <f>ROUND(B114/1000,0)</f>
        <v>3041</v>
      </c>
      <c r="K114" s="414">
        <f>ROUND(C114/1000,0)</f>
        <v>432</v>
      </c>
      <c r="L114" s="414">
        <f>ROUND(D114/1000,0)</f>
        <v>9</v>
      </c>
      <c r="M114" s="415">
        <f t="shared" si="28"/>
        <v>0.295955277869122</v>
      </c>
      <c r="N114" s="415">
        <f t="shared" si="29"/>
        <v>2.083333333333333</v>
      </c>
      <c r="O114" s="414">
        <f>ROUND(G114/1000,0)</f>
        <v>9</v>
      </c>
    </row>
    <row r="115" spans="1:15" ht="12.75" customHeight="1">
      <c r="A115" s="418" t="s">
        <v>881</v>
      </c>
      <c r="B115" s="428">
        <f aca="true" t="shared" si="43" ref="B115:G115">SUM(B116:B117)</f>
        <v>162542594</v>
      </c>
      <c r="C115" s="428">
        <f t="shared" si="43"/>
        <v>38309034</v>
      </c>
      <c r="D115" s="428">
        <f t="shared" si="43"/>
        <v>37118086.43000001</v>
      </c>
      <c r="E115" s="408">
        <f t="shared" si="26"/>
        <v>22.8359136621137</v>
      </c>
      <c r="F115" s="408">
        <f t="shared" si="42"/>
        <v>96.89120960345804</v>
      </c>
      <c r="G115" s="428">
        <f t="shared" si="43"/>
        <v>12202603.94</v>
      </c>
      <c r="I115" s="418" t="s">
        <v>881</v>
      </c>
      <c r="J115" s="406">
        <f>J116+J117</f>
        <v>162543</v>
      </c>
      <c r="K115" s="406">
        <f>K116+K117</f>
        <v>38309</v>
      </c>
      <c r="L115" s="406">
        <f>L116+L117</f>
        <v>37119</v>
      </c>
      <c r="M115" s="411">
        <f t="shared" si="28"/>
        <v>22.83641867075174</v>
      </c>
      <c r="N115" s="411">
        <f t="shared" si="29"/>
        <v>96.89368033621342</v>
      </c>
      <c r="O115" s="406">
        <f>O116+O117</f>
        <v>12203</v>
      </c>
    </row>
    <row r="116" spans="1:15" ht="12.75" customHeight="1">
      <c r="A116" s="421" t="s">
        <v>876</v>
      </c>
      <c r="B116" s="426">
        <v>158965890</v>
      </c>
      <c r="C116" s="426">
        <v>37617351</v>
      </c>
      <c r="D116" s="426">
        <v>36654565.84</v>
      </c>
      <c r="E116" s="409">
        <f t="shared" si="26"/>
        <v>23.058132684942663</v>
      </c>
      <c r="F116" s="409">
        <f t="shared" si="42"/>
        <v>97.44058224620869</v>
      </c>
      <c r="G116" s="426">
        <v>11989114</v>
      </c>
      <c r="I116" s="421" t="s">
        <v>876</v>
      </c>
      <c r="J116" s="414">
        <f aca="true" t="shared" si="44" ref="J116:L117">ROUND(B116/1000,0)</f>
        <v>158966</v>
      </c>
      <c r="K116" s="414">
        <f t="shared" si="44"/>
        <v>37617</v>
      </c>
      <c r="L116" s="414">
        <f t="shared" si="44"/>
        <v>36655</v>
      </c>
      <c r="M116" s="415">
        <f t="shared" si="28"/>
        <v>23.058389844369238</v>
      </c>
      <c r="N116" s="415">
        <f t="shared" si="29"/>
        <v>97.44264561235612</v>
      </c>
      <c r="O116" s="414">
        <v>11989</v>
      </c>
    </row>
    <row r="117" spans="1:15" ht="12.75" customHeight="1">
      <c r="A117" s="421" t="s">
        <v>877</v>
      </c>
      <c r="B117" s="426">
        <v>3576704</v>
      </c>
      <c r="C117" s="426">
        <v>691683</v>
      </c>
      <c r="D117" s="426">
        <v>463520.59</v>
      </c>
      <c r="E117" s="409">
        <f t="shared" si="26"/>
        <v>12.959433881025658</v>
      </c>
      <c r="F117" s="409">
        <f t="shared" si="42"/>
        <v>67.01344257412717</v>
      </c>
      <c r="G117" s="426">
        <v>213489.94</v>
      </c>
      <c r="I117" s="421" t="s">
        <v>877</v>
      </c>
      <c r="J117" s="414">
        <f t="shared" si="44"/>
        <v>3577</v>
      </c>
      <c r="K117" s="414">
        <f t="shared" si="44"/>
        <v>692</v>
      </c>
      <c r="L117" s="414">
        <f t="shared" si="44"/>
        <v>464</v>
      </c>
      <c r="M117" s="415">
        <f t="shared" si="28"/>
        <v>12.971764048084989</v>
      </c>
      <c r="N117" s="415">
        <f t="shared" si="29"/>
        <v>67.05202312138728</v>
      </c>
      <c r="O117" s="414">
        <v>214</v>
      </c>
    </row>
    <row r="118" spans="1:15" ht="12.75" customHeight="1">
      <c r="A118" s="418" t="s">
        <v>882</v>
      </c>
      <c r="B118" s="428"/>
      <c r="C118" s="428"/>
      <c r="D118" s="428"/>
      <c r="E118" s="428"/>
      <c r="F118" s="428"/>
      <c r="G118" s="428"/>
      <c r="I118" s="418" t="s">
        <v>882</v>
      </c>
      <c r="J118" s="428"/>
      <c r="K118" s="428"/>
      <c r="L118" s="428"/>
      <c r="M118" s="415"/>
      <c r="N118" s="415"/>
      <c r="O118" s="428"/>
    </row>
    <row r="119" spans="1:15" ht="12.75" customHeight="1">
      <c r="A119" s="412" t="s">
        <v>284</v>
      </c>
      <c r="B119" s="426">
        <f aca="true" t="shared" si="45" ref="B119:G119">SUM(B120:B122)</f>
        <v>28473512</v>
      </c>
      <c r="C119" s="426">
        <f t="shared" si="45"/>
        <v>6972729</v>
      </c>
      <c r="D119" s="426">
        <f t="shared" si="45"/>
        <v>6318243.54</v>
      </c>
      <c r="E119" s="409">
        <f t="shared" si="26"/>
        <v>22.18989894888976</v>
      </c>
      <c r="F119" s="409">
        <f t="shared" si="42"/>
        <v>90.6136397958389</v>
      </c>
      <c r="G119" s="426">
        <f t="shared" si="45"/>
        <v>1981937.9300000002</v>
      </c>
      <c r="I119" s="412" t="s">
        <v>284</v>
      </c>
      <c r="J119" s="414">
        <f>J120+J121+J122</f>
        <v>28473</v>
      </c>
      <c r="K119" s="414">
        <f>K120+K121+K122</f>
        <v>6974</v>
      </c>
      <c r="L119" s="414">
        <f>L120+L121+L122</f>
        <v>6335</v>
      </c>
      <c r="M119" s="415">
        <f t="shared" si="28"/>
        <v>22.249148315948442</v>
      </c>
      <c r="N119" s="415">
        <f t="shared" si="29"/>
        <v>90.83739604244336</v>
      </c>
      <c r="O119" s="414">
        <f>O120+O121+O122</f>
        <v>1989</v>
      </c>
    </row>
    <row r="120" spans="1:15" ht="12.75" customHeight="1">
      <c r="A120" s="412" t="s">
        <v>285</v>
      </c>
      <c r="B120" s="426">
        <v>24720936</v>
      </c>
      <c r="C120" s="426">
        <v>5901622</v>
      </c>
      <c r="D120" s="426">
        <v>5901622</v>
      </c>
      <c r="E120" s="409">
        <f t="shared" si="26"/>
        <v>23.872971476484548</v>
      </c>
      <c r="F120" s="409">
        <f t="shared" si="42"/>
        <v>100</v>
      </c>
      <c r="G120" s="426">
        <f>D120-'[11]februāris'!D120</f>
        <v>1920947</v>
      </c>
      <c r="I120" s="412" t="s">
        <v>285</v>
      </c>
      <c r="J120" s="414">
        <f aca="true" t="shared" si="46" ref="J120:L121">ROUND(B120/1000,0)</f>
        <v>24721</v>
      </c>
      <c r="K120" s="414">
        <f t="shared" si="46"/>
        <v>5902</v>
      </c>
      <c r="L120" s="414">
        <f t="shared" si="46"/>
        <v>5902</v>
      </c>
      <c r="M120" s="415">
        <f t="shared" si="28"/>
        <v>23.874438736297076</v>
      </c>
      <c r="N120" s="415">
        <f t="shared" si="29"/>
        <v>100</v>
      </c>
      <c r="O120" s="414">
        <f>ROUND(G120/1000,0)</f>
        <v>1921</v>
      </c>
    </row>
    <row r="121" spans="1:15" ht="12.75" customHeight="1">
      <c r="A121" s="412" t="s">
        <v>929</v>
      </c>
      <c r="B121" s="426">
        <v>1329472</v>
      </c>
      <c r="C121" s="426">
        <v>328553</v>
      </c>
      <c r="D121" s="426">
        <v>180756.78</v>
      </c>
      <c r="E121" s="409">
        <f t="shared" si="26"/>
        <v>13.59613290088095</v>
      </c>
      <c r="F121" s="409">
        <f t="shared" si="42"/>
        <v>55.01601872452846</v>
      </c>
      <c r="G121" s="426">
        <v>55726.82</v>
      </c>
      <c r="I121" s="412" t="s">
        <v>929</v>
      </c>
      <c r="J121" s="414">
        <f t="shared" si="46"/>
        <v>1329</v>
      </c>
      <c r="K121" s="414">
        <f t="shared" si="46"/>
        <v>329</v>
      </c>
      <c r="L121" s="414">
        <f t="shared" si="46"/>
        <v>181</v>
      </c>
      <c r="M121" s="415">
        <f t="shared" si="28"/>
        <v>13.61926260346125</v>
      </c>
      <c r="N121" s="415">
        <f t="shared" si="29"/>
        <v>55.01519756838906</v>
      </c>
      <c r="O121" s="414">
        <f>ROUND(G121/1000,0)</f>
        <v>56</v>
      </c>
    </row>
    <row r="122" spans="1:15" ht="12.75" customHeight="1">
      <c r="A122" s="412" t="s">
        <v>758</v>
      </c>
      <c r="B122" s="426">
        <v>2423104</v>
      </c>
      <c r="C122" s="426">
        <v>742554</v>
      </c>
      <c r="D122" s="426">
        <v>235864.76</v>
      </c>
      <c r="E122" s="409">
        <f t="shared" si="26"/>
        <v>9.733992432846465</v>
      </c>
      <c r="F122" s="409">
        <f t="shared" si="42"/>
        <v>31.763987534913284</v>
      </c>
      <c r="G122" s="426">
        <v>5264.11</v>
      </c>
      <c r="I122" s="412" t="s">
        <v>758</v>
      </c>
      <c r="J122" s="414">
        <f>ROUND(B122/1000,0)</f>
        <v>2423</v>
      </c>
      <c r="K122" s="414">
        <f>ROUND(C122/1000,0)</f>
        <v>743</v>
      </c>
      <c r="L122" s="414">
        <v>252</v>
      </c>
      <c r="M122" s="415">
        <f t="shared" si="28"/>
        <v>10.40033016921172</v>
      </c>
      <c r="N122" s="415">
        <f t="shared" si="29"/>
        <v>33.91655450874832</v>
      </c>
      <c r="O122" s="414">
        <v>12</v>
      </c>
    </row>
    <row r="123" spans="1:15" ht="12.75" customHeight="1">
      <c r="A123" s="418" t="s">
        <v>881</v>
      </c>
      <c r="B123" s="428">
        <f aca="true" t="shared" si="47" ref="B123:G123">SUM(B124:B125)</f>
        <v>28473512</v>
      </c>
      <c r="C123" s="428">
        <f t="shared" si="47"/>
        <v>6972729</v>
      </c>
      <c r="D123" s="428">
        <f t="shared" si="47"/>
        <v>6281427.35</v>
      </c>
      <c r="E123" s="409">
        <f t="shared" si="26"/>
        <v>22.06059916318015</v>
      </c>
      <c r="F123" s="409">
        <f t="shared" si="42"/>
        <v>90.08563720173262</v>
      </c>
      <c r="G123" s="428">
        <f t="shared" si="47"/>
        <v>2047487.3599999999</v>
      </c>
      <c r="I123" s="418" t="s">
        <v>881</v>
      </c>
      <c r="J123" s="406">
        <f>J124+J125</f>
        <v>28473</v>
      </c>
      <c r="K123" s="406">
        <f>K124+K125</f>
        <v>6973</v>
      </c>
      <c r="L123" s="406">
        <f>L124+L125</f>
        <v>6282</v>
      </c>
      <c r="M123" s="411">
        <f t="shared" si="28"/>
        <v>22.063007059319357</v>
      </c>
      <c r="N123" s="411">
        <f t="shared" si="29"/>
        <v>90.09034848702136</v>
      </c>
      <c r="O123" s="406">
        <f>O124+O125</f>
        <v>2047</v>
      </c>
    </row>
    <row r="124" spans="1:15" ht="12.75" customHeight="1">
      <c r="A124" s="421" t="s">
        <v>876</v>
      </c>
      <c r="B124" s="426">
        <v>25018324</v>
      </c>
      <c r="C124" s="426">
        <v>5878869</v>
      </c>
      <c r="D124" s="426">
        <v>5387870.88</v>
      </c>
      <c r="E124" s="409">
        <f t="shared" si="26"/>
        <v>21.53569871427039</v>
      </c>
      <c r="F124" s="409">
        <f t="shared" si="42"/>
        <v>91.648085371523</v>
      </c>
      <c r="G124" s="426">
        <v>1549157.75</v>
      </c>
      <c r="I124" s="421" t="s">
        <v>876</v>
      </c>
      <c r="J124" s="414">
        <f aca="true" t="shared" si="48" ref="J124:L125">ROUND(B124/1000,0)</f>
        <v>25018</v>
      </c>
      <c r="K124" s="414">
        <f t="shared" si="48"/>
        <v>5879</v>
      </c>
      <c r="L124" s="414">
        <f t="shared" si="48"/>
        <v>5388</v>
      </c>
      <c r="M124" s="415">
        <f t="shared" si="28"/>
        <v>21.536493724518348</v>
      </c>
      <c r="N124" s="415">
        <f t="shared" si="29"/>
        <v>91.64823949651301</v>
      </c>
      <c r="O124" s="414">
        <f>ROUND(G124/1000,0)</f>
        <v>1549</v>
      </c>
    </row>
    <row r="125" spans="1:15" ht="12.75" customHeight="1">
      <c r="A125" s="421" t="s">
        <v>877</v>
      </c>
      <c r="B125" s="426">
        <v>3455188</v>
      </c>
      <c r="C125" s="426">
        <v>1093860</v>
      </c>
      <c r="D125" s="426">
        <v>893556.47</v>
      </c>
      <c r="E125" s="409">
        <f t="shared" si="26"/>
        <v>25.8612981406511</v>
      </c>
      <c r="F125" s="409">
        <f t="shared" si="42"/>
        <v>81.68837602618251</v>
      </c>
      <c r="G125" s="426">
        <v>498329.61</v>
      </c>
      <c r="I125" s="421" t="s">
        <v>877</v>
      </c>
      <c r="J125" s="414">
        <f t="shared" si="48"/>
        <v>3455</v>
      </c>
      <c r="K125" s="414">
        <f t="shared" si="48"/>
        <v>1094</v>
      </c>
      <c r="L125" s="414">
        <f t="shared" si="48"/>
        <v>894</v>
      </c>
      <c r="M125" s="415">
        <f t="shared" si="28"/>
        <v>25.875542691751086</v>
      </c>
      <c r="N125" s="415">
        <f t="shared" si="29"/>
        <v>81.71846435100548</v>
      </c>
      <c r="O125" s="414">
        <f>ROUND(G125/1000,0)</f>
        <v>498</v>
      </c>
    </row>
    <row r="126" spans="1:15" ht="25.5" customHeight="1">
      <c r="A126" s="427" t="s">
        <v>883</v>
      </c>
      <c r="B126" s="426"/>
      <c r="C126" s="426"/>
      <c r="D126" s="426"/>
      <c r="E126" s="426"/>
      <c r="F126" s="426"/>
      <c r="G126" s="426"/>
      <c r="I126" s="427" t="s">
        <v>883</v>
      </c>
      <c r="J126" s="426"/>
      <c r="K126" s="426"/>
      <c r="L126" s="426"/>
      <c r="M126" s="415"/>
      <c r="N126" s="415"/>
      <c r="O126" s="426"/>
    </row>
    <row r="127" spans="1:15" ht="12.75" customHeight="1">
      <c r="A127" s="412" t="s">
        <v>284</v>
      </c>
      <c r="B127" s="426">
        <f aca="true" t="shared" si="49" ref="B127:G127">SUM(B128:B130)</f>
        <v>15209100</v>
      </c>
      <c r="C127" s="426">
        <f t="shared" si="49"/>
        <v>3732023</v>
      </c>
      <c r="D127" s="426">
        <f t="shared" si="49"/>
        <v>2614631.1</v>
      </c>
      <c r="E127" s="409">
        <f t="shared" si="26"/>
        <v>17.191228277807365</v>
      </c>
      <c r="F127" s="409">
        <f t="shared" si="42"/>
        <v>70.05935118835012</v>
      </c>
      <c r="G127" s="426">
        <f t="shared" si="49"/>
        <v>738249.78</v>
      </c>
      <c r="I127" s="412" t="s">
        <v>284</v>
      </c>
      <c r="J127" s="414">
        <f>J128+J129+J130</f>
        <v>15208</v>
      </c>
      <c r="K127" s="414">
        <f>K128+K129+K130</f>
        <v>3732</v>
      </c>
      <c r="L127" s="414">
        <f>L128+L129+L130</f>
        <v>2615</v>
      </c>
      <c r="M127" s="415">
        <f t="shared" si="28"/>
        <v>17.19489742240926</v>
      </c>
      <c r="N127" s="415">
        <f t="shared" si="29"/>
        <v>70.06966773847803</v>
      </c>
      <c r="O127" s="414">
        <f>O128+O129+O130</f>
        <v>738</v>
      </c>
    </row>
    <row r="128" spans="1:15" ht="12.75" customHeight="1">
      <c r="A128" s="412" t="s">
        <v>285</v>
      </c>
      <c r="B128" s="426">
        <v>7619458</v>
      </c>
      <c r="C128" s="426">
        <v>1610330</v>
      </c>
      <c r="D128" s="426">
        <v>1610330</v>
      </c>
      <c r="E128" s="409">
        <f t="shared" si="26"/>
        <v>21.134442896069512</v>
      </c>
      <c r="F128" s="409">
        <f t="shared" si="42"/>
        <v>100</v>
      </c>
      <c r="G128" s="426">
        <f>D128-'[11]februāris'!D128</f>
        <v>542975</v>
      </c>
      <c r="I128" s="412" t="s">
        <v>285</v>
      </c>
      <c r="J128" s="414">
        <f aca="true" t="shared" si="50" ref="J128:L130">ROUND(B128/1000,0)</f>
        <v>7619</v>
      </c>
      <c r="K128" s="414">
        <f t="shared" si="50"/>
        <v>1610</v>
      </c>
      <c r="L128" s="414">
        <f t="shared" si="50"/>
        <v>1610</v>
      </c>
      <c r="M128" s="415">
        <f t="shared" si="28"/>
        <v>21.131382071137946</v>
      </c>
      <c r="N128" s="415">
        <f t="shared" si="29"/>
        <v>100</v>
      </c>
      <c r="O128" s="414">
        <f>ROUND(G128/1000,0)</f>
        <v>543</v>
      </c>
    </row>
    <row r="129" spans="1:15" ht="12.75" customHeight="1">
      <c r="A129" s="412" t="s">
        <v>929</v>
      </c>
      <c r="B129" s="426">
        <v>1267424</v>
      </c>
      <c r="C129" s="426">
        <v>336803</v>
      </c>
      <c r="D129" s="426">
        <v>297599.62</v>
      </c>
      <c r="E129" s="409">
        <f t="shared" si="26"/>
        <v>23.480667874365643</v>
      </c>
      <c r="F129" s="409">
        <f t="shared" si="42"/>
        <v>88.3601452481124</v>
      </c>
      <c r="G129" s="426">
        <v>99288.73</v>
      </c>
      <c r="I129" s="412" t="s">
        <v>929</v>
      </c>
      <c r="J129" s="414">
        <f t="shared" si="50"/>
        <v>1267</v>
      </c>
      <c r="K129" s="414">
        <f t="shared" si="50"/>
        <v>337</v>
      </c>
      <c r="L129" s="414">
        <f t="shared" si="50"/>
        <v>298</v>
      </c>
      <c r="M129" s="415">
        <f t="shared" si="28"/>
        <v>23.52012628255722</v>
      </c>
      <c r="N129" s="415">
        <f t="shared" si="29"/>
        <v>88.4272997032641</v>
      </c>
      <c r="O129" s="414">
        <f>ROUND(G129/1000,0)</f>
        <v>99</v>
      </c>
    </row>
    <row r="130" spans="1:15" ht="12.75" customHeight="1">
      <c r="A130" s="412" t="s">
        <v>758</v>
      </c>
      <c r="B130" s="426">
        <v>6322218</v>
      </c>
      <c r="C130" s="426">
        <v>1784890</v>
      </c>
      <c r="D130" s="426">
        <v>706701.48</v>
      </c>
      <c r="E130" s="409">
        <f t="shared" si="26"/>
        <v>11.178062509075136</v>
      </c>
      <c r="F130" s="409">
        <f t="shared" si="42"/>
        <v>39.59355926695763</v>
      </c>
      <c r="G130" s="426">
        <v>95986.05</v>
      </c>
      <c r="I130" s="412" t="s">
        <v>758</v>
      </c>
      <c r="J130" s="414">
        <f t="shared" si="50"/>
        <v>6322</v>
      </c>
      <c r="K130" s="414">
        <f t="shared" si="50"/>
        <v>1785</v>
      </c>
      <c r="L130" s="414">
        <f t="shared" si="50"/>
        <v>707</v>
      </c>
      <c r="M130" s="415">
        <f t="shared" si="28"/>
        <v>11.183169882948434</v>
      </c>
      <c r="N130" s="415">
        <f t="shared" si="29"/>
        <v>39.6078431372549</v>
      </c>
      <c r="O130" s="414">
        <f>ROUND(G130/1000,0)</f>
        <v>96</v>
      </c>
    </row>
    <row r="131" spans="1:15" ht="12.75" customHeight="1">
      <c r="A131" s="418" t="s">
        <v>881</v>
      </c>
      <c r="B131" s="428">
        <f aca="true" t="shared" si="51" ref="B131:G131">SUM(B132:B133)</f>
        <v>15209100</v>
      </c>
      <c r="C131" s="428">
        <f t="shared" si="51"/>
        <v>3732023</v>
      </c>
      <c r="D131" s="428">
        <f t="shared" si="51"/>
        <v>2366522.9</v>
      </c>
      <c r="E131" s="409">
        <f t="shared" si="26"/>
        <v>15.559914130356168</v>
      </c>
      <c r="F131" s="409">
        <f t="shared" si="42"/>
        <v>63.41126247078327</v>
      </c>
      <c r="G131" s="428">
        <f t="shared" si="51"/>
        <v>671265.06</v>
      </c>
      <c r="I131" s="418" t="s">
        <v>881</v>
      </c>
      <c r="J131" s="406">
        <f>J132+J133</f>
        <v>15209</v>
      </c>
      <c r="K131" s="406">
        <f>K132+K133</f>
        <v>3732</v>
      </c>
      <c r="L131" s="406">
        <f>L132+L133</f>
        <v>2367</v>
      </c>
      <c r="M131" s="411">
        <f t="shared" si="28"/>
        <v>15.563153396015517</v>
      </c>
      <c r="N131" s="411">
        <f t="shared" si="29"/>
        <v>63.424437299035375</v>
      </c>
      <c r="O131" s="406">
        <f>O132+O133</f>
        <v>671</v>
      </c>
    </row>
    <row r="132" spans="1:15" ht="12.75" customHeight="1">
      <c r="A132" s="421" t="s">
        <v>876</v>
      </c>
      <c r="B132" s="426">
        <v>7285456</v>
      </c>
      <c r="C132" s="426">
        <v>1743983</v>
      </c>
      <c r="D132" s="426">
        <v>1524814.64</v>
      </c>
      <c r="E132" s="409">
        <f t="shared" si="26"/>
        <v>20.929570365945523</v>
      </c>
      <c r="F132" s="409">
        <f t="shared" si="42"/>
        <v>87.43288438018031</v>
      </c>
      <c r="G132" s="426">
        <v>546265.15</v>
      </c>
      <c r="I132" s="421" t="s">
        <v>876</v>
      </c>
      <c r="J132" s="414">
        <f aca="true" t="shared" si="52" ref="J132:L133">ROUND(B132/1000,0)</f>
        <v>7285</v>
      </c>
      <c r="K132" s="414">
        <f t="shared" si="52"/>
        <v>1744</v>
      </c>
      <c r="L132" s="414">
        <f t="shared" si="52"/>
        <v>1525</v>
      </c>
      <c r="M132" s="415">
        <f t="shared" si="28"/>
        <v>20.933424845573096</v>
      </c>
      <c r="N132" s="415">
        <f t="shared" si="29"/>
        <v>87.44266055045871</v>
      </c>
      <c r="O132" s="414">
        <f>ROUND(G132/1000,0)</f>
        <v>546</v>
      </c>
    </row>
    <row r="133" spans="1:15" ht="12.75" customHeight="1">
      <c r="A133" s="421" t="s">
        <v>877</v>
      </c>
      <c r="B133" s="426">
        <v>7923644</v>
      </c>
      <c r="C133" s="426">
        <v>1988040</v>
      </c>
      <c r="D133" s="426">
        <v>841708.26</v>
      </c>
      <c r="E133" s="409">
        <f t="shared" si="26"/>
        <v>10.622742011125185</v>
      </c>
      <c r="F133" s="409">
        <f t="shared" si="42"/>
        <v>42.3385978149333</v>
      </c>
      <c r="G133" s="426">
        <v>124999.91</v>
      </c>
      <c r="I133" s="421" t="s">
        <v>877</v>
      </c>
      <c r="J133" s="414">
        <f t="shared" si="52"/>
        <v>7924</v>
      </c>
      <c r="K133" s="414">
        <f t="shared" si="52"/>
        <v>1988</v>
      </c>
      <c r="L133" s="414">
        <f t="shared" si="52"/>
        <v>842</v>
      </c>
      <c r="M133" s="415">
        <f t="shared" si="28"/>
        <v>10.625946491670874</v>
      </c>
      <c r="N133" s="415">
        <f t="shared" si="29"/>
        <v>42.354124748490946</v>
      </c>
      <c r="O133" s="414">
        <f>ROUND(G133/1000,0)</f>
        <v>125</v>
      </c>
    </row>
    <row r="134" spans="1:15" ht="12.75" customHeight="1">
      <c r="A134" s="418" t="s">
        <v>777</v>
      </c>
      <c r="B134" s="428"/>
      <c r="C134" s="428"/>
      <c r="D134" s="428"/>
      <c r="E134" s="428"/>
      <c r="F134" s="428"/>
      <c r="G134" s="428"/>
      <c r="I134" s="418" t="s">
        <v>777</v>
      </c>
      <c r="J134" s="428"/>
      <c r="K134" s="428"/>
      <c r="L134" s="428"/>
      <c r="M134" s="415"/>
      <c r="N134" s="415"/>
      <c r="O134" s="428"/>
    </row>
    <row r="135" spans="1:15" ht="12.75" customHeight="1">
      <c r="A135" s="412" t="s">
        <v>284</v>
      </c>
      <c r="B135" s="426">
        <f aca="true" t="shared" si="53" ref="B135:G135">SUM(B136:B138)</f>
        <v>19673771</v>
      </c>
      <c r="C135" s="426">
        <f t="shared" si="53"/>
        <v>5103809</v>
      </c>
      <c r="D135" s="426">
        <f t="shared" si="53"/>
        <v>4953449.49</v>
      </c>
      <c r="E135" s="409">
        <f t="shared" si="26"/>
        <v>25.177936095728676</v>
      </c>
      <c r="F135" s="409">
        <f t="shared" si="42"/>
        <v>97.05397459035008</v>
      </c>
      <c r="G135" s="426">
        <f t="shared" si="53"/>
        <v>1763516.87</v>
      </c>
      <c r="I135" s="412" t="s">
        <v>284</v>
      </c>
      <c r="J135" s="414">
        <f>J136+J137+J138</f>
        <v>19674</v>
      </c>
      <c r="K135" s="414">
        <f>K136+K137+K138</f>
        <v>5104</v>
      </c>
      <c r="L135" s="414">
        <f>L136+L137+L138</f>
        <v>4953</v>
      </c>
      <c r="M135" s="415">
        <f t="shared" si="28"/>
        <v>25.175358340957608</v>
      </c>
      <c r="N135" s="415">
        <f t="shared" si="29"/>
        <v>97.04153605015674</v>
      </c>
      <c r="O135" s="414">
        <f>O136+O137+O138</f>
        <v>1764</v>
      </c>
    </row>
    <row r="136" spans="1:15" ht="12.75" customHeight="1">
      <c r="A136" s="412" t="s">
        <v>285</v>
      </c>
      <c r="B136" s="426">
        <v>16916754</v>
      </c>
      <c r="C136" s="426">
        <v>4222362</v>
      </c>
      <c r="D136" s="426">
        <v>4222362</v>
      </c>
      <c r="E136" s="409">
        <f t="shared" si="26"/>
        <v>24.959646513746076</v>
      </c>
      <c r="F136" s="409">
        <f t="shared" si="42"/>
        <v>100</v>
      </c>
      <c r="G136" s="426">
        <f>D136-'[11]februāris'!D136</f>
        <v>1514969</v>
      </c>
      <c r="I136" s="412" t="s">
        <v>285</v>
      </c>
      <c r="J136" s="414">
        <f>ROUND(B136/1000,0)</f>
        <v>16917</v>
      </c>
      <c r="K136" s="414">
        <f>ROUND(C136/1000,0)</f>
        <v>4222</v>
      </c>
      <c r="L136" s="414">
        <f>ROUND(D136/1000,0)</f>
        <v>4222</v>
      </c>
      <c r="M136" s="415">
        <f t="shared" si="28"/>
        <v>24.95714370160194</v>
      </c>
      <c r="N136" s="415">
        <f t="shared" si="29"/>
        <v>100</v>
      </c>
      <c r="O136" s="414">
        <f>ROUND(G136/1000,0)</f>
        <v>1515</v>
      </c>
    </row>
    <row r="137" spans="1:15" ht="12.75" customHeight="1">
      <c r="A137" s="412" t="s">
        <v>929</v>
      </c>
      <c r="B137" s="426">
        <v>2495624</v>
      </c>
      <c r="C137" s="426">
        <v>674924</v>
      </c>
      <c r="D137" s="426">
        <v>731087.49</v>
      </c>
      <c r="E137" s="409">
        <f t="shared" si="26"/>
        <v>29.29477717797232</v>
      </c>
      <c r="F137" s="409">
        <f t="shared" si="42"/>
        <v>108.32145397111378</v>
      </c>
      <c r="G137" s="426">
        <v>248547.87</v>
      </c>
      <c r="I137" s="412" t="s">
        <v>929</v>
      </c>
      <c r="J137" s="414">
        <f>ROUND(B137/1000,0)</f>
        <v>2496</v>
      </c>
      <c r="K137" s="414">
        <f>ROUND(C137/1000,0)</f>
        <v>675</v>
      </c>
      <c r="L137" s="414">
        <v>731</v>
      </c>
      <c r="M137" s="415">
        <f t="shared" si="28"/>
        <v>29.286858974358974</v>
      </c>
      <c r="N137" s="415">
        <f t="shared" si="29"/>
        <v>108.29629629629629</v>
      </c>
      <c r="O137" s="414">
        <f>ROUND(G137/1000,0)</f>
        <v>249</v>
      </c>
    </row>
    <row r="138" spans="1:15" ht="12.75" customHeight="1">
      <c r="A138" s="412" t="s">
        <v>758</v>
      </c>
      <c r="B138" s="426">
        <v>261393</v>
      </c>
      <c r="C138" s="426">
        <v>206523</v>
      </c>
      <c r="D138" s="426"/>
      <c r="E138" s="409">
        <f t="shared" si="26"/>
        <v>0</v>
      </c>
      <c r="F138" s="409">
        <f t="shared" si="42"/>
        <v>0</v>
      </c>
      <c r="G138" s="426"/>
      <c r="I138" s="412" t="s">
        <v>758</v>
      </c>
      <c r="J138" s="414">
        <f>ROUND(B138/1000,0)</f>
        <v>261</v>
      </c>
      <c r="K138" s="414">
        <f>ROUND(C138/1000,0)</f>
        <v>207</v>
      </c>
      <c r="L138" s="414">
        <f>ROUND(D138/1000,0)</f>
        <v>0</v>
      </c>
      <c r="M138" s="415">
        <f t="shared" si="28"/>
        <v>0</v>
      </c>
      <c r="N138" s="415">
        <f t="shared" si="29"/>
        <v>0</v>
      </c>
      <c r="O138" s="414">
        <f>ROUND(G138/1000,0)</f>
        <v>0</v>
      </c>
    </row>
    <row r="139" spans="1:15" ht="12.75" customHeight="1">
      <c r="A139" s="418" t="s">
        <v>881</v>
      </c>
      <c r="B139" s="428">
        <f aca="true" t="shared" si="54" ref="B139:G139">SUM(B140:B141)</f>
        <v>19673771</v>
      </c>
      <c r="C139" s="428">
        <f t="shared" si="54"/>
        <v>5103809</v>
      </c>
      <c r="D139" s="428">
        <f t="shared" si="54"/>
        <v>4688451.44</v>
      </c>
      <c r="E139" s="409">
        <f t="shared" si="26"/>
        <v>23.830974956453442</v>
      </c>
      <c r="F139" s="409">
        <f t="shared" si="42"/>
        <v>91.8618122269074</v>
      </c>
      <c r="G139" s="428">
        <f t="shared" si="54"/>
        <v>1655741.13</v>
      </c>
      <c r="I139" s="418" t="s">
        <v>881</v>
      </c>
      <c r="J139" s="406">
        <f>J140+J141</f>
        <v>19674</v>
      </c>
      <c r="K139" s="406">
        <f>K140+K141</f>
        <v>5104</v>
      </c>
      <c r="L139" s="406">
        <f>L140+L141</f>
        <v>4689</v>
      </c>
      <c r="M139" s="411">
        <f t="shared" si="28"/>
        <v>23.83348581884721</v>
      </c>
      <c r="N139" s="411">
        <f t="shared" si="29"/>
        <v>91.86912225705329</v>
      </c>
      <c r="O139" s="406">
        <f>O140+O141</f>
        <v>1656</v>
      </c>
    </row>
    <row r="140" spans="1:15" ht="12.75" customHeight="1">
      <c r="A140" s="421" t="s">
        <v>876</v>
      </c>
      <c r="B140" s="426">
        <v>19098171</v>
      </c>
      <c r="C140" s="426">
        <v>4969158</v>
      </c>
      <c r="D140" s="426">
        <v>4635704.78</v>
      </c>
      <c r="E140" s="409">
        <f t="shared" si="26"/>
        <v>24.273030019471502</v>
      </c>
      <c r="F140" s="409">
        <f t="shared" si="42"/>
        <v>93.28954281590563</v>
      </c>
      <c r="G140" s="426">
        <v>1638530.94</v>
      </c>
      <c r="I140" s="421" t="s">
        <v>876</v>
      </c>
      <c r="J140" s="414">
        <f aca="true" t="shared" si="55" ref="J140:L141">ROUND(B140/1000,0)</f>
        <v>19098</v>
      </c>
      <c r="K140" s="414">
        <f t="shared" si="55"/>
        <v>4969</v>
      </c>
      <c r="L140" s="414">
        <f t="shared" si="55"/>
        <v>4636</v>
      </c>
      <c r="M140" s="415">
        <f t="shared" si="28"/>
        <v>24.2747931720599</v>
      </c>
      <c r="N140" s="415">
        <f t="shared" si="29"/>
        <v>93.29845039243308</v>
      </c>
      <c r="O140" s="414">
        <f>ROUND(G140/1000,0)</f>
        <v>1639</v>
      </c>
    </row>
    <row r="141" spans="1:15" ht="12.75" customHeight="1">
      <c r="A141" s="421" t="s">
        <v>877</v>
      </c>
      <c r="B141" s="426">
        <v>575600</v>
      </c>
      <c r="C141" s="426">
        <v>134651</v>
      </c>
      <c r="D141" s="426">
        <v>52746.66</v>
      </c>
      <c r="E141" s="409">
        <f aca="true" t="shared" si="56" ref="E141:E203">IF(ISERROR(D141/B141)," ",(D141/B141))*100</f>
        <v>9.163769979152189</v>
      </c>
      <c r="F141" s="409">
        <f t="shared" si="42"/>
        <v>39.17286912091259</v>
      </c>
      <c r="G141" s="426">
        <v>17210.19</v>
      </c>
      <c r="I141" s="421" t="s">
        <v>877</v>
      </c>
      <c r="J141" s="414">
        <f t="shared" si="55"/>
        <v>576</v>
      </c>
      <c r="K141" s="414">
        <f t="shared" si="55"/>
        <v>135</v>
      </c>
      <c r="L141" s="414">
        <f t="shared" si="55"/>
        <v>53</v>
      </c>
      <c r="M141" s="415">
        <f aca="true" t="shared" si="57" ref="M141:M203">L141/J141*100</f>
        <v>9.20138888888889</v>
      </c>
      <c r="N141" s="415">
        <f aca="true" t="shared" si="58" ref="N141:N203">L141/K141*100</f>
        <v>39.25925925925926</v>
      </c>
      <c r="O141" s="414">
        <f>ROUND(G141/1000,0)</f>
        <v>17</v>
      </c>
    </row>
    <row r="142" spans="1:15" ht="12.75" customHeight="1">
      <c r="A142" s="418" t="s">
        <v>884</v>
      </c>
      <c r="B142" s="426"/>
      <c r="C142" s="426"/>
      <c r="D142" s="426"/>
      <c r="E142" s="426"/>
      <c r="F142" s="426"/>
      <c r="G142" s="426"/>
      <c r="I142" s="418" t="s">
        <v>884</v>
      </c>
      <c r="J142" s="426"/>
      <c r="K142" s="426"/>
      <c r="L142" s="426"/>
      <c r="M142" s="415"/>
      <c r="N142" s="415"/>
      <c r="O142" s="426"/>
    </row>
    <row r="143" spans="1:15" ht="12.75" customHeight="1">
      <c r="A143" s="412" t="s">
        <v>284</v>
      </c>
      <c r="B143" s="426">
        <f aca="true" t="shared" si="59" ref="B143:G143">SUM(B144:B145)</f>
        <v>13996875</v>
      </c>
      <c r="C143" s="426">
        <f t="shared" si="59"/>
        <v>3353150</v>
      </c>
      <c r="D143" s="426">
        <f t="shared" si="59"/>
        <v>3184765.5700000003</v>
      </c>
      <c r="E143" s="409">
        <f t="shared" si="56"/>
        <v>22.75340438490735</v>
      </c>
      <c r="F143" s="409">
        <f t="shared" si="42"/>
        <v>94.97832098176342</v>
      </c>
      <c r="G143" s="426">
        <f t="shared" si="59"/>
        <v>1149335.67</v>
      </c>
      <c r="I143" s="412" t="s">
        <v>284</v>
      </c>
      <c r="J143" s="414">
        <f>J144+J145</f>
        <v>13996</v>
      </c>
      <c r="K143" s="414">
        <f>K144+K145</f>
        <v>3353</v>
      </c>
      <c r="L143" s="414">
        <f>L144+L145</f>
        <v>3185</v>
      </c>
      <c r="M143" s="415">
        <f t="shared" si="57"/>
        <v>22.756501857673623</v>
      </c>
      <c r="N143" s="415">
        <f t="shared" si="58"/>
        <v>94.98956158663883</v>
      </c>
      <c r="O143" s="414">
        <f>O144+O145</f>
        <v>1149</v>
      </c>
    </row>
    <row r="144" spans="1:15" ht="12.75" customHeight="1">
      <c r="A144" s="412" t="s">
        <v>285</v>
      </c>
      <c r="B144" s="426">
        <v>5506527</v>
      </c>
      <c r="C144" s="426">
        <v>1247810</v>
      </c>
      <c r="D144" s="426">
        <v>1247810</v>
      </c>
      <c r="E144" s="409">
        <f t="shared" si="56"/>
        <v>22.660562637756975</v>
      </c>
      <c r="F144" s="409">
        <f t="shared" si="42"/>
        <v>100</v>
      </c>
      <c r="G144" s="426">
        <f>D144-'[11]februāris'!D144</f>
        <v>439047</v>
      </c>
      <c r="I144" s="412" t="s">
        <v>285</v>
      </c>
      <c r="J144" s="414">
        <v>5506</v>
      </c>
      <c r="K144" s="414">
        <f>ROUND(C144/1000,0)</f>
        <v>1248</v>
      </c>
      <c r="L144" s="414">
        <f>ROUND(D144/1000,0)</f>
        <v>1248</v>
      </c>
      <c r="M144" s="415">
        <f t="shared" si="57"/>
        <v>22.66618234653106</v>
      </c>
      <c r="N144" s="415">
        <f t="shared" si="58"/>
        <v>100</v>
      </c>
      <c r="O144" s="414">
        <v>439</v>
      </c>
    </row>
    <row r="145" spans="1:15" ht="12.75" customHeight="1">
      <c r="A145" s="412" t="s">
        <v>929</v>
      </c>
      <c r="B145" s="426">
        <v>8490348</v>
      </c>
      <c r="C145" s="426">
        <v>2105340</v>
      </c>
      <c r="D145" s="426">
        <v>1936955.57</v>
      </c>
      <c r="E145" s="409">
        <f t="shared" si="56"/>
        <v>22.81361812260228</v>
      </c>
      <c r="F145" s="409">
        <f t="shared" si="42"/>
        <v>92.00203150085022</v>
      </c>
      <c r="G145" s="426">
        <v>710288.67</v>
      </c>
      <c r="I145" s="412" t="s">
        <v>929</v>
      </c>
      <c r="J145" s="414">
        <f>ROUND(B145/1000,0)</f>
        <v>8490</v>
      </c>
      <c r="K145" s="414">
        <f>ROUND(C145/1000,0)</f>
        <v>2105</v>
      </c>
      <c r="L145" s="414">
        <f>ROUND(D145/1000,0)</f>
        <v>1937</v>
      </c>
      <c r="M145" s="415">
        <f t="shared" si="57"/>
        <v>22.8150765606596</v>
      </c>
      <c r="N145" s="415">
        <f t="shared" si="58"/>
        <v>92.0190023752969</v>
      </c>
      <c r="O145" s="414">
        <f>ROUND(G145/1000,0)</f>
        <v>710</v>
      </c>
    </row>
    <row r="146" spans="1:15" ht="12.75" customHeight="1">
      <c r="A146" s="418" t="s">
        <v>881</v>
      </c>
      <c r="B146" s="428">
        <f aca="true" t="shared" si="60" ref="B146:G146">SUM(B147:B148)</f>
        <v>13996875</v>
      </c>
      <c r="C146" s="428">
        <f t="shared" si="60"/>
        <v>3353150</v>
      </c>
      <c r="D146" s="428">
        <f t="shared" si="60"/>
        <v>3004682.29</v>
      </c>
      <c r="E146" s="409">
        <f t="shared" si="56"/>
        <v>21.4668080553695</v>
      </c>
      <c r="F146" s="409">
        <f t="shared" si="42"/>
        <v>89.60775062254895</v>
      </c>
      <c r="G146" s="428">
        <f t="shared" si="60"/>
        <v>1057272.54</v>
      </c>
      <c r="I146" s="418" t="s">
        <v>881</v>
      </c>
      <c r="J146" s="406">
        <f>J147+J148</f>
        <v>13996</v>
      </c>
      <c r="K146" s="406">
        <f>K147+K148</f>
        <v>3353</v>
      </c>
      <c r="L146" s="406">
        <f>L147+L148</f>
        <v>3005</v>
      </c>
      <c r="M146" s="411">
        <f t="shared" si="57"/>
        <v>21.470420120034294</v>
      </c>
      <c r="N146" s="411">
        <f t="shared" si="58"/>
        <v>89.62123471518044</v>
      </c>
      <c r="O146" s="406">
        <f>O147+O148</f>
        <v>1058</v>
      </c>
    </row>
    <row r="147" spans="1:15" ht="12.75" customHeight="1">
      <c r="A147" s="421" t="s">
        <v>876</v>
      </c>
      <c r="B147" s="426">
        <v>13408475</v>
      </c>
      <c r="C147" s="426">
        <v>3221101</v>
      </c>
      <c r="D147" s="426">
        <v>2925861.16</v>
      </c>
      <c r="E147" s="409">
        <f t="shared" si="56"/>
        <v>21.82098381807029</v>
      </c>
      <c r="F147" s="409">
        <f t="shared" si="42"/>
        <v>90.83419489174665</v>
      </c>
      <c r="G147" s="426">
        <v>1006662.11</v>
      </c>
      <c r="I147" s="421" t="s">
        <v>876</v>
      </c>
      <c r="J147" s="414">
        <f aca="true" t="shared" si="61" ref="J147:L148">ROUND(B147/1000,0)</f>
        <v>13408</v>
      </c>
      <c r="K147" s="414">
        <f t="shared" si="61"/>
        <v>3221</v>
      </c>
      <c r="L147" s="414">
        <f t="shared" si="61"/>
        <v>2926</v>
      </c>
      <c r="M147" s="415">
        <f t="shared" si="57"/>
        <v>21.8227923627685</v>
      </c>
      <c r="N147" s="415">
        <f t="shared" si="58"/>
        <v>90.84135361688917</v>
      </c>
      <c r="O147" s="414">
        <f>ROUND(G147/1000,0)</f>
        <v>1007</v>
      </c>
    </row>
    <row r="148" spans="1:15" ht="12.75" customHeight="1">
      <c r="A148" s="421" t="s">
        <v>877</v>
      </c>
      <c r="B148" s="426">
        <v>588400</v>
      </c>
      <c r="C148" s="426">
        <v>132049</v>
      </c>
      <c r="D148" s="426">
        <v>78821.13</v>
      </c>
      <c r="E148" s="409">
        <f t="shared" si="56"/>
        <v>13.395841264445957</v>
      </c>
      <c r="F148" s="409">
        <f t="shared" si="42"/>
        <v>59.6908193170717</v>
      </c>
      <c r="G148" s="426">
        <v>50610.43</v>
      </c>
      <c r="I148" s="421" t="s">
        <v>877</v>
      </c>
      <c r="J148" s="414">
        <f t="shared" si="61"/>
        <v>588</v>
      </c>
      <c r="K148" s="414">
        <f t="shared" si="61"/>
        <v>132</v>
      </c>
      <c r="L148" s="414">
        <f t="shared" si="61"/>
        <v>79</v>
      </c>
      <c r="M148" s="415">
        <f t="shared" si="57"/>
        <v>13.435374149659864</v>
      </c>
      <c r="N148" s="415">
        <f t="shared" si="58"/>
        <v>59.84848484848485</v>
      </c>
      <c r="O148" s="414">
        <f>ROUND(G148/1000,0)</f>
        <v>51</v>
      </c>
    </row>
    <row r="149" spans="1:15" ht="12.75" customHeight="1">
      <c r="A149" s="418" t="s">
        <v>778</v>
      </c>
      <c r="B149" s="426"/>
      <c r="C149" s="426"/>
      <c r="D149" s="426"/>
      <c r="E149" s="426"/>
      <c r="F149" s="426"/>
      <c r="G149" s="426"/>
      <c r="I149" s="418" t="s">
        <v>778</v>
      </c>
      <c r="J149" s="426"/>
      <c r="K149" s="426"/>
      <c r="L149" s="426"/>
      <c r="M149" s="415"/>
      <c r="N149" s="415"/>
      <c r="O149" s="426"/>
    </row>
    <row r="150" spans="1:15" ht="12.75" customHeight="1">
      <c r="A150" s="412" t="s">
        <v>284</v>
      </c>
      <c r="B150" s="426">
        <f aca="true" t="shared" si="62" ref="B150:G150">SUM(B151:B153)</f>
        <v>1472393</v>
      </c>
      <c r="C150" s="426">
        <f t="shared" si="62"/>
        <v>259796</v>
      </c>
      <c r="D150" s="426">
        <f t="shared" si="62"/>
        <v>259827</v>
      </c>
      <c r="E150" s="409">
        <f>IF(ISERROR(D150/B150)," ",(D150/B150))*100</f>
        <v>17.646579411882563</v>
      </c>
      <c r="F150" s="409">
        <f t="shared" si="42"/>
        <v>100.01193243929853</v>
      </c>
      <c r="G150" s="426">
        <f t="shared" si="62"/>
        <v>89734.7</v>
      </c>
      <c r="I150" s="412" t="s">
        <v>284</v>
      </c>
      <c r="J150" s="414">
        <f>J151+J152+J153</f>
        <v>1472</v>
      </c>
      <c r="K150" s="414">
        <f>K151+K152+K153</f>
        <v>260</v>
      </c>
      <c r="L150" s="414">
        <f>L151+L152+L153</f>
        <v>260</v>
      </c>
      <c r="M150" s="415">
        <f t="shared" si="57"/>
        <v>17.66304347826087</v>
      </c>
      <c r="N150" s="415">
        <f t="shared" si="58"/>
        <v>100</v>
      </c>
      <c r="O150" s="414">
        <f>O151+O152+O153</f>
        <v>90</v>
      </c>
    </row>
    <row r="151" spans="1:15" ht="12.75" customHeight="1">
      <c r="A151" s="412" t="s">
        <v>285</v>
      </c>
      <c r="B151" s="426">
        <v>1191343</v>
      </c>
      <c r="C151" s="426">
        <v>259596</v>
      </c>
      <c r="D151" s="426">
        <v>259596</v>
      </c>
      <c r="E151" s="409">
        <f t="shared" si="56"/>
        <v>21.79019812094418</v>
      </c>
      <c r="F151" s="409">
        <f t="shared" si="42"/>
        <v>100</v>
      </c>
      <c r="G151" s="426">
        <f>D151-'[11]februāris'!D151</f>
        <v>90661</v>
      </c>
      <c r="I151" s="412" t="s">
        <v>285</v>
      </c>
      <c r="J151" s="414">
        <f>ROUND(B151/1000,0)</f>
        <v>1191</v>
      </c>
      <c r="K151" s="414">
        <f>ROUND(C151/1000,0)</f>
        <v>260</v>
      </c>
      <c r="L151" s="414">
        <f>ROUND(D151/1000,0)</f>
        <v>260</v>
      </c>
      <c r="M151" s="415">
        <f t="shared" si="57"/>
        <v>21.8303946263644</v>
      </c>
      <c r="N151" s="415">
        <f t="shared" si="58"/>
        <v>100</v>
      </c>
      <c r="O151" s="414">
        <f>ROUND(G151/1000,0)</f>
        <v>91</v>
      </c>
    </row>
    <row r="152" spans="1:15" ht="12.75" customHeight="1">
      <c r="A152" s="412" t="s">
        <v>929</v>
      </c>
      <c r="B152" s="426">
        <v>800</v>
      </c>
      <c r="C152" s="426">
        <v>200</v>
      </c>
      <c r="D152" s="426">
        <v>231</v>
      </c>
      <c r="E152" s="409">
        <f t="shared" si="56"/>
        <v>28.875</v>
      </c>
      <c r="F152" s="409"/>
      <c r="G152" s="426">
        <v>-926.3</v>
      </c>
      <c r="I152" s="412" t="s">
        <v>929</v>
      </c>
      <c r="J152" s="414">
        <f>ROUND(B152/1000,0)</f>
        <v>1</v>
      </c>
      <c r="K152" s="414"/>
      <c r="L152" s="414"/>
      <c r="M152" s="415"/>
      <c r="N152" s="415"/>
      <c r="O152" s="414">
        <f>ROUND(G152/1000,0)</f>
        <v>-1</v>
      </c>
    </row>
    <row r="153" spans="1:15" ht="12.75" customHeight="1">
      <c r="A153" s="412" t="s">
        <v>758</v>
      </c>
      <c r="B153" s="426">
        <v>280250</v>
      </c>
      <c r="C153" s="426"/>
      <c r="D153" s="426"/>
      <c r="E153" s="409"/>
      <c r="F153" s="426"/>
      <c r="G153" s="426"/>
      <c r="I153" s="412" t="s">
        <v>758</v>
      </c>
      <c r="J153" s="414">
        <f>ROUND(B153/1000,0)</f>
        <v>280</v>
      </c>
      <c r="K153" s="414"/>
      <c r="L153" s="414"/>
      <c r="M153" s="415"/>
      <c r="N153" s="415"/>
      <c r="O153" s="414"/>
    </row>
    <row r="154" spans="1:15" ht="12.75" customHeight="1">
      <c r="A154" s="418" t="s">
        <v>881</v>
      </c>
      <c r="B154" s="428">
        <f aca="true" t="shared" si="63" ref="B154:G154">SUM(B155:B156)</f>
        <v>1472393</v>
      </c>
      <c r="C154" s="428">
        <f t="shared" si="63"/>
        <v>259796</v>
      </c>
      <c r="D154" s="428">
        <f t="shared" si="63"/>
        <v>252414.91</v>
      </c>
      <c r="E154" s="409">
        <f t="shared" si="56"/>
        <v>17.14317508980279</v>
      </c>
      <c r="F154" s="409">
        <f t="shared" si="42"/>
        <v>97.1588900521948</v>
      </c>
      <c r="G154" s="428">
        <f t="shared" si="63"/>
        <v>103952.9</v>
      </c>
      <c r="I154" s="418" t="s">
        <v>881</v>
      </c>
      <c r="J154" s="406">
        <f>J155+J156</f>
        <v>1473</v>
      </c>
      <c r="K154" s="406">
        <f>K155+K156</f>
        <v>260</v>
      </c>
      <c r="L154" s="406">
        <f>L155+L156</f>
        <v>253</v>
      </c>
      <c r="M154" s="411">
        <f t="shared" si="57"/>
        <v>17.17583163611677</v>
      </c>
      <c r="N154" s="411">
        <f t="shared" si="58"/>
        <v>97.3076923076923</v>
      </c>
      <c r="O154" s="406">
        <f>O155+O156</f>
        <v>104</v>
      </c>
    </row>
    <row r="155" spans="1:15" ht="12.75" customHeight="1">
      <c r="A155" s="421" t="s">
        <v>876</v>
      </c>
      <c r="B155" s="426">
        <v>1343893</v>
      </c>
      <c r="C155" s="426">
        <v>249796</v>
      </c>
      <c r="D155" s="426">
        <v>245723.71</v>
      </c>
      <c r="E155" s="409">
        <f t="shared" si="56"/>
        <v>18.28446982014193</v>
      </c>
      <c r="F155" s="409">
        <f t="shared" si="42"/>
        <v>98.36975371903472</v>
      </c>
      <c r="G155" s="426">
        <v>97261.7</v>
      </c>
      <c r="I155" s="421" t="s">
        <v>876</v>
      </c>
      <c r="J155" s="414">
        <f>ROUND(B155/1000,0)</f>
        <v>1344</v>
      </c>
      <c r="K155" s="414">
        <f>ROUND(C155/1000,0)</f>
        <v>250</v>
      </c>
      <c r="L155" s="414">
        <f>ROUND(D155/1000,0)</f>
        <v>246</v>
      </c>
      <c r="M155" s="415">
        <f t="shared" si="57"/>
        <v>18.303571428571427</v>
      </c>
      <c r="N155" s="415">
        <f t="shared" si="58"/>
        <v>98.4</v>
      </c>
      <c r="O155" s="414">
        <f>ROUND(G155/1000,0)</f>
        <v>97</v>
      </c>
    </row>
    <row r="156" spans="1:15" ht="12.75" customHeight="1">
      <c r="A156" s="421" t="s">
        <v>877</v>
      </c>
      <c r="B156" s="426">
        <v>128500</v>
      </c>
      <c r="C156" s="426">
        <v>10000</v>
      </c>
      <c r="D156" s="426">
        <v>6691.2</v>
      </c>
      <c r="E156" s="409">
        <f t="shared" si="56"/>
        <v>5.20715953307393</v>
      </c>
      <c r="F156" s="409"/>
      <c r="G156" s="426">
        <v>6691.2</v>
      </c>
      <c r="I156" s="421" t="s">
        <v>877</v>
      </c>
      <c r="J156" s="414">
        <f>ROUND(B156/1000,0)</f>
        <v>129</v>
      </c>
      <c r="K156" s="414">
        <v>10</v>
      </c>
      <c r="L156" s="414">
        <v>7</v>
      </c>
      <c r="M156" s="415">
        <f t="shared" si="57"/>
        <v>5.426356589147287</v>
      </c>
      <c r="N156" s="415">
        <f t="shared" si="58"/>
        <v>70</v>
      </c>
      <c r="O156" s="414">
        <v>7</v>
      </c>
    </row>
    <row r="157" spans="1:15" ht="12.75" customHeight="1">
      <c r="A157" s="418" t="s">
        <v>885</v>
      </c>
      <c r="B157" s="428"/>
      <c r="C157" s="428"/>
      <c r="D157" s="428"/>
      <c r="E157" s="428"/>
      <c r="F157" s="428"/>
      <c r="G157" s="428"/>
      <c r="I157" s="418" t="s">
        <v>885</v>
      </c>
      <c r="J157" s="428"/>
      <c r="K157" s="428"/>
      <c r="L157" s="428"/>
      <c r="M157" s="415"/>
      <c r="N157" s="415"/>
      <c r="O157" s="428"/>
    </row>
    <row r="158" spans="1:15" ht="12.75" customHeight="1">
      <c r="A158" s="412" t="s">
        <v>284</v>
      </c>
      <c r="B158" s="426">
        <f aca="true" t="shared" si="64" ref="B158:G158">SUM(B159)</f>
        <v>737898</v>
      </c>
      <c r="C158" s="426">
        <f t="shared" si="64"/>
        <v>160787</v>
      </c>
      <c r="D158" s="426">
        <f t="shared" si="64"/>
        <v>160787</v>
      </c>
      <c r="E158" s="409">
        <f t="shared" si="56"/>
        <v>21.789867976332772</v>
      </c>
      <c r="F158" s="409">
        <f t="shared" si="42"/>
        <v>100</v>
      </c>
      <c r="G158" s="426">
        <f t="shared" si="64"/>
        <v>56154</v>
      </c>
      <c r="I158" s="412" t="s">
        <v>284</v>
      </c>
      <c r="J158" s="414">
        <f>J159</f>
        <v>738</v>
      </c>
      <c r="K158" s="414">
        <f>K159</f>
        <v>161</v>
      </c>
      <c r="L158" s="414">
        <f>L159</f>
        <v>161</v>
      </c>
      <c r="M158" s="415">
        <f t="shared" si="57"/>
        <v>21.81571815718157</v>
      </c>
      <c r="N158" s="415">
        <f t="shared" si="58"/>
        <v>100</v>
      </c>
      <c r="O158" s="414">
        <f>O159</f>
        <v>56</v>
      </c>
    </row>
    <row r="159" spans="1:15" ht="12.75" customHeight="1">
      <c r="A159" s="412" t="s">
        <v>285</v>
      </c>
      <c r="B159" s="426">
        <v>737898</v>
      </c>
      <c r="C159" s="426">
        <v>160787</v>
      </c>
      <c r="D159" s="426">
        <v>160787</v>
      </c>
      <c r="E159" s="409">
        <f t="shared" si="56"/>
        <v>21.789867976332772</v>
      </c>
      <c r="F159" s="409">
        <f t="shared" si="42"/>
        <v>100</v>
      </c>
      <c r="G159" s="426">
        <f>D159-'[11]februāris'!D159</f>
        <v>56154</v>
      </c>
      <c r="I159" s="412" t="s">
        <v>285</v>
      </c>
      <c r="J159" s="414">
        <f>ROUND(B159/1000,0)</f>
        <v>738</v>
      </c>
      <c r="K159" s="414">
        <f>ROUND(C159/1000,0)</f>
        <v>161</v>
      </c>
      <c r="L159" s="414">
        <f>ROUND(D159/1000,0)</f>
        <v>161</v>
      </c>
      <c r="M159" s="415">
        <f t="shared" si="57"/>
        <v>21.81571815718157</v>
      </c>
      <c r="N159" s="415">
        <f t="shared" si="58"/>
        <v>100</v>
      </c>
      <c r="O159" s="414">
        <f>ROUND(G159/1000,0)</f>
        <v>56</v>
      </c>
    </row>
    <row r="160" spans="1:15" ht="12.75" customHeight="1">
      <c r="A160" s="418" t="s">
        <v>881</v>
      </c>
      <c r="B160" s="428">
        <f aca="true" t="shared" si="65" ref="B160:G160">SUM(B161)</f>
        <v>737898</v>
      </c>
      <c r="C160" s="428">
        <f t="shared" si="65"/>
        <v>160787</v>
      </c>
      <c r="D160" s="428">
        <f t="shared" si="65"/>
        <v>160783.47</v>
      </c>
      <c r="E160" s="409">
        <f t="shared" si="56"/>
        <v>21.7893895904312</v>
      </c>
      <c r="F160" s="409">
        <f t="shared" si="42"/>
        <v>99.99780454887522</v>
      </c>
      <c r="G160" s="428">
        <f t="shared" si="65"/>
        <v>56157.65</v>
      </c>
      <c r="H160" s="430"/>
      <c r="I160" s="418" t="s">
        <v>881</v>
      </c>
      <c r="J160" s="406">
        <f>J161+J162</f>
        <v>738</v>
      </c>
      <c r="K160" s="406">
        <f>K161+K162</f>
        <v>161</v>
      </c>
      <c r="L160" s="406">
        <f>L161+L162</f>
        <v>161</v>
      </c>
      <c r="M160" s="411">
        <f t="shared" si="57"/>
        <v>21.81571815718157</v>
      </c>
      <c r="N160" s="411">
        <f t="shared" si="58"/>
        <v>100</v>
      </c>
      <c r="O160" s="406">
        <f>O161+O162</f>
        <v>56</v>
      </c>
    </row>
    <row r="161" spans="1:15" ht="12.75" customHeight="1">
      <c r="A161" s="421" t="s">
        <v>876</v>
      </c>
      <c r="B161" s="426">
        <v>737898</v>
      </c>
      <c r="C161" s="426">
        <v>160787</v>
      </c>
      <c r="D161" s="426">
        <v>160783.47</v>
      </c>
      <c r="E161" s="409">
        <f t="shared" si="56"/>
        <v>21.7893895904312</v>
      </c>
      <c r="F161" s="409">
        <f t="shared" si="42"/>
        <v>99.99780454887522</v>
      </c>
      <c r="G161" s="426">
        <v>56157.65</v>
      </c>
      <c r="I161" s="421" t="s">
        <v>876</v>
      </c>
      <c r="J161" s="414">
        <f>ROUND(B161/1000,0)</f>
        <v>738</v>
      </c>
      <c r="K161" s="414">
        <f>ROUND(C161/1000,0)</f>
        <v>161</v>
      </c>
      <c r="L161" s="414">
        <f>ROUND(D161/1000,0)</f>
        <v>161</v>
      </c>
      <c r="M161" s="415">
        <f t="shared" si="57"/>
        <v>21.81571815718157</v>
      </c>
      <c r="N161" s="415">
        <f t="shared" si="58"/>
        <v>100</v>
      </c>
      <c r="O161" s="414">
        <f>ROUND(G161/1000,0)</f>
        <v>56</v>
      </c>
    </row>
    <row r="162" spans="1:15" ht="12.75" customHeight="1">
      <c r="A162" s="418" t="s">
        <v>886</v>
      </c>
      <c r="B162" s="428"/>
      <c r="C162" s="428"/>
      <c r="D162" s="428"/>
      <c r="E162" s="428"/>
      <c r="F162" s="428"/>
      <c r="G162" s="428"/>
      <c r="I162" s="418" t="s">
        <v>886</v>
      </c>
      <c r="J162" s="428"/>
      <c r="K162" s="428"/>
      <c r="L162" s="428"/>
      <c r="M162" s="415"/>
      <c r="N162" s="415"/>
      <c r="O162" s="428"/>
    </row>
    <row r="163" spans="1:15" ht="12.75" customHeight="1">
      <c r="A163" s="412" t="s">
        <v>284</v>
      </c>
      <c r="B163" s="426">
        <f aca="true" t="shared" si="66" ref="B163:G163">SUM(B164:B165)</f>
        <v>335805</v>
      </c>
      <c r="C163" s="426">
        <f t="shared" si="66"/>
        <v>70507</v>
      </c>
      <c r="D163" s="426">
        <f t="shared" si="66"/>
        <v>70602.38</v>
      </c>
      <c r="E163" s="409">
        <f t="shared" si="56"/>
        <v>21.02481499679874</v>
      </c>
      <c r="F163" s="409">
        <f t="shared" si="42"/>
        <v>100.1352773483484</v>
      </c>
      <c r="G163" s="426">
        <f t="shared" si="66"/>
        <v>24100</v>
      </c>
      <c r="I163" s="412" t="s">
        <v>284</v>
      </c>
      <c r="J163" s="414">
        <f>J164+J165</f>
        <v>336</v>
      </c>
      <c r="K163" s="414">
        <f>K164+K165</f>
        <v>71</v>
      </c>
      <c r="L163" s="414">
        <f>L164+L165</f>
        <v>71</v>
      </c>
      <c r="M163" s="415">
        <f t="shared" si="57"/>
        <v>21.13095238095238</v>
      </c>
      <c r="N163" s="415">
        <f t="shared" si="58"/>
        <v>100</v>
      </c>
      <c r="O163" s="414">
        <f>O164+O165</f>
        <v>24</v>
      </c>
    </row>
    <row r="164" spans="1:15" ht="12.75" customHeight="1">
      <c r="A164" s="412" t="s">
        <v>285</v>
      </c>
      <c r="B164" s="426">
        <v>316689</v>
      </c>
      <c r="C164" s="426">
        <v>69007</v>
      </c>
      <c r="D164" s="426">
        <v>69007</v>
      </c>
      <c r="E164" s="409">
        <f t="shared" si="56"/>
        <v>21.79014743170745</v>
      </c>
      <c r="F164" s="409">
        <f t="shared" si="42"/>
        <v>100</v>
      </c>
      <c r="G164" s="426">
        <f>D164-'[11]februāris'!D164</f>
        <v>24100</v>
      </c>
      <c r="I164" s="412" t="s">
        <v>285</v>
      </c>
      <c r="J164" s="414">
        <f aca="true" t="shared" si="67" ref="J164:L165">ROUND(B164/1000,0)</f>
        <v>317</v>
      </c>
      <c r="K164" s="414">
        <f t="shared" si="67"/>
        <v>69</v>
      </c>
      <c r="L164" s="414">
        <f t="shared" si="67"/>
        <v>69</v>
      </c>
      <c r="M164" s="415">
        <f t="shared" si="57"/>
        <v>21.766561514195583</v>
      </c>
      <c r="N164" s="415">
        <f t="shared" si="58"/>
        <v>100</v>
      </c>
      <c r="O164" s="414">
        <f>ROUND(G164/1000,0)</f>
        <v>24</v>
      </c>
    </row>
    <row r="165" spans="1:15" ht="12.75" customHeight="1">
      <c r="A165" s="412" t="s">
        <v>929</v>
      </c>
      <c r="B165" s="426">
        <v>19116</v>
      </c>
      <c r="C165" s="426">
        <v>1500</v>
      </c>
      <c r="D165" s="426">
        <v>1595.38</v>
      </c>
      <c r="E165" s="409">
        <f t="shared" si="56"/>
        <v>8.34578363674409</v>
      </c>
      <c r="F165" s="409">
        <f t="shared" si="42"/>
        <v>106.35866666666666</v>
      </c>
      <c r="G165" s="426"/>
      <c r="I165" s="412" t="s">
        <v>929</v>
      </c>
      <c r="J165" s="414">
        <f t="shared" si="67"/>
        <v>19</v>
      </c>
      <c r="K165" s="414">
        <f t="shared" si="67"/>
        <v>2</v>
      </c>
      <c r="L165" s="414">
        <f t="shared" si="67"/>
        <v>2</v>
      </c>
      <c r="M165" s="415">
        <f t="shared" si="57"/>
        <v>10.526315789473683</v>
      </c>
      <c r="N165" s="415">
        <f t="shared" si="58"/>
        <v>100</v>
      </c>
      <c r="O165" s="414">
        <f>ROUND(G165/1000,0)</f>
        <v>0</v>
      </c>
    </row>
    <row r="166" spans="1:15" ht="12.75" customHeight="1">
      <c r="A166" s="418" t="s">
        <v>881</v>
      </c>
      <c r="B166" s="428">
        <f aca="true" t="shared" si="68" ref="B166:G166">SUM(B167:B168)</f>
        <v>335805</v>
      </c>
      <c r="C166" s="428">
        <f t="shared" si="68"/>
        <v>70507</v>
      </c>
      <c r="D166" s="428">
        <f t="shared" si="68"/>
        <v>68537.23000000001</v>
      </c>
      <c r="E166" s="409">
        <f t="shared" si="56"/>
        <v>20.40983010973631</v>
      </c>
      <c r="F166" s="409">
        <f t="shared" si="42"/>
        <v>97.20627739089738</v>
      </c>
      <c r="G166" s="428">
        <f t="shared" si="68"/>
        <v>23090.35</v>
      </c>
      <c r="I166" s="418" t="s">
        <v>881</v>
      </c>
      <c r="J166" s="406">
        <f>J167+J168</f>
        <v>336</v>
      </c>
      <c r="K166" s="406">
        <f>K167+K168</f>
        <v>70</v>
      </c>
      <c r="L166" s="406">
        <f>L167+L168</f>
        <v>69</v>
      </c>
      <c r="M166" s="411">
        <f t="shared" si="57"/>
        <v>20.535714285714285</v>
      </c>
      <c r="N166" s="411">
        <f t="shared" si="58"/>
        <v>98.57142857142858</v>
      </c>
      <c r="O166" s="406">
        <f>O167+O168</f>
        <v>23</v>
      </c>
    </row>
    <row r="167" spans="1:15" ht="12.75" customHeight="1">
      <c r="A167" s="421" t="s">
        <v>876</v>
      </c>
      <c r="B167" s="426">
        <v>315805</v>
      </c>
      <c r="C167" s="426">
        <v>69507</v>
      </c>
      <c r="D167" s="426">
        <v>67589.63</v>
      </c>
      <c r="E167" s="409">
        <f t="shared" si="56"/>
        <v>21.402330552081192</v>
      </c>
      <c r="F167" s="409">
        <f t="shared" si="42"/>
        <v>97.24147208194859</v>
      </c>
      <c r="G167" s="426">
        <v>23090.35</v>
      </c>
      <c r="I167" s="421" t="s">
        <v>876</v>
      </c>
      <c r="J167" s="414">
        <f>ROUND(B167/1000,0)</f>
        <v>316</v>
      </c>
      <c r="K167" s="414">
        <v>69</v>
      </c>
      <c r="L167" s="414">
        <f>ROUND(D167/1000,0)</f>
        <v>68</v>
      </c>
      <c r="M167" s="415">
        <f t="shared" si="57"/>
        <v>21.518987341772153</v>
      </c>
      <c r="N167" s="415">
        <f t="shared" si="58"/>
        <v>98.55072463768117</v>
      </c>
      <c r="O167" s="414">
        <f>ROUND(G167/1000,0)</f>
        <v>23</v>
      </c>
    </row>
    <row r="168" spans="1:15" ht="12.75" customHeight="1">
      <c r="A168" s="421" t="s">
        <v>877</v>
      </c>
      <c r="B168" s="426">
        <v>20000</v>
      </c>
      <c r="C168" s="426">
        <v>1000</v>
      </c>
      <c r="D168" s="426">
        <v>947.6</v>
      </c>
      <c r="E168" s="409">
        <f t="shared" si="56"/>
        <v>4.7379999999999995</v>
      </c>
      <c r="F168" s="409">
        <f t="shared" si="42"/>
        <v>94.76</v>
      </c>
      <c r="G168" s="426"/>
      <c r="I168" s="421" t="s">
        <v>877</v>
      </c>
      <c r="J168" s="414">
        <f>ROUND(B168/1000,0)</f>
        <v>20</v>
      </c>
      <c r="K168" s="414">
        <f>ROUND(C168/1000,0)</f>
        <v>1</v>
      </c>
      <c r="L168" s="414">
        <f>ROUND(D168/1000,0)</f>
        <v>1</v>
      </c>
      <c r="M168" s="415">
        <f t="shared" si="57"/>
        <v>5</v>
      </c>
      <c r="N168" s="415">
        <f t="shared" si="58"/>
        <v>100</v>
      </c>
      <c r="O168" s="414">
        <f>ROUND(G168/1000,0)</f>
        <v>0</v>
      </c>
    </row>
    <row r="169" spans="1:15" ht="12.75" customHeight="1">
      <c r="A169" s="418" t="s">
        <v>887</v>
      </c>
      <c r="B169" s="426"/>
      <c r="C169" s="426"/>
      <c r="D169" s="426"/>
      <c r="E169" s="426"/>
      <c r="F169" s="426"/>
      <c r="G169" s="426"/>
      <c r="I169" s="418" t="s">
        <v>887</v>
      </c>
      <c r="J169" s="426"/>
      <c r="K169" s="426"/>
      <c r="L169" s="426"/>
      <c r="M169" s="415"/>
      <c r="N169" s="415"/>
      <c r="O169" s="426"/>
    </row>
    <row r="170" spans="1:15" ht="12.75" customHeight="1">
      <c r="A170" s="412" t="s">
        <v>284</v>
      </c>
      <c r="B170" s="426">
        <f aca="true" t="shared" si="69" ref="B170:G170">SUM(B171:B172)</f>
        <v>6428814</v>
      </c>
      <c r="C170" s="426">
        <f t="shared" si="69"/>
        <v>1475097</v>
      </c>
      <c r="D170" s="426">
        <f t="shared" si="69"/>
        <v>1477309.07</v>
      </c>
      <c r="E170" s="409">
        <f t="shared" si="56"/>
        <v>22.97949621812048</v>
      </c>
      <c r="F170" s="409">
        <f t="shared" si="42"/>
        <v>100.14996098561654</v>
      </c>
      <c r="G170" s="426">
        <f t="shared" si="69"/>
        <v>500120.47</v>
      </c>
      <c r="I170" s="412" t="s">
        <v>284</v>
      </c>
      <c r="J170" s="414">
        <f>J171+J172</f>
        <v>6429</v>
      </c>
      <c r="K170" s="414">
        <f>K171+K172</f>
        <v>1475</v>
      </c>
      <c r="L170" s="414">
        <f>L171+L172</f>
        <v>1477</v>
      </c>
      <c r="M170" s="415">
        <f t="shared" si="57"/>
        <v>22.974023953958625</v>
      </c>
      <c r="N170" s="415">
        <f t="shared" si="58"/>
        <v>100.13559322033898</v>
      </c>
      <c r="O170" s="414">
        <f>O171+O172</f>
        <v>501</v>
      </c>
    </row>
    <row r="171" spans="1:15" ht="12.75" customHeight="1">
      <c r="A171" s="412" t="s">
        <v>285</v>
      </c>
      <c r="B171" s="426">
        <v>6419814</v>
      </c>
      <c r="C171" s="426">
        <v>1472847</v>
      </c>
      <c r="D171" s="426">
        <v>1472847</v>
      </c>
      <c r="E171" s="409">
        <f t="shared" si="56"/>
        <v>22.94220673683069</v>
      </c>
      <c r="F171" s="409">
        <f t="shared" si="42"/>
        <v>100</v>
      </c>
      <c r="G171" s="426">
        <f>D171-'[11]februāris'!D171</f>
        <v>498563</v>
      </c>
      <c r="I171" s="412" t="s">
        <v>285</v>
      </c>
      <c r="J171" s="414">
        <f aca="true" t="shared" si="70" ref="J171:L172">ROUND(B171/1000,0)</f>
        <v>6420</v>
      </c>
      <c r="K171" s="414">
        <f t="shared" si="70"/>
        <v>1473</v>
      </c>
      <c r="L171" s="414">
        <f t="shared" si="70"/>
        <v>1473</v>
      </c>
      <c r="M171" s="415">
        <f t="shared" si="57"/>
        <v>22.943925233644862</v>
      </c>
      <c r="N171" s="415">
        <f t="shared" si="58"/>
        <v>100</v>
      </c>
      <c r="O171" s="414">
        <f>ROUND(G171/1000,0)</f>
        <v>499</v>
      </c>
    </row>
    <row r="172" spans="1:15" ht="12.75" customHeight="1">
      <c r="A172" s="412" t="s">
        <v>929</v>
      </c>
      <c r="B172" s="426">
        <v>9000</v>
      </c>
      <c r="C172" s="426">
        <v>2250</v>
      </c>
      <c r="D172" s="426">
        <v>4462.07</v>
      </c>
      <c r="E172" s="409">
        <f t="shared" si="56"/>
        <v>49.57855555555555</v>
      </c>
      <c r="F172" s="409">
        <f t="shared" si="42"/>
        <v>198.3142222222222</v>
      </c>
      <c r="G172" s="426">
        <v>1557.47</v>
      </c>
      <c r="I172" s="412" t="s">
        <v>929</v>
      </c>
      <c r="J172" s="414">
        <f t="shared" si="70"/>
        <v>9</v>
      </c>
      <c r="K172" s="414">
        <f t="shared" si="70"/>
        <v>2</v>
      </c>
      <c r="L172" s="414">
        <f t="shared" si="70"/>
        <v>4</v>
      </c>
      <c r="M172" s="415">
        <f t="shared" si="57"/>
        <v>44.44444444444444</v>
      </c>
      <c r="N172" s="415">
        <f t="shared" si="58"/>
        <v>200</v>
      </c>
      <c r="O172" s="414">
        <f>ROUND(G172/1000,0)</f>
        <v>2</v>
      </c>
    </row>
    <row r="173" spans="1:15" ht="12.75" customHeight="1">
      <c r="A173" s="418" t="s">
        <v>881</v>
      </c>
      <c r="B173" s="428">
        <f aca="true" t="shared" si="71" ref="B173:G173">SUM(B174:B175)</f>
        <v>6428814</v>
      </c>
      <c r="C173" s="428">
        <f t="shared" si="71"/>
        <v>1475097</v>
      </c>
      <c r="D173" s="428">
        <f t="shared" si="71"/>
        <v>1465811.48</v>
      </c>
      <c r="E173" s="409">
        <f t="shared" si="56"/>
        <v>22.800651566525335</v>
      </c>
      <c r="F173" s="409">
        <f t="shared" si="42"/>
        <v>99.37051461700484</v>
      </c>
      <c r="G173" s="428">
        <f t="shared" si="71"/>
        <v>601432.0900000001</v>
      </c>
      <c r="I173" s="418" t="s">
        <v>881</v>
      </c>
      <c r="J173" s="406">
        <f>J174+J175</f>
        <v>6429</v>
      </c>
      <c r="K173" s="406">
        <f>K174+K175</f>
        <v>1475</v>
      </c>
      <c r="L173" s="406">
        <f>L174+L175</f>
        <v>1466</v>
      </c>
      <c r="M173" s="411">
        <f t="shared" si="57"/>
        <v>22.802924249494477</v>
      </c>
      <c r="N173" s="411">
        <f t="shared" si="58"/>
        <v>99.38983050847457</v>
      </c>
      <c r="O173" s="406">
        <f>O174+O175</f>
        <v>602</v>
      </c>
    </row>
    <row r="174" spans="1:15" ht="12.75" customHeight="1">
      <c r="A174" s="421" t="s">
        <v>876</v>
      </c>
      <c r="B174" s="426">
        <v>6285754</v>
      </c>
      <c r="C174" s="426">
        <v>1471597</v>
      </c>
      <c r="D174" s="426">
        <v>1463930.73</v>
      </c>
      <c r="E174" s="409">
        <f t="shared" si="56"/>
        <v>23.28965991987596</v>
      </c>
      <c r="F174" s="409">
        <f t="shared" si="42"/>
        <v>99.47905099018277</v>
      </c>
      <c r="G174" s="426">
        <v>600497.06</v>
      </c>
      <c r="I174" s="421" t="s">
        <v>876</v>
      </c>
      <c r="J174" s="414">
        <f aca="true" t="shared" si="72" ref="J174:L175">ROUND(B174/1000,0)</f>
        <v>6286</v>
      </c>
      <c r="K174" s="414">
        <f t="shared" si="72"/>
        <v>1472</v>
      </c>
      <c r="L174" s="414">
        <f t="shared" si="72"/>
        <v>1464</v>
      </c>
      <c r="M174" s="415">
        <f t="shared" si="57"/>
        <v>23.289850461342667</v>
      </c>
      <c r="N174" s="415">
        <f t="shared" si="58"/>
        <v>99.45652173913044</v>
      </c>
      <c r="O174" s="414">
        <f>ROUND(G174/1000,0)+1</f>
        <v>601</v>
      </c>
    </row>
    <row r="175" spans="1:15" ht="12.75" customHeight="1">
      <c r="A175" s="421" t="s">
        <v>877</v>
      </c>
      <c r="B175" s="426">
        <v>143060</v>
      </c>
      <c r="C175" s="426">
        <v>3500</v>
      </c>
      <c r="D175" s="426">
        <v>1880.75</v>
      </c>
      <c r="E175" s="409">
        <f t="shared" si="56"/>
        <v>1.314658185376765</v>
      </c>
      <c r="F175" s="409">
        <f t="shared" si="42"/>
        <v>53.73571428571429</v>
      </c>
      <c r="G175" s="426">
        <v>935.03</v>
      </c>
      <c r="I175" s="421" t="s">
        <v>877</v>
      </c>
      <c r="J175" s="414">
        <f t="shared" si="72"/>
        <v>143</v>
      </c>
      <c r="K175" s="414">
        <f>ROUND(C175/1000,0)-1</f>
        <v>3</v>
      </c>
      <c r="L175" s="414">
        <f t="shared" si="72"/>
        <v>2</v>
      </c>
      <c r="M175" s="415">
        <f t="shared" si="57"/>
        <v>1.3986013986013985</v>
      </c>
      <c r="N175" s="415">
        <f t="shared" si="58"/>
        <v>66.66666666666666</v>
      </c>
      <c r="O175" s="414">
        <f>ROUND(G175/1000,0)</f>
        <v>1</v>
      </c>
    </row>
    <row r="176" spans="1:15" ht="12.75" customHeight="1">
      <c r="A176" s="405" t="s">
        <v>888</v>
      </c>
      <c r="B176" s="428"/>
      <c r="C176" s="428"/>
      <c r="D176" s="428"/>
      <c r="E176" s="428"/>
      <c r="F176" s="428"/>
      <c r="G176" s="428"/>
      <c r="I176" s="405" t="s">
        <v>888</v>
      </c>
      <c r="J176" s="428"/>
      <c r="K176" s="428"/>
      <c r="L176" s="428"/>
      <c r="M176" s="415"/>
      <c r="N176" s="415"/>
      <c r="O176" s="428"/>
    </row>
    <row r="177" spans="1:15" ht="12.75" customHeight="1">
      <c r="A177" s="412" t="s">
        <v>284</v>
      </c>
      <c r="B177" s="426">
        <f aca="true" t="shared" si="73" ref="B177:G177">SUM(B178)</f>
        <v>230269</v>
      </c>
      <c r="C177" s="426">
        <f t="shared" si="73"/>
        <v>111091</v>
      </c>
      <c r="D177" s="426">
        <f t="shared" si="73"/>
        <v>111091</v>
      </c>
      <c r="E177" s="409">
        <f t="shared" si="56"/>
        <v>48.24401026625382</v>
      </c>
      <c r="F177" s="409">
        <f t="shared" si="42"/>
        <v>100</v>
      </c>
      <c r="G177" s="426">
        <f t="shared" si="73"/>
        <v>20319</v>
      </c>
      <c r="I177" s="412" t="s">
        <v>284</v>
      </c>
      <c r="J177" s="414">
        <f>J178</f>
        <v>230</v>
      </c>
      <c r="K177" s="414">
        <f>K178</f>
        <v>111</v>
      </c>
      <c r="L177" s="414">
        <f>L178</f>
        <v>111</v>
      </c>
      <c r="M177" s="415">
        <f t="shared" si="57"/>
        <v>48.26086956521739</v>
      </c>
      <c r="N177" s="415">
        <f t="shared" si="58"/>
        <v>100</v>
      </c>
      <c r="O177" s="414">
        <f>O178</f>
        <v>20</v>
      </c>
    </row>
    <row r="178" spans="1:15" ht="12.75" customHeight="1">
      <c r="A178" s="412" t="s">
        <v>285</v>
      </c>
      <c r="B178" s="426">
        <v>230269</v>
      </c>
      <c r="C178" s="426">
        <v>111091</v>
      </c>
      <c r="D178" s="426">
        <v>111091</v>
      </c>
      <c r="E178" s="409">
        <f t="shared" si="56"/>
        <v>48.24401026625382</v>
      </c>
      <c r="F178" s="409">
        <f t="shared" si="42"/>
        <v>100</v>
      </c>
      <c r="G178" s="426">
        <f>D178-'[11]februāris'!D178</f>
        <v>20319</v>
      </c>
      <c r="I178" s="412" t="s">
        <v>285</v>
      </c>
      <c r="J178" s="414">
        <f>ROUND(B178/1000,0)</f>
        <v>230</v>
      </c>
      <c r="K178" s="414">
        <f>ROUND(C178/1000,0)</f>
        <v>111</v>
      </c>
      <c r="L178" s="414">
        <f>ROUND(D178/1000,0)</f>
        <v>111</v>
      </c>
      <c r="M178" s="415">
        <f t="shared" si="57"/>
        <v>48.26086956521739</v>
      </c>
      <c r="N178" s="415">
        <f t="shared" si="58"/>
        <v>100</v>
      </c>
      <c r="O178" s="414">
        <f>ROUND(G178/1000,0)</f>
        <v>20</v>
      </c>
    </row>
    <row r="179" spans="1:15" ht="12.75" customHeight="1">
      <c r="A179" s="418" t="s">
        <v>881</v>
      </c>
      <c r="B179" s="428">
        <f aca="true" t="shared" si="74" ref="B179:G179">SUM(B180:B181)</f>
        <v>230269</v>
      </c>
      <c r="C179" s="428">
        <f t="shared" si="74"/>
        <v>111091</v>
      </c>
      <c r="D179" s="428">
        <f t="shared" si="74"/>
        <v>107298.05</v>
      </c>
      <c r="E179" s="409">
        <f t="shared" si="56"/>
        <v>46.59682805761957</v>
      </c>
      <c r="F179" s="409">
        <f t="shared" si="42"/>
        <v>96.58572701659</v>
      </c>
      <c r="G179" s="428">
        <f t="shared" si="74"/>
        <v>20328.35</v>
      </c>
      <c r="I179" s="418" t="s">
        <v>881</v>
      </c>
      <c r="J179" s="406">
        <f>J180+J181</f>
        <v>230</v>
      </c>
      <c r="K179" s="406">
        <f>K180+K181</f>
        <v>111</v>
      </c>
      <c r="L179" s="406">
        <f>L180+L181</f>
        <v>107</v>
      </c>
      <c r="M179" s="411">
        <f t="shared" si="57"/>
        <v>46.52173913043478</v>
      </c>
      <c r="N179" s="411">
        <f t="shared" si="58"/>
        <v>96.3963963963964</v>
      </c>
      <c r="O179" s="406">
        <f>O180+O181</f>
        <v>20</v>
      </c>
    </row>
    <row r="180" spans="1:15" ht="12.75" customHeight="1">
      <c r="A180" s="421" t="s">
        <v>876</v>
      </c>
      <c r="B180" s="426">
        <v>216269</v>
      </c>
      <c r="C180" s="426">
        <v>98591</v>
      </c>
      <c r="D180" s="426">
        <v>95007.27</v>
      </c>
      <c r="E180" s="409">
        <f t="shared" si="56"/>
        <v>43.93013793007782</v>
      </c>
      <c r="F180" s="409">
        <f t="shared" si="42"/>
        <v>96.36505360529867</v>
      </c>
      <c r="G180" s="426">
        <v>20328.35</v>
      </c>
      <c r="I180" s="421" t="s">
        <v>876</v>
      </c>
      <c r="J180" s="414">
        <f>ROUND(B180/1000,0)</f>
        <v>216</v>
      </c>
      <c r="K180" s="414">
        <f>ROUND(C180/1000,0)</f>
        <v>99</v>
      </c>
      <c r="L180" s="414">
        <f>ROUND(D180/1000,0)</f>
        <v>95</v>
      </c>
      <c r="M180" s="415">
        <f t="shared" si="57"/>
        <v>43.98148148148148</v>
      </c>
      <c r="N180" s="415">
        <f t="shared" si="58"/>
        <v>95.95959595959596</v>
      </c>
      <c r="O180" s="414">
        <f>ROUND(G180/1000,0)</f>
        <v>20</v>
      </c>
    </row>
    <row r="181" spans="1:15" ht="12.75" customHeight="1">
      <c r="A181" s="421" t="s">
        <v>877</v>
      </c>
      <c r="B181" s="426">
        <v>14000</v>
      </c>
      <c r="C181" s="426">
        <v>12500</v>
      </c>
      <c r="D181" s="426">
        <v>12290.78</v>
      </c>
      <c r="E181" s="409">
        <f t="shared" si="56"/>
        <v>87.79128571428572</v>
      </c>
      <c r="F181" s="409">
        <f t="shared" si="42"/>
        <v>98.32624000000001</v>
      </c>
      <c r="G181" s="426"/>
      <c r="I181" s="421" t="s">
        <v>877</v>
      </c>
      <c r="J181" s="414">
        <f>ROUND(B181/1000,0)</f>
        <v>14</v>
      </c>
      <c r="K181" s="414">
        <v>12</v>
      </c>
      <c r="L181" s="414">
        <f>ROUND(D181/1000,0)</f>
        <v>12</v>
      </c>
      <c r="M181" s="415">
        <f t="shared" si="57"/>
        <v>85.71428571428571</v>
      </c>
      <c r="N181" s="415">
        <f t="shared" si="58"/>
        <v>100</v>
      </c>
      <c r="O181" s="414">
        <f>ROUND(G181/1000,0)</f>
        <v>0</v>
      </c>
    </row>
    <row r="182" spans="1:15" ht="12.75" customHeight="1">
      <c r="A182" s="427" t="s">
        <v>889</v>
      </c>
      <c r="B182" s="428"/>
      <c r="C182" s="428"/>
      <c r="D182" s="428"/>
      <c r="E182" s="428"/>
      <c r="F182" s="428"/>
      <c r="G182" s="428"/>
      <c r="I182" s="427" t="s">
        <v>889</v>
      </c>
      <c r="J182" s="428"/>
      <c r="K182" s="428"/>
      <c r="L182" s="428"/>
      <c r="M182" s="415"/>
      <c r="N182" s="415"/>
      <c r="O182" s="428"/>
    </row>
    <row r="183" spans="1:15" ht="12.75" customHeight="1">
      <c r="A183" s="412" t="s">
        <v>284</v>
      </c>
      <c r="B183" s="426">
        <f aca="true" t="shared" si="75" ref="B183:G183">SUM(B184)</f>
        <v>51951</v>
      </c>
      <c r="C183" s="426">
        <f t="shared" si="75"/>
        <v>11517</v>
      </c>
      <c r="D183" s="426">
        <f t="shared" si="75"/>
        <v>11517</v>
      </c>
      <c r="E183" s="409">
        <f t="shared" si="56"/>
        <v>22.168966911127793</v>
      </c>
      <c r="F183" s="409">
        <f t="shared" si="42"/>
        <v>100</v>
      </c>
      <c r="G183" s="426">
        <f t="shared" si="75"/>
        <v>3953</v>
      </c>
      <c r="I183" s="412" t="s">
        <v>284</v>
      </c>
      <c r="J183" s="414">
        <f>J184</f>
        <v>52</v>
      </c>
      <c r="K183" s="414">
        <f>K184</f>
        <v>12</v>
      </c>
      <c r="L183" s="414">
        <f>L184</f>
        <v>12</v>
      </c>
      <c r="M183" s="415">
        <f t="shared" si="57"/>
        <v>23.076923076923077</v>
      </c>
      <c r="N183" s="415">
        <f t="shared" si="58"/>
        <v>100</v>
      </c>
      <c r="O183" s="414">
        <f>O184</f>
        <v>4</v>
      </c>
    </row>
    <row r="184" spans="1:15" ht="12.75" customHeight="1">
      <c r="A184" s="412" t="s">
        <v>285</v>
      </c>
      <c r="B184" s="426">
        <v>51951</v>
      </c>
      <c r="C184" s="426">
        <v>11517</v>
      </c>
      <c r="D184" s="426">
        <v>11517</v>
      </c>
      <c r="E184" s="409">
        <f t="shared" si="56"/>
        <v>22.168966911127793</v>
      </c>
      <c r="F184" s="409">
        <f t="shared" si="42"/>
        <v>100</v>
      </c>
      <c r="G184" s="426">
        <f>D184-'[11]februāris'!D184</f>
        <v>3953</v>
      </c>
      <c r="I184" s="412" t="s">
        <v>285</v>
      </c>
      <c r="J184" s="414">
        <f>ROUND(B184/1000,0)</f>
        <v>52</v>
      </c>
      <c r="K184" s="414">
        <f>ROUND(C184/1000,0)</f>
        <v>12</v>
      </c>
      <c r="L184" s="414">
        <f>ROUND(D184/1000,0)</f>
        <v>12</v>
      </c>
      <c r="M184" s="415">
        <f t="shared" si="57"/>
        <v>23.076923076923077</v>
      </c>
      <c r="N184" s="415">
        <f t="shared" si="58"/>
        <v>100</v>
      </c>
      <c r="O184" s="414">
        <f>ROUND(G184/1000,0)</f>
        <v>4</v>
      </c>
    </row>
    <row r="185" spans="1:15" ht="12.75" customHeight="1">
      <c r="A185" s="418" t="s">
        <v>881</v>
      </c>
      <c r="B185" s="428">
        <f aca="true" t="shared" si="76" ref="B185:G185">SUM(B186)</f>
        <v>51951</v>
      </c>
      <c r="C185" s="428">
        <f t="shared" si="76"/>
        <v>11517</v>
      </c>
      <c r="D185" s="428">
        <f t="shared" si="76"/>
        <v>10025.48</v>
      </c>
      <c r="E185" s="409">
        <f t="shared" si="56"/>
        <v>19.297953841119515</v>
      </c>
      <c r="F185" s="409">
        <f t="shared" si="42"/>
        <v>87.04940522705566</v>
      </c>
      <c r="G185" s="428">
        <f t="shared" si="76"/>
        <v>4165.8</v>
      </c>
      <c r="I185" s="418" t="s">
        <v>881</v>
      </c>
      <c r="J185" s="406">
        <f>J186+J187</f>
        <v>52</v>
      </c>
      <c r="K185" s="406">
        <f>K186+K187</f>
        <v>12</v>
      </c>
      <c r="L185" s="406">
        <f>L186+L187</f>
        <v>10</v>
      </c>
      <c r="M185" s="411">
        <f t="shared" si="57"/>
        <v>19.230769230769234</v>
      </c>
      <c r="N185" s="411">
        <f t="shared" si="58"/>
        <v>83.33333333333334</v>
      </c>
      <c r="O185" s="406">
        <f>O186+O187</f>
        <v>4</v>
      </c>
    </row>
    <row r="186" spans="1:15" ht="12.75" customHeight="1">
      <c r="A186" s="421" t="s">
        <v>876</v>
      </c>
      <c r="B186" s="426">
        <v>51951</v>
      </c>
      <c r="C186" s="426">
        <v>11517</v>
      </c>
      <c r="D186" s="426">
        <v>10025.48</v>
      </c>
      <c r="E186" s="409">
        <f t="shared" si="56"/>
        <v>19.297953841119515</v>
      </c>
      <c r="F186" s="409">
        <f t="shared" si="42"/>
        <v>87.04940522705566</v>
      </c>
      <c r="G186" s="426">
        <v>4165.8</v>
      </c>
      <c r="I186" s="421" t="s">
        <v>876</v>
      </c>
      <c r="J186" s="414">
        <f>ROUND(B186/1000,0)</f>
        <v>52</v>
      </c>
      <c r="K186" s="414">
        <v>12</v>
      </c>
      <c r="L186" s="414">
        <f>ROUND(D186/1000,0)</f>
        <v>10</v>
      </c>
      <c r="M186" s="415">
        <f t="shared" si="57"/>
        <v>19.230769230769234</v>
      </c>
      <c r="N186" s="415">
        <f t="shared" si="58"/>
        <v>83.33333333333334</v>
      </c>
      <c r="O186" s="414">
        <f>ROUND(G186/1000,0)</f>
        <v>4</v>
      </c>
    </row>
    <row r="187" spans="1:15" ht="12.75" customHeight="1">
      <c r="A187" s="427" t="s">
        <v>890</v>
      </c>
      <c r="B187" s="428"/>
      <c r="C187" s="428"/>
      <c r="D187" s="428"/>
      <c r="E187" s="428"/>
      <c r="F187" s="428"/>
      <c r="G187" s="428"/>
      <c r="I187" s="427" t="s">
        <v>890</v>
      </c>
      <c r="J187" s="428"/>
      <c r="K187" s="428"/>
      <c r="L187" s="428"/>
      <c r="M187" s="415"/>
      <c r="N187" s="415"/>
      <c r="O187" s="428"/>
    </row>
    <row r="188" spans="1:15" ht="12.75" customHeight="1">
      <c r="A188" s="412" t="s">
        <v>284</v>
      </c>
      <c r="B188" s="426">
        <f aca="true" t="shared" si="77" ref="B188:G188">SUM(B189)</f>
        <v>1643907</v>
      </c>
      <c r="C188" s="426">
        <f t="shared" si="77"/>
        <v>272900</v>
      </c>
      <c r="D188" s="426">
        <f t="shared" si="77"/>
        <v>272900</v>
      </c>
      <c r="E188" s="409">
        <f t="shared" si="56"/>
        <v>16.60069578145236</v>
      </c>
      <c r="F188" s="409">
        <f t="shared" si="42"/>
        <v>100</v>
      </c>
      <c r="G188" s="426">
        <f t="shared" si="77"/>
        <v>91000</v>
      </c>
      <c r="I188" s="412" t="s">
        <v>284</v>
      </c>
      <c r="J188" s="414">
        <f>J189</f>
        <v>1644</v>
      </c>
      <c r="K188" s="414">
        <f>K189</f>
        <v>273</v>
      </c>
      <c r="L188" s="414">
        <f>L189</f>
        <v>273</v>
      </c>
      <c r="M188" s="415">
        <f t="shared" si="57"/>
        <v>16.605839416058394</v>
      </c>
      <c r="N188" s="415">
        <f t="shared" si="58"/>
        <v>100</v>
      </c>
      <c r="O188" s="414">
        <f>O189</f>
        <v>91</v>
      </c>
    </row>
    <row r="189" spans="1:15" ht="12.75" customHeight="1">
      <c r="A189" s="412" t="s">
        <v>285</v>
      </c>
      <c r="B189" s="426">
        <v>1643907</v>
      </c>
      <c r="C189" s="426">
        <v>272900</v>
      </c>
      <c r="D189" s="426">
        <v>272900</v>
      </c>
      <c r="E189" s="409">
        <f t="shared" si="56"/>
        <v>16.60069578145236</v>
      </c>
      <c r="F189" s="409">
        <f t="shared" si="42"/>
        <v>100</v>
      </c>
      <c r="G189" s="426">
        <f>D189-'[11]februāris'!D189</f>
        <v>91000</v>
      </c>
      <c r="I189" s="412" t="s">
        <v>285</v>
      </c>
      <c r="J189" s="414">
        <f>ROUND(B189/1000,0)</f>
        <v>1644</v>
      </c>
      <c r="K189" s="414">
        <f>ROUND(C189/1000,0)</f>
        <v>273</v>
      </c>
      <c r="L189" s="414">
        <f>ROUND(D189/1000,0)</f>
        <v>273</v>
      </c>
      <c r="M189" s="415">
        <f t="shared" si="57"/>
        <v>16.605839416058394</v>
      </c>
      <c r="N189" s="415">
        <f t="shared" si="58"/>
        <v>100</v>
      </c>
      <c r="O189" s="414">
        <f>ROUND(G189/1000,0)</f>
        <v>91</v>
      </c>
    </row>
    <row r="190" spans="1:15" ht="12.75" customHeight="1">
      <c r="A190" s="418" t="s">
        <v>881</v>
      </c>
      <c r="B190" s="428">
        <f aca="true" t="shared" si="78" ref="B190:G190">SUM(B191)</f>
        <v>1643907</v>
      </c>
      <c r="C190" s="428">
        <f t="shared" si="78"/>
        <v>272900</v>
      </c>
      <c r="D190" s="428">
        <f t="shared" si="78"/>
        <v>272900</v>
      </c>
      <c r="E190" s="409">
        <f t="shared" si="56"/>
        <v>16.60069578145236</v>
      </c>
      <c r="F190" s="409">
        <f t="shared" si="42"/>
        <v>100</v>
      </c>
      <c r="G190" s="428">
        <f t="shared" si="78"/>
        <v>91000</v>
      </c>
      <c r="I190" s="418" t="s">
        <v>881</v>
      </c>
      <c r="J190" s="406">
        <f>J191+J192</f>
        <v>1644</v>
      </c>
      <c r="K190" s="406">
        <f>K191+K192</f>
        <v>273</v>
      </c>
      <c r="L190" s="406">
        <f>L191+L192</f>
        <v>273</v>
      </c>
      <c r="M190" s="411">
        <f t="shared" si="57"/>
        <v>16.605839416058394</v>
      </c>
      <c r="N190" s="411">
        <f t="shared" si="58"/>
        <v>100</v>
      </c>
      <c r="O190" s="406">
        <f>O191+O192</f>
        <v>91</v>
      </c>
    </row>
    <row r="191" spans="1:15" ht="12.75" customHeight="1">
      <c r="A191" s="421" t="s">
        <v>876</v>
      </c>
      <c r="B191" s="426">
        <v>1643907</v>
      </c>
      <c r="C191" s="426">
        <v>272900</v>
      </c>
      <c r="D191" s="426">
        <v>272900</v>
      </c>
      <c r="E191" s="409">
        <f t="shared" si="56"/>
        <v>16.60069578145236</v>
      </c>
      <c r="F191" s="409">
        <f t="shared" si="42"/>
        <v>100</v>
      </c>
      <c r="G191" s="426">
        <v>91000</v>
      </c>
      <c r="I191" s="421" t="s">
        <v>876</v>
      </c>
      <c r="J191" s="414">
        <f>ROUND(B191/1000,0)</f>
        <v>1644</v>
      </c>
      <c r="K191" s="414">
        <f>ROUND(C191/1000,0)</f>
        <v>273</v>
      </c>
      <c r="L191" s="414">
        <f>ROUND(D191/1000,0)</f>
        <v>273</v>
      </c>
      <c r="M191" s="415">
        <f t="shared" si="57"/>
        <v>16.605839416058394</v>
      </c>
      <c r="N191" s="415">
        <f t="shared" si="58"/>
        <v>100</v>
      </c>
      <c r="O191" s="414">
        <f>ROUND(G191/1000,0)</f>
        <v>91</v>
      </c>
    </row>
    <row r="192" spans="1:15" ht="12.75" customHeight="1">
      <c r="A192" s="418" t="s">
        <v>891</v>
      </c>
      <c r="B192" s="428"/>
      <c r="C192" s="428"/>
      <c r="D192" s="428"/>
      <c r="E192" s="428"/>
      <c r="F192" s="428"/>
      <c r="G192" s="428"/>
      <c r="I192" s="418" t="s">
        <v>891</v>
      </c>
      <c r="J192" s="428"/>
      <c r="K192" s="428"/>
      <c r="L192" s="428"/>
      <c r="M192" s="415"/>
      <c r="N192" s="415"/>
      <c r="O192" s="428"/>
    </row>
    <row r="193" spans="1:15" ht="12.75" customHeight="1">
      <c r="A193" s="412" t="s">
        <v>284</v>
      </c>
      <c r="B193" s="426">
        <f aca="true" t="shared" si="79" ref="B193:G193">SUM(B194:B195)</f>
        <v>6767466</v>
      </c>
      <c r="C193" s="426">
        <f t="shared" si="79"/>
        <v>1608019</v>
      </c>
      <c r="D193" s="426">
        <f t="shared" si="79"/>
        <v>1609989</v>
      </c>
      <c r="E193" s="409">
        <f t="shared" si="56"/>
        <v>23.790130604276403</v>
      </c>
      <c r="F193" s="409">
        <f t="shared" si="42"/>
        <v>100.12251099023084</v>
      </c>
      <c r="G193" s="426">
        <f t="shared" si="79"/>
        <v>580319</v>
      </c>
      <c r="I193" s="412" t="s">
        <v>284</v>
      </c>
      <c r="J193" s="414">
        <f>J194+J195</f>
        <v>6768</v>
      </c>
      <c r="K193" s="414">
        <f>K194+K195</f>
        <v>1608</v>
      </c>
      <c r="L193" s="414">
        <f>L194+L195</f>
        <v>1610</v>
      </c>
      <c r="M193" s="415">
        <f t="shared" si="57"/>
        <v>23.78841607565012</v>
      </c>
      <c r="N193" s="415">
        <f t="shared" si="58"/>
        <v>100.12437810945273</v>
      </c>
      <c r="O193" s="414">
        <f>O194+O195</f>
        <v>580</v>
      </c>
    </row>
    <row r="194" spans="1:15" ht="12.75" customHeight="1">
      <c r="A194" s="412" t="s">
        <v>285</v>
      </c>
      <c r="B194" s="426">
        <v>6765626</v>
      </c>
      <c r="C194" s="426">
        <v>1607819</v>
      </c>
      <c r="D194" s="426">
        <v>1607819</v>
      </c>
      <c r="E194" s="409">
        <f t="shared" si="56"/>
        <v>23.76452674150182</v>
      </c>
      <c r="F194" s="409">
        <f t="shared" si="42"/>
        <v>100</v>
      </c>
      <c r="G194" s="426">
        <f>D194-'[11]februāris'!D194</f>
        <v>579234</v>
      </c>
      <c r="I194" s="412" t="s">
        <v>285</v>
      </c>
      <c r="J194" s="414">
        <f aca="true" t="shared" si="80" ref="J194:L195">ROUND(B194/1000,0)</f>
        <v>6766</v>
      </c>
      <c r="K194" s="414">
        <f t="shared" si="80"/>
        <v>1608</v>
      </c>
      <c r="L194" s="414">
        <f t="shared" si="80"/>
        <v>1608</v>
      </c>
      <c r="M194" s="415">
        <f t="shared" si="57"/>
        <v>23.76588826485368</v>
      </c>
      <c r="N194" s="415">
        <f t="shared" si="58"/>
        <v>100</v>
      </c>
      <c r="O194" s="414">
        <f>ROUND(G194/1000,0)</f>
        <v>579</v>
      </c>
    </row>
    <row r="195" spans="1:15" ht="12.75" customHeight="1">
      <c r="A195" s="412" t="s">
        <v>929</v>
      </c>
      <c r="B195" s="426">
        <v>1840</v>
      </c>
      <c r="C195" s="426">
        <v>200</v>
      </c>
      <c r="D195" s="426">
        <v>2170</v>
      </c>
      <c r="E195" s="409">
        <f t="shared" si="56"/>
        <v>117.93478260869566</v>
      </c>
      <c r="F195" s="409"/>
      <c r="G195" s="426">
        <v>1085</v>
      </c>
      <c r="I195" s="412" t="s">
        <v>929</v>
      </c>
      <c r="J195" s="414">
        <f t="shared" si="80"/>
        <v>2</v>
      </c>
      <c r="K195" s="414">
        <f t="shared" si="80"/>
        <v>0</v>
      </c>
      <c r="L195" s="414">
        <f t="shared" si="80"/>
        <v>2</v>
      </c>
      <c r="M195" s="415">
        <f t="shared" si="57"/>
        <v>100</v>
      </c>
      <c r="N195" s="415"/>
      <c r="O195" s="414">
        <f>ROUND(G195/1000,0)</f>
        <v>1</v>
      </c>
    </row>
    <row r="196" spans="1:15" ht="12.75" customHeight="1">
      <c r="A196" s="418" t="s">
        <v>881</v>
      </c>
      <c r="B196" s="428">
        <f aca="true" t="shared" si="81" ref="B196:G196">SUM(B197:B198)</f>
        <v>6767466</v>
      </c>
      <c r="C196" s="428">
        <f t="shared" si="81"/>
        <v>1608019</v>
      </c>
      <c r="D196" s="428">
        <f t="shared" si="81"/>
        <v>1596942.0299999998</v>
      </c>
      <c r="E196" s="409">
        <f t="shared" si="56"/>
        <v>23.59734101360834</v>
      </c>
      <c r="F196" s="409">
        <f t="shared" si="42"/>
        <v>99.31114184596076</v>
      </c>
      <c r="G196" s="428">
        <f t="shared" si="81"/>
        <v>571691.42</v>
      </c>
      <c r="H196" s="430"/>
      <c r="I196" s="418" t="s">
        <v>881</v>
      </c>
      <c r="J196" s="406">
        <f>J197+J198</f>
        <v>6767</v>
      </c>
      <c r="K196" s="406">
        <f>K197+K198</f>
        <v>1608</v>
      </c>
      <c r="L196" s="406">
        <f>L197+L198</f>
        <v>1597</v>
      </c>
      <c r="M196" s="411">
        <f t="shared" si="57"/>
        <v>23.599822668834047</v>
      </c>
      <c r="N196" s="411">
        <f t="shared" si="58"/>
        <v>99.31592039800995</v>
      </c>
      <c r="O196" s="406">
        <f>O197+O198</f>
        <v>572</v>
      </c>
    </row>
    <row r="197" spans="1:15" ht="12.75" customHeight="1">
      <c r="A197" s="421" t="s">
        <v>876</v>
      </c>
      <c r="B197" s="426">
        <v>6575466</v>
      </c>
      <c r="C197" s="426">
        <v>1602019</v>
      </c>
      <c r="D197" s="426">
        <v>1596746.65</v>
      </c>
      <c r="E197" s="409">
        <f t="shared" si="56"/>
        <v>24.283399077723157</v>
      </c>
      <c r="F197" s="409">
        <f t="shared" si="42"/>
        <v>99.6708934163702</v>
      </c>
      <c r="G197" s="426">
        <v>571691.42</v>
      </c>
      <c r="I197" s="421" t="s">
        <v>876</v>
      </c>
      <c r="J197" s="414">
        <f>ROUND(B197/1000,0)</f>
        <v>6575</v>
      </c>
      <c r="K197" s="414">
        <f>ROUND(C197/1000,0)</f>
        <v>1602</v>
      </c>
      <c r="L197" s="414">
        <f>ROUND(D197/1000,0)</f>
        <v>1597</v>
      </c>
      <c r="M197" s="415">
        <f t="shared" si="57"/>
        <v>24.288973384030417</v>
      </c>
      <c r="N197" s="415">
        <f t="shared" si="58"/>
        <v>99.68789013732834</v>
      </c>
      <c r="O197" s="414">
        <f>ROUND(G197/1000,0)</f>
        <v>572</v>
      </c>
    </row>
    <row r="198" spans="1:15" ht="12.75" customHeight="1">
      <c r="A198" s="421" t="s">
        <v>877</v>
      </c>
      <c r="B198" s="426">
        <v>192000</v>
      </c>
      <c r="C198" s="426">
        <v>6000</v>
      </c>
      <c r="D198" s="426">
        <v>195.38</v>
      </c>
      <c r="E198" s="409">
        <f t="shared" si="56"/>
        <v>0.10176041666666666</v>
      </c>
      <c r="F198" s="409">
        <f t="shared" si="42"/>
        <v>3.256333333333333</v>
      </c>
      <c r="G198" s="426"/>
      <c r="I198" s="421" t="s">
        <v>877</v>
      </c>
      <c r="J198" s="414">
        <f>ROUND(B198/1000,0)</f>
        <v>192</v>
      </c>
      <c r="K198" s="414">
        <v>6</v>
      </c>
      <c r="L198" s="414"/>
      <c r="M198" s="415">
        <f t="shared" si="57"/>
        <v>0</v>
      </c>
      <c r="N198" s="415">
        <f t="shared" si="58"/>
        <v>0</v>
      </c>
      <c r="O198" s="414"/>
    </row>
    <row r="199" spans="1:15" ht="12.75" customHeight="1">
      <c r="A199" s="427" t="s">
        <v>892</v>
      </c>
      <c r="B199" s="426"/>
      <c r="C199" s="426"/>
      <c r="D199" s="426"/>
      <c r="E199" s="426"/>
      <c r="F199" s="426"/>
      <c r="G199" s="426"/>
      <c r="I199" s="427" t="s">
        <v>892</v>
      </c>
      <c r="J199" s="426"/>
      <c r="K199" s="426"/>
      <c r="L199" s="426"/>
      <c r="M199" s="415"/>
      <c r="N199" s="415"/>
      <c r="O199" s="426"/>
    </row>
    <row r="200" spans="1:15" ht="12.75" customHeight="1">
      <c r="A200" s="412" t="s">
        <v>284</v>
      </c>
      <c r="B200" s="426">
        <f aca="true" t="shared" si="82" ref="B200:G200">SUM(B201)</f>
        <v>96191</v>
      </c>
      <c r="C200" s="426">
        <f t="shared" si="82"/>
        <v>24047</v>
      </c>
      <c r="D200" s="426">
        <f t="shared" si="82"/>
        <v>24047</v>
      </c>
      <c r="E200" s="409">
        <f t="shared" si="56"/>
        <v>24.99922030127559</v>
      </c>
      <c r="F200" s="409">
        <f>IF(ISERROR(D200/C200)," ",(D200/C200))*100</f>
        <v>100</v>
      </c>
      <c r="G200" s="426">
        <f t="shared" si="82"/>
        <v>8016</v>
      </c>
      <c r="I200" s="412" t="s">
        <v>284</v>
      </c>
      <c r="J200" s="414">
        <f>J201</f>
        <v>96</v>
      </c>
      <c r="K200" s="414">
        <f>K201</f>
        <v>24</v>
      </c>
      <c r="L200" s="414">
        <f>L201</f>
        <v>24</v>
      </c>
      <c r="M200" s="415">
        <f t="shared" si="57"/>
        <v>25</v>
      </c>
      <c r="N200" s="415">
        <f t="shared" si="58"/>
        <v>100</v>
      </c>
      <c r="O200" s="414">
        <f>O201</f>
        <v>8</v>
      </c>
    </row>
    <row r="201" spans="1:15" ht="12.75" customHeight="1">
      <c r="A201" s="412" t="s">
        <v>285</v>
      </c>
      <c r="B201" s="426">
        <v>96191</v>
      </c>
      <c r="C201" s="426">
        <v>24047</v>
      </c>
      <c r="D201" s="426">
        <v>24047</v>
      </c>
      <c r="E201" s="409">
        <f t="shared" si="56"/>
        <v>24.99922030127559</v>
      </c>
      <c r="F201" s="409">
        <f>IF(ISERROR(D201/C201)," ",(D201/C201))*100</f>
        <v>100</v>
      </c>
      <c r="G201" s="426">
        <f>D201-'[11]februāris'!D201</f>
        <v>8016</v>
      </c>
      <c r="I201" s="412" t="s">
        <v>285</v>
      </c>
      <c r="J201" s="414">
        <f>ROUND(B201/1000,0)</f>
        <v>96</v>
      </c>
      <c r="K201" s="414">
        <f>ROUND(C201/1000,0)</f>
        <v>24</v>
      </c>
      <c r="L201" s="414">
        <f>ROUND(D201/1000,0)</f>
        <v>24</v>
      </c>
      <c r="M201" s="415">
        <f t="shared" si="57"/>
        <v>25</v>
      </c>
      <c r="N201" s="415">
        <f t="shared" si="58"/>
        <v>100</v>
      </c>
      <c r="O201" s="414">
        <f>ROUND(G201/1000,0)</f>
        <v>8</v>
      </c>
    </row>
    <row r="202" spans="1:15" ht="12.75" customHeight="1">
      <c r="A202" s="418" t="s">
        <v>881</v>
      </c>
      <c r="B202" s="428">
        <f aca="true" t="shared" si="83" ref="B202:G202">SUM(B203)</f>
        <v>96191</v>
      </c>
      <c r="C202" s="428">
        <f t="shared" si="83"/>
        <v>24047</v>
      </c>
      <c r="D202" s="428">
        <f t="shared" si="83"/>
        <v>24047</v>
      </c>
      <c r="E202" s="409">
        <f t="shared" si="56"/>
        <v>24.99922030127559</v>
      </c>
      <c r="F202" s="409">
        <f>IF(ISERROR(D202/C202)," ",(D202/C202))*100</f>
        <v>100</v>
      </c>
      <c r="G202" s="428">
        <f t="shared" si="83"/>
        <v>8016</v>
      </c>
      <c r="I202" s="418" t="s">
        <v>881</v>
      </c>
      <c r="J202" s="406">
        <f>J203+J204</f>
        <v>96</v>
      </c>
      <c r="K202" s="406">
        <f>K203+K204</f>
        <v>24</v>
      </c>
      <c r="L202" s="406">
        <f>L203+L204</f>
        <v>24</v>
      </c>
      <c r="M202" s="411">
        <f t="shared" si="57"/>
        <v>25</v>
      </c>
      <c r="N202" s="411">
        <f t="shared" si="58"/>
        <v>100</v>
      </c>
      <c r="O202" s="406">
        <f>O203+O204</f>
        <v>8</v>
      </c>
    </row>
    <row r="203" spans="1:15" ht="12.75" customHeight="1">
      <c r="A203" s="421" t="s">
        <v>876</v>
      </c>
      <c r="B203" s="426">
        <v>96191</v>
      </c>
      <c r="C203" s="426">
        <v>24047</v>
      </c>
      <c r="D203" s="426">
        <v>24047</v>
      </c>
      <c r="E203" s="409">
        <f t="shared" si="56"/>
        <v>24.99922030127559</v>
      </c>
      <c r="F203" s="409">
        <f>IF(ISERROR(D203/C203)," ",(D203/C203))*100</f>
        <v>100</v>
      </c>
      <c r="G203" s="426">
        <v>8016</v>
      </c>
      <c r="I203" s="421" t="s">
        <v>876</v>
      </c>
      <c r="J203" s="414">
        <f>ROUND(B203/1000,0)</f>
        <v>96</v>
      </c>
      <c r="K203" s="414">
        <f>ROUND(C203/1000,0)</f>
        <v>24</v>
      </c>
      <c r="L203" s="414">
        <f>ROUND(D203/1000,0)</f>
        <v>24</v>
      </c>
      <c r="M203" s="415">
        <f t="shared" si="57"/>
        <v>25</v>
      </c>
      <c r="N203" s="415">
        <f t="shared" si="58"/>
        <v>100</v>
      </c>
      <c r="O203" s="414">
        <f>ROUND(G203/1000,0)</f>
        <v>8</v>
      </c>
    </row>
    <row r="204" spans="1:15" ht="37.5" customHeight="1">
      <c r="A204" s="427" t="s">
        <v>779</v>
      </c>
      <c r="B204" s="426"/>
      <c r="C204" s="426"/>
      <c r="D204" s="426"/>
      <c r="E204" s="426"/>
      <c r="F204" s="426"/>
      <c r="G204" s="426"/>
      <c r="I204" s="427" t="s">
        <v>779</v>
      </c>
      <c r="J204" s="426"/>
      <c r="K204" s="426"/>
      <c r="L204" s="426"/>
      <c r="M204" s="415"/>
      <c r="N204" s="415"/>
      <c r="O204" s="426"/>
    </row>
    <row r="205" spans="1:15" ht="12.75" customHeight="1">
      <c r="A205" s="412" t="s">
        <v>284</v>
      </c>
      <c r="B205" s="426">
        <f>SUM(B206:B208)</f>
        <v>4231216</v>
      </c>
      <c r="C205" s="426">
        <f>SUM(C206:C208)</f>
        <v>884239</v>
      </c>
      <c r="D205" s="426">
        <f>SUM(D206:D208)</f>
        <v>365958.24</v>
      </c>
      <c r="E205" s="409">
        <f aca="true" t="shared" si="84" ref="E205:E237">IF(ISERROR(D205/B205)," ",(D205/B205))*100</f>
        <v>8.649008701044805</v>
      </c>
      <c r="F205" s="409">
        <f>IF(ISERROR(D205/C205)," ",(D205/C205))*100</f>
        <v>41.386801532164945</v>
      </c>
      <c r="G205" s="426">
        <f>SUM(G206:G208)</f>
        <v>38586.1</v>
      </c>
      <c r="I205" s="412" t="s">
        <v>284</v>
      </c>
      <c r="J205" s="414">
        <f>J206+J207+J208</f>
        <v>4232</v>
      </c>
      <c r="K205" s="414">
        <f>K206+K207+K208</f>
        <v>884</v>
      </c>
      <c r="L205" s="414">
        <f>L206+L207+L208</f>
        <v>366</v>
      </c>
      <c r="M205" s="415">
        <f aca="true" t="shared" si="85" ref="M205:M237">L205/J205*100</f>
        <v>8.648393194706994</v>
      </c>
      <c r="N205" s="415">
        <f aca="true" t="shared" si="86" ref="N205:N237">L205/K205*100</f>
        <v>41.40271493212669</v>
      </c>
      <c r="O205" s="414">
        <f>O206+O207++O208</f>
        <v>39</v>
      </c>
    </row>
    <row r="206" spans="1:15" ht="12.75" customHeight="1">
      <c r="A206" s="412" t="s">
        <v>285</v>
      </c>
      <c r="B206" s="426">
        <v>842659</v>
      </c>
      <c r="C206" s="426">
        <v>118891</v>
      </c>
      <c r="D206" s="426">
        <v>118891</v>
      </c>
      <c r="E206" s="409">
        <f t="shared" si="84"/>
        <v>14.109028681827407</v>
      </c>
      <c r="F206" s="409">
        <f>IF(ISERROR(D206/C206)," ",(D206/C206))*100</f>
        <v>100</v>
      </c>
      <c r="G206" s="426">
        <f>D206-'[11]februāris'!D206</f>
        <v>38996</v>
      </c>
      <c r="I206" s="412" t="s">
        <v>285</v>
      </c>
      <c r="J206" s="414">
        <f>ROUND(B206/1000,0)</f>
        <v>843</v>
      </c>
      <c r="K206" s="414">
        <f>ROUND(C206/1000,0)</f>
        <v>119</v>
      </c>
      <c r="L206" s="414">
        <f>ROUND(D206/1000,0)</f>
        <v>119</v>
      </c>
      <c r="M206" s="415">
        <f t="shared" si="85"/>
        <v>14.116251482799525</v>
      </c>
      <c r="N206" s="415">
        <f t="shared" si="86"/>
        <v>100</v>
      </c>
      <c r="O206" s="414">
        <f>ROUND(G206/1000,0)</f>
        <v>39</v>
      </c>
    </row>
    <row r="207" spans="1:15" ht="12.75" customHeight="1">
      <c r="A207" s="412" t="s">
        <v>929</v>
      </c>
      <c r="B207" s="426"/>
      <c r="C207" s="426"/>
      <c r="D207" s="426"/>
      <c r="E207" s="409"/>
      <c r="F207" s="409"/>
      <c r="G207" s="426">
        <v>-409.9</v>
      </c>
      <c r="I207" s="412"/>
      <c r="J207" s="414"/>
      <c r="K207" s="414"/>
      <c r="L207" s="414"/>
      <c r="M207" s="415"/>
      <c r="N207" s="415"/>
      <c r="O207" s="414"/>
    </row>
    <row r="208" spans="1:15" ht="12.75" customHeight="1">
      <c r="A208" s="412" t="s">
        <v>758</v>
      </c>
      <c r="B208" s="426">
        <v>3388557</v>
      </c>
      <c r="C208" s="426">
        <v>765348</v>
      </c>
      <c r="D208" s="426">
        <v>247067.24</v>
      </c>
      <c r="E208" s="409">
        <f t="shared" si="84"/>
        <v>7.291222783031243</v>
      </c>
      <c r="F208" s="409">
        <f>IF(ISERROR(D208/C208)," ",(D208/C208))*100</f>
        <v>32.28168623946231</v>
      </c>
      <c r="G208" s="426"/>
      <c r="I208" s="412" t="s">
        <v>758</v>
      </c>
      <c r="J208" s="414">
        <f>ROUND(B208/1000,0)</f>
        <v>3389</v>
      </c>
      <c r="K208" s="414">
        <v>765</v>
      </c>
      <c r="L208" s="414">
        <f>ROUND(D208/1000,0)</f>
        <v>247</v>
      </c>
      <c r="M208" s="415">
        <f t="shared" si="85"/>
        <v>7.288285629979345</v>
      </c>
      <c r="N208" s="415">
        <f t="shared" si="86"/>
        <v>32.287581699346404</v>
      </c>
      <c r="O208" s="414">
        <f>ROUND(G208/1000,0)</f>
        <v>0</v>
      </c>
    </row>
    <row r="209" spans="1:15" ht="12.75" customHeight="1">
      <c r="A209" s="418" t="s">
        <v>881</v>
      </c>
      <c r="B209" s="428">
        <f aca="true" t="shared" si="87" ref="B209:G209">SUM(B210:B211)</f>
        <v>4231216</v>
      </c>
      <c r="C209" s="428">
        <f t="shared" si="87"/>
        <v>884239</v>
      </c>
      <c r="D209" s="428">
        <f t="shared" si="87"/>
        <v>365342.03</v>
      </c>
      <c r="E209" s="409">
        <f t="shared" si="84"/>
        <v>8.6344452753062</v>
      </c>
      <c r="F209" s="409">
        <f>IF(ISERROR(D209/C209)," ",(D209/C209))*100</f>
        <v>41.31711335962336</v>
      </c>
      <c r="G209" s="428">
        <f t="shared" si="87"/>
        <v>41163.83</v>
      </c>
      <c r="I209" s="418" t="s">
        <v>881</v>
      </c>
      <c r="J209" s="406">
        <f>J210+J211</f>
        <v>4231</v>
      </c>
      <c r="K209" s="406">
        <f>K210+K211</f>
        <v>884</v>
      </c>
      <c r="L209" s="406">
        <f>L210+L211</f>
        <v>365</v>
      </c>
      <c r="M209" s="411">
        <f t="shared" si="85"/>
        <v>8.62680217442685</v>
      </c>
      <c r="N209" s="411">
        <f t="shared" si="86"/>
        <v>41.289592760180994</v>
      </c>
      <c r="O209" s="406">
        <f>O210+O211</f>
        <v>41</v>
      </c>
    </row>
    <row r="210" spans="1:15" ht="12" customHeight="1">
      <c r="A210" s="421" t="s">
        <v>876</v>
      </c>
      <c r="B210" s="426">
        <v>3006966</v>
      </c>
      <c r="C210" s="426">
        <v>884239</v>
      </c>
      <c r="D210" s="426">
        <v>365342.03</v>
      </c>
      <c r="E210" s="409">
        <f t="shared" si="84"/>
        <v>12.149855701727256</v>
      </c>
      <c r="F210" s="409">
        <f>IF(ISERROR(D210/C210)," ",(D210/C210))*100</f>
        <v>41.31711335962336</v>
      </c>
      <c r="G210" s="426">
        <v>41163.83</v>
      </c>
      <c r="I210" s="421" t="s">
        <v>876</v>
      </c>
      <c r="J210" s="414">
        <f>ROUND(B210/1000,0)</f>
        <v>3007</v>
      </c>
      <c r="K210" s="414">
        <f>ROUND(C210/1000,0)</f>
        <v>884</v>
      </c>
      <c r="L210" s="414">
        <f>ROUND(D210/1000,0)</f>
        <v>365</v>
      </c>
      <c r="M210" s="415">
        <f t="shared" si="85"/>
        <v>12.138343864316594</v>
      </c>
      <c r="N210" s="415">
        <f t="shared" si="86"/>
        <v>41.289592760180994</v>
      </c>
      <c r="O210" s="414">
        <f>ROUND(G210/1000,0)</f>
        <v>41</v>
      </c>
    </row>
    <row r="211" spans="1:15" ht="12.75" customHeight="1" hidden="1">
      <c r="A211" s="421" t="s">
        <v>877</v>
      </c>
      <c r="B211" s="426">
        <v>1224250</v>
      </c>
      <c r="C211" s="426"/>
      <c r="D211" s="426"/>
      <c r="E211" s="409"/>
      <c r="F211" s="426"/>
      <c r="G211" s="426"/>
      <c r="I211" s="421" t="s">
        <v>877</v>
      </c>
      <c r="J211" s="414">
        <f>ROUND(B211/1000,0)</f>
        <v>1224</v>
      </c>
      <c r="K211" s="414"/>
      <c r="L211" s="414"/>
      <c r="M211" s="415">
        <f t="shared" si="85"/>
        <v>0</v>
      </c>
      <c r="N211" s="415" t="e">
        <f t="shared" si="86"/>
        <v>#DIV/0!</v>
      </c>
      <c r="O211" s="414"/>
    </row>
    <row r="212" spans="1:15" ht="25.5" customHeight="1">
      <c r="A212" s="427" t="s">
        <v>893</v>
      </c>
      <c r="B212" s="428"/>
      <c r="C212" s="428"/>
      <c r="D212" s="428"/>
      <c r="E212" s="428"/>
      <c r="F212" s="428"/>
      <c r="G212" s="428"/>
      <c r="I212" s="427" t="s">
        <v>893</v>
      </c>
      <c r="J212" s="428"/>
      <c r="K212" s="428"/>
      <c r="L212" s="428"/>
      <c r="M212" s="415"/>
      <c r="N212" s="415"/>
      <c r="O212" s="428"/>
    </row>
    <row r="213" spans="1:15" ht="12.75" customHeight="1">
      <c r="A213" s="412" t="s">
        <v>284</v>
      </c>
      <c r="B213" s="426">
        <f aca="true" t="shared" si="88" ref="B213:G213">SUM(B214:B216)</f>
        <v>2504614</v>
      </c>
      <c r="C213" s="426">
        <f t="shared" si="88"/>
        <v>989618</v>
      </c>
      <c r="D213" s="426">
        <f t="shared" si="88"/>
        <v>391324.77</v>
      </c>
      <c r="E213" s="409">
        <f t="shared" si="84"/>
        <v>15.624154859790771</v>
      </c>
      <c r="F213" s="409">
        <f>IF(ISERROR(D213/C213)," ",(D213/C213))*100</f>
        <v>39.54301255636013</v>
      </c>
      <c r="G213" s="426">
        <f t="shared" si="88"/>
        <v>391320.17000000004</v>
      </c>
      <c r="I213" s="412" t="s">
        <v>284</v>
      </c>
      <c r="J213" s="414">
        <f>J214+J215+J216</f>
        <v>2505</v>
      </c>
      <c r="K213" s="414">
        <f>K214+K215+K216</f>
        <v>990</v>
      </c>
      <c r="L213" s="414">
        <f>L214+L215+L216</f>
        <v>391</v>
      </c>
      <c r="M213" s="415">
        <f t="shared" si="85"/>
        <v>15.60878243512974</v>
      </c>
      <c r="N213" s="415">
        <f t="shared" si="86"/>
        <v>39.494949494949495</v>
      </c>
      <c r="O213" s="414">
        <f>O214+O215+O216</f>
        <v>175</v>
      </c>
    </row>
    <row r="214" spans="1:15" ht="12.75" customHeight="1">
      <c r="A214" s="412" t="s">
        <v>285</v>
      </c>
      <c r="B214" s="426">
        <v>1426644</v>
      </c>
      <c r="C214" s="426">
        <v>323834</v>
      </c>
      <c r="D214" s="426">
        <v>323834</v>
      </c>
      <c r="E214" s="409">
        <f t="shared" si="84"/>
        <v>22.6990054982182</v>
      </c>
      <c r="F214" s="409">
        <f>IF(ISERROR(D214/C214)," ",(D214/C214))*100</f>
        <v>100</v>
      </c>
      <c r="G214" s="426">
        <f>D214-'[11]februāris'!D215</f>
        <v>323831.7</v>
      </c>
      <c r="I214" s="412" t="s">
        <v>285</v>
      </c>
      <c r="J214" s="414">
        <f>ROUND(B214/1000,0)</f>
        <v>1427</v>
      </c>
      <c r="K214" s="414">
        <f>ROUND(C214/1000,0)</f>
        <v>324</v>
      </c>
      <c r="L214" s="414">
        <f>ROUND(D214/1000,0)</f>
        <v>324</v>
      </c>
      <c r="M214" s="415">
        <f t="shared" si="85"/>
        <v>22.704975473020323</v>
      </c>
      <c r="N214" s="415">
        <f t="shared" si="86"/>
        <v>100</v>
      </c>
      <c r="O214" s="414">
        <v>108</v>
      </c>
    </row>
    <row r="215" spans="1:15" ht="12.75" customHeight="1">
      <c r="A215" s="412" t="s">
        <v>929</v>
      </c>
      <c r="B215" s="426"/>
      <c r="C215" s="426">
        <v>0</v>
      </c>
      <c r="D215" s="426">
        <v>20.7</v>
      </c>
      <c r="E215" s="409"/>
      <c r="F215" s="409"/>
      <c r="G215" s="426">
        <v>18.4</v>
      </c>
      <c r="I215" s="412" t="s">
        <v>929</v>
      </c>
      <c r="J215" s="414"/>
      <c r="K215" s="414"/>
      <c r="L215" s="414"/>
      <c r="M215" s="415"/>
      <c r="N215" s="415"/>
      <c r="O215" s="414"/>
    </row>
    <row r="216" spans="1:15" ht="12.75" customHeight="1">
      <c r="A216" s="412" t="s">
        <v>758</v>
      </c>
      <c r="B216" s="426">
        <v>1077970</v>
      </c>
      <c r="C216" s="426">
        <v>665784</v>
      </c>
      <c r="D216" s="426">
        <v>67470.07</v>
      </c>
      <c r="E216" s="409">
        <f t="shared" si="84"/>
        <v>6.258993292948784</v>
      </c>
      <c r="F216" s="409"/>
      <c r="G216" s="426">
        <v>67470.07</v>
      </c>
      <c r="I216" s="412" t="s">
        <v>758</v>
      </c>
      <c r="J216" s="414">
        <f>ROUND(B216/1000,0)</f>
        <v>1078</v>
      </c>
      <c r="K216" s="414">
        <f>ROUND(C216/1000,0)</f>
        <v>666</v>
      </c>
      <c r="L216" s="414">
        <f>ROUND(D216/1000,0)</f>
        <v>67</v>
      </c>
      <c r="M216" s="415">
        <f t="shared" si="85"/>
        <v>6.215213358070501</v>
      </c>
      <c r="N216" s="415">
        <f t="shared" si="86"/>
        <v>10.06006006006006</v>
      </c>
      <c r="O216" s="414">
        <f>ROUND(G216/1000,0)</f>
        <v>67</v>
      </c>
    </row>
    <row r="217" spans="1:15" ht="12.75" customHeight="1">
      <c r="A217" s="418" t="s">
        <v>881</v>
      </c>
      <c r="B217" s="428">
        <f aca="true" t="shared" si="89" ref="B217:G217">SUM(B218:B219)</f>
        <v>2504614</v>
      </c>
      <c r="C217" s="428">
        <f t="shared" si="89"/>
        <v>989618</v>
      </c>
      <c r="D217" s="428">
        <f t="shared" si="89"/>
        <v>268017.38</v>
      </c>
      <c r="E217" s="409">
        <f t="shared" si="84"/>
        <v>10.70094553492075</v>
      </c>
      <c r="F217" s="409">
        <f>IF(ISERROR(D217/C217)," ",(D217/C217))*100</f>
        <v>27.082912800696835</v>
      </c>
      <c r="G217" s="428">
        <f t="shared" si="89"/>
        <v>152890.45</v>
      </c>
      <c r="I217" s="418" t="s">
        <v>881</v>
      </c>
      <c r="J217" s="406">
        <f>J218+J219</f>
        <v>2505</v>
      </c>
      <c r="K217" s="406">
        <f>K218+K219</f>
        <v>990</v>
      </c>
      <c r="L217" s="406">
        <f>L218+L219</f>
        <v>267</v>
      </c>
      <c r="M217" s="411">
        <f t="shared" si="85"/>
        <v>10.658682634730539</v>
      </c>
      <c r="N217" s="411">
        <f t="shared" si="86"/>
        <v>26.969696969696972</v>
      </c>
      <c r="O217" s="406">
        <f>O218+O219</f>
        <v>152</v>
      </c>
    </row>
    <row r="218" spans="1:15" ht="12.75" customHeight="1">
      <c r="A218" s="421" t="s">
        <v>876</v>
      </c>
      <c r="B218" s="426">
        <v>2018597</v>
      </c>
      <c r="C218" s="426">
        <v>874568</v>
      </c>
      <c r="D218" s="426">
        <v>265633.08</v>
      </c>
      <c r="E218" s="409">
        <f t="shared" si="84"/>
        <v>13.159292320359143</v>
      </c>
      <c r="F218" s="409">
        <f>IF(ISERROR(D218/C218)," ",(D218/C218))*100</f>
        <v>30.37306190027534</v>
      </c>
      <c r="G218" s="426">
        <v>151375.13</v>
      </c>
      <c r="I218" s="421" t="s">
        <v>876</v>
      </c>
      <c r="J218" s="414">
        <f>ROUND(B218/1000,0)</f>
        <v>2019</v>
      </c>
      <c r="K218" s="414">
        <f>ROUND(C218/1000,0)</f>
        <v>875</v>
      </c>
      <c r="L218" s="414">
        <f>ROUND(D218/1000,0)</f>
        <v>266</v>
      </c>
      <c r="M218" s="415">
        <f t="shared" si="85"/>
        <v>13.174839029222388</v>
      </c>
      <c r="N218" s="415">
        <f t="shared" si="86"/>
        <v>30.4</v>
      </c>
      <c r="O218" s="414">
        <f>ROUND(G218/1000,0)</f>
        <v>151</v>
      </c>
    </row>
    <row r="219" spans="1:15" ht="12.75" customHeight="1">
      <c r="A219" s="421" t="s">
        <v>877</v>
      </c>
      <c r="B219" s="426">
        <v>486017</v>
      </c>
      <c r="C219" s="426">
        <v>115050</v>
      </c>
      <c r="D219" s="426">
        <v>2384.3</v>
      </c>
      <c r="E219" s="409">
        <f t="shared" si="84"/>
        <v>0.4905795476289924</v>
      </c>
      <c r="F219" s="409"/>
      <c r="G219" s="426">
        <v>1515.32</v>
      </c>
      <c r="I219" s="421" t="s">
        <v>877</v>
      </c>
      <c r="J219" s="414">
        <f>ROUND(B219/1000,0)</f>
        <v>486</v>
      </c>
      <c r="K219" s="414">
        <f>ROUND(C219/1000,0)</f>
        <v>115</v>
      </c>
      <c r="L219" s="414">
        <v>1</v>
      </c>
      <c r="M219" s="415">
        <f t="shared" si="85"/>
        <v>0.205761316872428</v>
      </c>
      <c r="N219" s="415">
        <f t="shared" si="86"/>
        <v>0.8695652173913043</v>
      </c>
      <c r="O219" s="414">
        <v>1</v>
      </c>
    </row>
    <row r="220" spans="1:15" ht="27.75" customHeight="1">
      <c r="A220" s="427" t="s">
        <v>894</v>
      </c>
      <c r="B220" s="426"/>
      <c r="C220" s="426"/>
      <c r="D220" s="426"/>
      <c r="E220" s="426"/>
      <c r="F220" s="426"/>
      <c r="G220" s="426"/>
      <c r="I220" s="427" t="s">
        <v>894</v>
      </c>
      <c r="J220" s="426"/>
      <c r="K220" s="426"/>
      <c r="L220" s="426"/>
      <c r="M220" s="415"/>
      <c r="N220" s="415"/>
      <c r="O220" s="426"/>
    </row>
    <row r="221" spans="1:15" ht="12.75" customHeight="1">
      <c r="A221" s="412" t="s">
        <v>284</v>
      </c>
      <c r="B221" s="426">
        <f aca="true" t="shared" si="90" ref="B221:G221">SUM(B222)</f>
        <v>1318000</v>
      </c>
      <c r="C221" s="426">
        <f t="shared" si="90"/>
        <v>0</v>
      </c>
      <c r="D221" s="426">
        <f t="shared" si="90"/>
        <v>0</v>
      </c>
      <c r="E221" s="409"/>
      <c r="F221" s="409"/>
      <c r="G221" s="426">
        <f t="shared" si="90"/>
        <v>0</v>
      </c>
      <c r="I221" s="412" t="s">
        <v>284</v>
      </c>
      <c r="J221" s="414">
        <f>J222</f>
        <v>1318</v>
      </c>
      <c r="K221" s="414">
        <f aca="true" t="shared" si="91" ref="J221:O226">ROUND(C221/1000,0)</f>
        <v>0</v>
      </c>
      <c r="L221" s="414">
        <f t="shared" si="91"/>
        <v>0</v>
      </c>
      <c r="M221" s="415">
        <f t="shared" si="85"/>
        <v>0</v>
      </c>
      <c r="N221" s="415"/>
      <c r="O221" s="414">
        <f t="shared" si="91"/>
        <v>0</v>
      </c>
    </row>
    <row r="222" spans="1:15" ht="12.75" customHeight="1">
      <c r="A222" s="412" t="s">
        <v>929</v>
      </c>
      <c r="B222" s="426">
        <v>1318000</v>
      </c>
      <c r="C222" s="431"/>
      <c r="D222" s="426"/>
      <c r="E222" s="409"/>
      <c r="F222" s="426"/>
      <c r="G222" s="426">
        <f>D222</f>
        <v>0</v>
      </c>
      <c r="I222" s="412" t="s">
        <v>929</v>
      </c>
      <c r="J222" s="414">
        <f t="shared" si="91"/>
        <v>1318</v>
      </c>
      <c r="K222" s="414">
        <f t="shared" si="91"/>
        <v>0</v>
      </c>
      <c r="L222" s="414">
        <f t="shared" si="91"/>
        <v>0</v>
      </c>
      <c r="M222" s="415">
        <f t="shared" si="85"/>
        <v>0</v>
      </c>
      <c r="N222" s="415"/>
      <c r="O222" s="414">
        <f t="shared" si="91"/>
        <v>0</v>
      </c>
    </row>
    <row r="223" spans="1:15" ht="12.75" customHeight="1">
      <c r="A223" s="418" t="s">
        <v>881</v>
      </c>
      <c r="B223" s="428">
        <f aca="true" t="shared" si="92" ref="B223:G223">SUM(B224:B225)</f>
        <v>1218000</v>
      </c>
      <c r="C223" s="428">
        <f t="shared" si="92"/>
        <v>0</v>
      </c>
      <c r="D223" s="428">
        <f t="shared" si="92"/>
        <v>0</v>
      </c>
      <c r="E223" s="409"/>
      <c r="F223" s="428"/>
      <c r="G223" s="428">
        <f t="shared" si="92"/>
        <v>0</v>
      </c>
      <c r="I223" s="418" t="s">
        <v>881</v>
      </c>
      <c r="J223" s="406">
        <f>J224+J225</f>
        <v>1218</v>
      </c>
      <c r="K223" s="406">
        <f t="shared" si="91"/>
        <v>0</v>
      </c>
      <c r="L223" s="406">
        <f t="shared" si="91"/>
        <v>0</v>
      </c>
      <c r="M223" s="415">
        <f t="shared" si="85"/>
        <v>0</v>
      </c>
      <c r="N223" s="415"/>
      <c r="O223" s="406">
        <f t="shared" si="91"/>
        <v>0</v>
      </c>
    </row>
    <row r="224" spans="1:15" ht="12.75" customHeight="1">
      <c r="A224" s="421" t="s">
        <v>876</v>
      </c>
      <c r="B224" s="426">
        <v>926060</v>
      </c>
      <c r="C224" s="426"/>
      <c r="D224" s="426"/>
      <c r="E224" s="409"/>
      <c r="F224" s="426"/>
      <c r="G224" s="426">
        <f>D224</f>
        <v>0</v>
      </c>
      <c r="I224" s="421" t="s">
        <v>876</v>
      </c>
      <c r="J224" s="414">
        <f t="shared" si="91"/>
        <v>926</v>
      </c>
      <c r="K224" s="414">
        <f t="shared" si="91"/>
        <v>0</v>
      </c>
      <c r="L224" s="414">
        <f t="shared" si="91"/>
        <v>0</v>
      </c>
      <c r="M224" s="415">
        <f t="shared" si="85"/>
        <v>0</v>
      </c>
      <c r="N224" s="415"/>
      <c r="O224" s="414">
        <f t="shared" si="91"/>
        <v>0</v>
      </c>
    </row>
    <row r="225" spans="1:15" ht="12.75" customHeight="1">
      <c r="A225" s="421" t="s">
        <v>877</v>
      </c>
      <c r="B225" s="426">
        <v>291940</v>
      </c>
      <c r="C225" s="426"/>
      <c r="D225" s="426"/>
      <c r="E225" s="409"/>
      <c r="F225" s="426"/>
      <c r="G225" s="426">
        <f>D225</f>
        <v>0</v>
      </c>
      <c r="I225" s="421" t="s">
        <v>877</v>
      </c>
      <c r="J225" s="414">
        <f t="shared" si="91"/>
        <v>292</v>
      </c>
      <c r="K225" s="414">
        <f t="shared" si="91"/>
        <v>0</v>
      </c>
      <c r="L225" s="414">
        <f t="shared" si="91"/>
        <v>0</v>
      </c>
      <c r="M225" s="415">
        <f t="shared" si="85"/>
        <v>0</v>
      </c>
      <c r="N225" s="415"/>
      <c r="O225" s="414">
        <f t="shared" si="91"/>
        <v>0</v>
      </c>
    </row>
    <row r="226" spans="1:15" ht="12.75" customHeight="1">
      <c r="A226" s="425" t="s">
        <v>46</v>
      </c>
      <c r="B226" s="426">
        <v>100000</v>
      </c>
      <c r="C226" s="426"/>
      <c r="D226" s="426"/>
      <c r="E226" s="409"/>
      <c r="F226" s="426"/>
      <c r="G226" s="426">
        <f>D226</f>
        <v>0</v>
      </c>
      <c r="I226" s="425" t="s">
        <v>46</v>
      </c>
      <c r="J226" s="414">
        <f t="shared" si="91"/>
        <v>100</v>
      </c>
      <c r="K226" s="414">
        <f t="shared" si="91"/>
        <v>0</v>
      </c>
      <c r="L226" s="414">
        <f t="shared" si="91"/>
        <v>0</v>
      </c>
      <c r="M226" s="415">
        <f t="shared" si="85"/>
        <v>0</v>
      </c>
      <c r="N226" s="415"/>
      <c r="O226" s="414">
        <f t="shared" si="91"/>
        <v>0</v>
      </c>
    </row>
    <row r="227" spans="1:15" ht="12.75" customHeight="1">
      <c r="A227" s="427" t="s">
        <v>287</v>
      </c>
      <c r="B227" s="426"/>
      <c r="C227" s="426"/>
      <c r="D227" s="426"/>
      <c r="E227" s="426"/>
      <c r="F227" s="426"/>
      <c r="G227" s="426"/>
      <c r="I227" s="427" t="s">
        <v>287</v>
      </c>
      <c r="J227" s="426"/>
      <c r="K227" s="426"/>
      <c r="L227" s="426"/>
      <c r="M227" s="415"/>
      <c r="N227" s="415"/>
      <c r="O227" s="426"/>
    </row>
    <row r="228" spans="1:15" ht="12.75" customHeight="1">
      <c r="A228" s="412" t="s">
        <v>284</v>
      </c>
      <c r="B228" s="432">
        <f aca="true" t="shared" si="93" ref="B228:G228">SUM(B229)</f>
        <v>109108415</v>
      </c>
      <c r="C228" s="432">
        <f t="shared" si="93"/>
        <v>26226616</v>
      </c>
      <c r="D228" s="432">
        <f t="shared" si="93"/>
        <v>26226616</v>
      </c>
      <c r="E228" s="409">
        <f t="shared" si="84"/>
        <v>24.03720739596483</v>
      </c>
      <c r="F228" s="409">
        <f>IF(ISERROR(D228/C228)," ",(D228/C228))*100</f>
        <v>100</v>
      </c>
      <c r="G228" s="432">
        <f t="shared" si="93"/>
        <v>9311969.079999998</v>
      </c>
      <c r="I228" s="412" t="s">
        <v>284</v>
      </c>
      <c r="J228" s="414">
        <f>J229</f>
        <v>109108</v>
      </c>
      <c r="K228" s="414">
        <f>K229</f>
        <v>26227</v>
      </c>
      <c r="L228" s="414">
        <f>L229</f>
        <v>26227</v>
      </c>
      <c r="M228" s="415">
        <f t="shared" si="85"/>
        <v>24.03765076804634</v>
      </c>
      <c r="N228" s="415">
        <f t="shared" si="86"/>
        <v>100</v>
      </c>
      <c r="O228" s="432">
        <f>O229</f>
        <v>8847</v>
      </c>
    </row>
    <row r="229" spans="1:15" ht="12.75" customHeight="1">
      <c r="A229" s="412" t="s">
        <v>285</v>
      </c>
      <c r="B229" s="414">
        <v>109108415</v>
      </c>
      <c r="C229" s="414">
        <v>26226616</v>
      </c>
      <c r="D229" s="414">
        <v>26226616</v>
      </c>
      <c r="E229" s="409">
        <f t="shared" si="84"/>
        <v>24.03720739596483</v>
      </c>
      <c r="F229" s="409">
        <f>IF(ISERROR(D229/C229)," ",(D229/C229))*100</f>
        <v>100</v>
      </c>
      <c r="G229" s="426">
        <f>D229-'[11]februāris'!D230</f>
        <v>9311969.079999998</v>
      </c>
      <c r="I229" s="412" t="s">
        <v>285</v>
      </c>
      <c r="J229" s="414">
        <f>ROUND(B229/1000,0)</f>
        <v>109108</v>
      </c>
      <c r="K229" s="414">
        <f>ROUND(C229/1000,0)</f>
        <v>26227</v>
      </c>
      <c r="L229" s="414">
        <f>ROUND(D229/1000,0)</f>
        <v>26227</v>
      </c>
      <c r="M229" s="415">
        <f t="shared" si="85"/>
        <v>24.03765076804634</v>
      </c>
      <c r="N229" s="415">
        <f t="shared" si="86"/>
        <v>100</v>
      </c>
      <c r="O229" s="414">
        <v>8847</v>
      </c>
    </row>
    <row r="230" spans="1:15" ht="12.75" customHeight="1">
      <c r="A230" s="418" t="s">
        <v>881</v>
      </c>
      <c r="B230" s="428">
        <f aca="true" t="shared" si="94" ref="B230:G230">SUM(B231:B232)</f>
        <v>109108415</v>
      </c>
      <c r="C230" s="428">
        <f t="shared" si="94"/>
        <v>26226616</v>
      </c>
      <c r="D230" s="428">
        <f t="shared" si="94"/>
        <v>25466755.05</v>
      </c>
      <c r="E230" s="409">
        <f t="shared" si="84"/>
        <v>23.340779948091082</v>
      </c>
      <c r="F230" s="409">
        <f>IF(ISERROR(D230/C230)," ",(D230/C230))*100</f>
        <v>97.10271065851576</v>
      </c>
      <c r="G230" s="428">
        <f t="shared" si="94"/>
        <v>8552108.13</v>
      </c>
      <c r="I230" s="418" t="s">
        <v>881</v>
      </c>
      <c r="J230" s="406">
        <f>J231+J232</f>
        <v>109109</v>
      </c>
      <c r="K230" s="406">
        <f>K231+K232</f>
        <v>26227</v>
      </c>
      <c r="L230" s="406">
        <f>L231+L232</f>
        <v>25467</v>
      </c>
      <c r="M230" s="411">
        <f t="shared" si="85"/>
        <v>23.340879304182057</v>
      </c>
      <c r="N230" s="411">
        <f t="shared" si="86"/>
        <v>97.10222290006482</v>
      </c>
      <c r="O230" s="406">
        <f>O231+O232</f>
        <v>8552</v>
      </c>
    </row>
    <row r="231" spans="1:15" ht="12.75" customHeight="1">
      <c r="A231" s="421" t="s">
        <v>876</v>
      </c>
      <c r="B231" s="426">
        <v>98821615</v>
      </c>
      <c r="C231" s="426">
        <v>24670010</v>
      </c>
      <c r="D231" s="426">
        <v>24576760</v>
      </c>
      <c r="E231" s="409">
        <f t="shared" si="84"/>
        <v>24.869822254979336</v>
      </c>
      <c r="F231" s="409">
        <f>IF(ISERROR(D231/C231)," ",(D231/C231))*100</f>
        <v>99.62201069233454</v>
      </c>
      <c r="G231" s="426">
        <v>8154746</v>
      </c>
      <c r="I231" s="421" t="s">
        <v>876</v>
      </c>
      <c r="J231" s="414">
        <f aca="true" t="shared" si="95" ref="J231:L232">ROUND(B231/1000,0)</f>
        <v>98822</v>
      </c>
      <c r="K231" s="414">
        <f t="shared" si="95"/>
        <v>24670</v>
      </c>
      <c r="L231" s="414">
        <f t="shared" si="95"/>
        <v>24577</v>
      </c>
      <c r="M231" s="415">
        <f t="shared" si="85"/>
        <v>24.86996822569873</v>
      </c>
      <c r="N231" s="415">
        <f t="shared" si="86"/>
        <v>99.62302391568707</v>
      </c>
      <c r="O231" s="414">
        <f>ROUND(G231/1000,0)</f>
        <v>8155</v>
      </c>
    </row>
    <row r="232" spans="1:15" ht="12.75" customHeight="1">
      <c r="A232" s="421" t="s">
        <v>877</v>
      </c>
      <c r="B232" s="426">
        <v>10286800</v>
      </c>
      <c r="C232" s="426">
        <v>1556606</v>
      </c>
      <c r="D232" s="426">
        <v>889995.05</v>
      </c>
      <c r="E232" s="409">
        <f>IF(ISERROR(D232/B232)," ",(D232/B232))*100</f>
        <v>8.651816405490532</v>
      </c>
      <c r="F232" s="409">
        <f>IF(ISERROR(D232/C232)," ",(D232/C232))*100</f>
        <v>57.17535779767006</v>
      </c>
      <c r="G232" s="426">
        <v>397362.13</v>
      </c>
      <c r="I232" s="421" t="s">
        <v>877</v>
      </c>
      <c r="J232" s="414">
        <f t="shared" si="95"/>
        <v>10287</v>
      </c>
      <c r="K232" s="414">
        <f t="shared" si="95"/>
        <v>1557</v>
      </c>
      <c r="L232" s="414">
        <f t="shared" si="95"/>
        <v>890</v>
      </c>
      <c r="M232" s="415">
        <f t="shared" si="85"/>
        <v>8.651696315738311</v>
      </c>
      <c r="N232" s="415">
        <f t="shared" si="86"/>
        <v>57.16120745022479</v>
      </c>
      <c r="O232" s="414">
        <f>ROUND(G232/1000,0)</f>
        <v>397</v>
      </c>
    </row>
    <row r="233" spans="1:15" ht="12.75" customHeight="1">
      <c r="A233" s="427" t="s">
        <v>288</v>
      </c>
      <c r="B233" s="426"/>
      <c r="C233" s="426"/>
      <c r="D233" s="426"/>
      <c r="E233" s="426"/>
      <c r="F233" s="426"/>
      <c r="G233" s="426"/>
      <c r="I233" s="427" t="s">
        <v>288</v>
      </c>
      <c r="J233" s="426"/>
      <c r="K233" s="426"/>
      <c r="L233" s="426"/>
      <c r="M233" s="415"/>
      <c r="N233" s="415"/>
      <c r="O233" s="426"/>
    </row>
    <row r="234" spans="1:15" ht="12.75" customHeight="1">
      <c r="A234" s="412" t="s">
        <v>284</v>
      </c>
      <c r="B234" s="426">
        <f>SUM(B235)</f>
        <v>7677897</v>
      </c>
      <c r="C234" s="426">
        <f>SUM(C235)</f>
        <v>2013791</v>
      </c>
      <c r="D234" s="426">
        <f>SUM(D235)</f>
        <v>2013791</v>
      </c>
      <c r="E234" s="409">
        <f t="shared" si="84"/>
        <v>26.22841905797903</v>
      </c>
      <c r="F234" s="409">
        <f>IF(ISERROR(D234/C234)," ",(D234/C234))*100</f>
        <v>100</v>
      </c>
      <c r="G234" s="426">
        <f>SUM(G235)</f>
        <v>712844.1399999999</v>
      </c>
      <c r="I234" s="412" t="s">
        <v>284</v>
      </c>
      <c r="J234" s="414">
        <f>J235</f>
        <v>7678</v>
      </c>
      <c r="K234" s="414">
        <f>K235</f>
        <v>2014</v>
      </c>
      <c r="L234" s="414">
        <f>L235</f>
        <v>2014</v>
      </c>
      <c r="M234" s="415">
        <f t="shared" si="85"/>
        <v>26.230789268038553</v>
      </c>
      <c r="N234" s="415">
        <f t="shared" si="86"/>
        <v>100</v>
      </c>
      <c r="O234" s="414">
        <f>O235</f>
        <v>675</v>
      </c>
    </row>
    <row r="235" spans="1:15" ht="12.75" customHeight="1">
      <c r="A235" s="412" t="s">
        <v>285</v>
      </c>
      <c r="B235" s="426">
        <v>7677897</v>
      </c>
      <c r="C235" s="426">
        <v>2013791</v>
      </c>
      <c r="D235" s="426">
        <v>2013791</v>
      </c>
      <c r="E235" s="409">
        <f>IF(ISERROR(D235/B235)," ",(D235/B235))*100</f>
        <v>26.22841905797903</v>
      </c>
      <c r="F235" s="409">
        <f>IF(ISERROR(D235/C235)," ",(D235/C235))*100</f>
        <v>100</v>
      </c>
      <c r="G235" s="426">
        <f>D235-'[11]februāris'!D236</f>
        <v>712844.1399999999</v>
      </c>
      <c r="I235" s="412" t="s">
        <v>285</v>
      </c>
      <c r="J235" s="414">
        <f>ROUND(B235/1000,0)</f>
        <v>7678</v>
      </c>
      <c r="K235" s="414">
        <f>ROUND(C235/1000,0)</f>
        <v>2014</v>
      </c>
      <c r="L235" s="414">
        <f>ROUND(D235/1000,0)</f>
        <v>2014</v>
      </c>
      <c r="M235" s="415">
        <f t="shared" si="85"/>
        <v>26.230789268038553</v>
      </c>
      <c r="N235" s="415">
        <f t="shared" si="86"/>
        <v>100</v>
      </c>
      <c r="O235" s="414">
        <v>675</v>
      </c>
    </row>
    <row r="236" spans="1:15" ht="12.75" customHeight="1">
      <c r="A236" s="418" t="s">
        <v>881</v>
      </c>
      <c r="B236" s="428">
        <f>SUM(B237)</f>
        <v>7677897</v>
      </c>
      <c r="C236" s="428">
        <f>SUM(C237)</f>
        <v>2013791</v>
      </c>
      <c r="D236" s="428">
        <f>SUM(D237)</f>
        <v>1957260.22</v>
      </c>
      <c r="E236" s="409">
        <f t="shared" si="84"/>
        <v>25.49213957936659</v>
      </c>
      <c r="F236" s="409">
        <f>IF(ISERROR(D236/C236)," ",(D236/C236))*100</f>
        <v>97.19281792400503</v>
      </c>
      <c r="G236" s="428">
        <f>SUM(G237)</f>
        <v>656313.36</v>
      </c>
      <c r="I236" s="418" t="s">
        <v>881</v>
      </c>
      <c r="J236" s="406">
        <f>J237+J238</f>
        <v>7678</v>
      </c>
      <c r="K236" s="406">
        <f>K237+K238</f>
        <v>2014</v>
      </c>
      <c r="L236" s="406">
        <f>L237+L238</f>
        <v>1957</v>
      </c>
      <c r="M236" s="411">
        <f t="shared" si="85"/>
        <v>25.488408439697842</v>
      </c>
      <c r="N236" s="411">
        <f t="shared" si="86"/>
        <v>97.16981132075472</v>
      </c>
      <c r="O236" s="406">
        <f>O237+O238</f>
        <v>656</v>
      </c>
    </row>
    <row r="237" spans="1:15" ht="12.75" customHeight="1">
      <c r="A237" s="421" t="s">
        <v>876</v>
      </c>
      <c r="B237" s="426">
        <v>7677897</v>
      </c>
      <c r="C237" s="426">
        <v>2013791</v>
      </c>
      <c r="D237" s="426">
        <v>1957260.22</v>
      </c>
      <c r="E237" s="409">
        <f t="shared" si="84"/>
        <v>25.49213957936659</v>
      </c>
      <c r="F237" s="409">
        <f>IF(ISERROR(D237/C237)," ",(D237/C237))*100</f>
        <v>97.19281792400503</v>
      </c>
      <c r="G237" s="426">
        <v>656313.36</v>
      </c>
      <c r="I237" s="421" t="s">
        <v>876</v>
      </c>
      <c r="J237" s="414">
        <f>ROUND(B237/1000,0)</f>
        <v>7678</v>
      </c>
      <c r="K237" s="414">
        <f>ROUND(C237/1000,0)</f>
        <v>2014</v>
      </c>
      <c r="L237" s="414">
        <f>ROUND(D237/1000,0)</f>
        <v>1957</v>
      </c>
      <c r="M237" s="415">
        <f t="shared" si="85"/>
        <v>25.488408439697842</v>
      </c>
      <c r="N237" s="415">
        <f t="shared" si="86"/>
        <v>97.16981132075472</v>
      </c>
      <c r="O237" s="414">
        <f>ROUND(G237/1000,0)</f>
        <v>656</v>
      </c>
    </row>
    <row r="238" spans="13:14" ht="17.25" customHeight="1">
      <c r="M238" s="433"/>
      <c r="N238" s="433"/>
    </row>
    <row r="240" ht="17.25" customHeight="1" hidden="1"/>
    <row r="241" spans="1:12" ht="17.25" customHeight="1">
      <c r="A241" s="434" t="s">
        <v>916</v>
      </c>
      <c r="B241" s="435"/>
      <c r="C241" s="435"/>
      <c r="D241" s="435" t="s">
        <v>917</v>
      </c>
      <c r="I241" s="436" t="s">
        <v>289</v>
      </c>
      <c r="J241" s="437"/>
      <c r="K241" s="437"/>
      <c r="L241" s="435"/>
    </row>
    <row r="245" ht="17.25" customHeight="1">
      <c r="I245" s="399" t="s">
        <v>831</v>
      </c>
    </row>
    <row r="246" ht="17.25" customHeight="1">
      <c r="I246" s="399" t="s">
        <v>832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1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H1">
      <selection activeCell="B8" sqref="B8"/>
    </sheetView>
  </sheetViews>
  <sheetFormatPr defaultColWidth="9.140625" defaultRowHeight="12.75"/>
  <cols>
    <col min="1" max="1" width="36.28125" style="0" hidden="1" customWidth="1"/>
    <col min="2" max="2" width="11.00390625" style="0" hidden="1" customWidth="1"/>
    <col min="3" max="3" width="11.421875" style="0" hidden="1" customWidth="1"/>
    <col min="4" max="4" width="10.8515625" style="0" hidden="1" customWidth="1"/>
    <col min="5" max="5" width="7.7109375" style="0" hidden="1" customWidth="1"/>
    <col min="6" max="6" width="9.421875" style="0" hidden="1" customWidth="1"/>
    <col min="7" max="7" width="11.140625" style="0" hidden="1" customWidth="1"/>
    <col min="8" max="8" width="36.8515625" style="0" customWidth="1"/>
    <col min="9" max="9" width="10.8515625" style="0" customWidth="1"/>
    <col min="11" max="11" width="10.7109375" style="0" customWidth="1"/>
  </cols>
  <sheetData>
    <row r="1" spans="7:14" ht="12.75">
      <c r="G1" s="5" t="s">
        <v>290</v>
      </c>
      <c r="N1" s="5" t="s">
        <v>290</v>
      </c>
    </row>
    <row r="2" spans="1:9" ht="12.75">
      <c r="A2" s="4"/>
      <c r="B2" s="2" t="s">
        <v>291</v>
      </c>
      <c r="H2" s="4"/>
      <c r="I2" s="2" t="s">
        <v>291</v>
      </c>
    </row>
    <row r="4" spans="1:14" ht="15">
      <c r="A4" s="770" t="s">
        <v>292</v>
      </c>
      <c r="B4" s="770"/>
      <c r="C4" s="770"/>
      <c r="D4" s="770"/>
      <c r="E4" s="770"/>
      <c r="F4" s="770"/>
      <c r="G4" s="770"/>
      <c r="H4" s="770" t="s">
        <v>292</v>
      </c>
      <c r="I4" s="770"/>
      <c r="J4" s="770"/>
      <c r="K4" s="770"/>
      <c r="L4" s="770"/>
      <c r="M4" s="770"/>
      <c r="N4" s="770"/>
    </row>
    <row r="5" spans="1:13" ht="12.75">
      <c r="A5" s="771" t="s">
        <v>293</v>
      </c>
      <c r="B5" s="771"/>
      <c r="C5" s="771"/>
      <c r="D5" s="771"/>
      <c r="E5" s="771"/>
      <c r="F5" s="771"/>
      <c r="H5" s="771" t="s">
        <v>293</v>
      </c>
      <c r="I5" s="771"/>
      <c r="J5" s="771"/>
      <c r="K5" s="771"/>
      <c r="L5" s="771"/>
      <c r="M5" s="771"/>
    </row>
    <row r="6" spans="1:13" ht="15">
      <c r="A6" s="264"/>
      <c r="B6" s="264"/>
      <c r="C6" s="264"/>
      <c r="D6" s="264"/>
      <c r="E6" s="264"/>
      <c r="F6" s="264"/>
      <c r="H6" s="264"/>
      <c r="I6" s="264"/>
      <c r="J6" s="264"/>
      <c r="K6" s="264"/>
      <c r="L6" s="264"/>
      <c r="M6" s="264"/>
    </row>
    <row r="7" spans="6:14" ht="12.75">
      <c r="F7" s="769" t="s">
        <v>837</v>
      </c>
      <c r="G7" s="769"/>
      <c r="M7" s="769" t="s">
        <v>837</v>
      </c>
      <c r="N7" s="769"/>
    </row>
    <row r="8" spans="1:14" ht="78.75">
      <c r="A8" s="11" t="s">
        <v>242</v>
      </c>
      <c r="B8" s="11" t="s">
        <v>749</v>
      </c>
      <c r="C8" s="11" t="s">
        <v>922</v>
      </c>
      <c r="D8" s="11" t="s">
        <v>751</v>
      </c>
      <c r="E8" s="11" t="s">
        <v>923</v>
      </c>
      <c r="F8" s="11" t="s">
        <v>294</v>
      </c>
      <c r="G8" s="11" t="s">
        <v>40</v>
      </c>
      <c r="H8" s="11" t="s">
        <v>242</v>
      </c>
      <c r="I8" s="11" t="s">
        <v>749</v>
      </c>
      <c r="J8" s="11" t="s">
        <v>922</v>
      </c>
      <c r="K8" s="11" t="s">
        <v>751</v>
      </c>
      <c r="L8" s="11" t="s">
        <v>923</v>
      </c>
      <c r="M8" s="11" t="s">
        <v>294</v>
      </c>
      <c r="N8" s="11" t="s">
        <v>797</v>
      </c>
    </row>
    <row r="9" spans="1:14" ht="12.75">
      <c r="A9" s="11">
        <v>1</v>
      </c>
      <c r="B9" s="11">
        <v>2</v>
      </c>
      <c r="C9" s="11">
        <v>3</v>
      </c>
      <c r="D9" s="11">
        <v>4</v>
      </c>
      <c r="E9" s="439">
        <v>5</v>
      </c>
      <c r="F9" s="11">
        <v>6</v>
      </c>
      <c r="G9" s="11">
        <v>7</v>
      </c>
      <c r="H9" s="11">
        <v>1</v>
      </c>
      <c r="I9" s="11">
        <v>2</v>
      </c>
      <c r="J9" s="11">
        <v>3</v>
      </c>
      <c r="K9" s="11">
        <v>4</v>
      </c>
      <c r="L9" s="439">
        <v>5</v>
      </c>
      <c r="M9" s="11">
        <v>6</v>
      </c>
      <c r="N9" s="11">
        <v>7</v>
      </c>
    </row>
    <row r="10" spans="1:14" ht="12.75">
      <c r="A10" s="440" t="s">
        <v>295</v>
      </c>
      <c r="B10" s="441">
        <v>795383031</v>
      </c>
      <c r="C10" s="442" t="s">
        <v>848</v>
      </c>
      <c r="D10" s="441">
        <v>168332580</v>
      </c>
      <c r="E10" s="443" t="s">
        <v>848</v>
      </c>
      <c r="F10" s="443" t="s">
        <v>848</v>
      </c>
      <c r="G10" s="441">
        <v>54246477</v>
      </c>
      <c r="H10" s="440" t="s">
        <v>295</v>
      </c>
      <c r="I10" s="441">
        <f>ROUND(B10/1000,0)</f>
        <v>795383</v>
      </c>
      <c r="J10" s="442" t="s">
        <v>848</v>
      </c>
      <c r="K10" s="444">
        <f>ROUND(D10/1000,0)</f>
        <v>168333</v>
      </c>
      <c r="L10" s="443" t="s">
        <v>848</v>
      </c>
      <c r="M10" s="443" t="s">
        <v>848</v>
      </c>
      <c r="N10" s="441">
        <f>ROUND(G10/1000,0)+1</f>
        <v>54247</v>
      </c>
    </row>
    <row r="11" spans="1:14" ht="12.75">
      <c r="A11" s="445" t="s">
        <v>296</v>
      </c>
      <c r="B11" s="446">
        <v>822566488</v>
      </c>
      <c r="C11" s="446">
        <v>192499000</v>
      </c>
      <c r="D11" s="446">
        <f>D12+D13+D14+D15</f>
        <v>184474885.66000003</v>
      </c>
      <c r="E11" s="447">
        <f>IF(ISERROR(D11/B11)," ",(D11/B11))*100</f>
        <v>22.42674462808896</v>
      </c>
      <c r="F11" s="448">
        <f>IF(ISERROR(D11/C11)," ",(D11/C11))*100</f>
        <v>95.83160726029747</v>
      </c>
      <c r="G11" s="446">
        <f>SUM(G12:G15)</f>
        <v>63266746.56</v>
      </c>
      <c r="H11" s="445" t="s">
        <v>296</v>
      </c>
      <c r="I11" s="441">
        <f aca="true" t="shared" si="0" ref="I11:K20">ROUND(B11/1000,0)</f>
        <v>822566</v>
      </c>
      <c r="J11" s="444">
        <f>ROUND(C11/1000,0)</f>
        <v>192499</v>
      </c>
      <c r="K11" s="446">
        <f>K12+K13+K14+K15</f>
        <v>184476</v>
      </c>
      <c r="L11" s="447">
        <f>E11</f>
        <v>22.42674462808896</v>
      </c>
      <c r="M11" s="447">
        <f>F11</f>
        <v>95.83160726029747</v>
      </c>
      <c r="N11" s="446">
        <f>N12+N13+N14+N15</f>
        <v>63267</v>
      </c>
    </row>
    <row r="12" spans="1:15" ht="20.25" customHeight="1">
      <c r="A12" s="449" t="s">
        <v>297</v>
      </c>
      <c r="B12" s="446">
        <v>702268383</v>
      </c>
      <c r="C12" s="446">
        <v>165472699</v>
      </c>
      <c r="D12" s="446">
        <v>165472699</v>
      </c>
      <c r="E12" s="447">
        <f aca="true" t="shared" si="1" ref="E12:E19">IF(ISERROR(D12/B12)," ",(D12/B12))*100</f>
        <v>23.56260127974464</v>
      </c>
      <c r="F12" s="448">
        <f aca="true" t="shared" si="2" ref="F12:F22">IF(ISERROR(D12/C12)," ",(D12/C12))*100</f>
        <v>100</v>
      </c>
      <c r="G12" s="446">
        <f>D12-'[12]februāris'!D12</f>
        <v>57833197</v>
      </c>
      <c r="H12" s="449" t="s">
        <v>297</v>
      </c>
      <c r="I12" s="441">
        <f t="shared" si="0"/>
        <v>702268</v>
      </c>
      <c r="J12" s="446">
        <f t="shared" si="0"/>
        <v>165473</v>
      </c>
      <c r="K12" s="446">
        <f>ROUND(D12/1000,0)+1</f>
        <v>165474</v>
      </c>
      <c r="L12" s="447">
        <f aca="true" t="shared" si="3" ref="L12:M19">E12</f>
        <v>23.56260127974464</v>
      </c>
      <c r="M12" s="447">
        <f t="shared" si="3"/>
        <v>100</v>
      </c>
      <c r="N12" s="450">
        <f>ROUND(G12/1000,0)</f>
        <v>57833</v>
      </c>
      <c r="O12" s="451"/>
    </row>
    <row r="13" spans="1:14" ht="17.25" customHeight="1">
      <c r="A13" s="449" t="s">
        <v>298</v>
      </c>
      <c r="B13" s="446">
        <v>3480024</v>
      </c>
      <c r="C13" s="446">
        <v>496468</v>
      </c>
      <c r="D13" s="446">
        <v>290884.02</v>
      </c>
      <c r="E13" s="447">
        <f t="shared" si="1"/>
        <v>8.358678560837513</v>
      </c>
      <c r="F13" s="448">
        <f t="shared" si="2"/>
        <v>58.59068862444307</v>
      </c>
      <c r="G13" s="446">
        <f>D13-'[12]februāris'!D13</f>
        <v>144628.92</v>
      </c>
      <c r="H13" s="449" t="s">
        <v>298</v>
      </c>
      <c r="I13" s="441">
        <f t="shared" si="0"/>
        <v>3480</v>
      </c>
      <c r="J13" s="446">
        <f t="shared" si="0"/>
        <v>496</v>
      </c>
      <c r="K13" s="446">
        <f>ROUND(D13/1000,0)-1</f>
        <v>290</v>
      </c>
      <c r="L13" s="447">
        <f t="shared" si="3"/>
        <v>8.358678560837513</v>
      </c>
      <c r="M13" s="447">
        <f t="shared" si="3"/>
        <v>58.59068862444307</v>
      </c>
      <c r="N13" s="450">
        <f>ROUND(G13/1000,0)</f>
        <v>145</v>
      </c>
    </row>
    <row r="14" spans="1:14" ht="15" customHeight="1">
      <c r="A14" s="449" t="s">
        <v>82</v>
      </c>
      <c r="B14" s="446">
        <v>60659270</v>
      </c>
      <c r="C14" s="446">
        <v>14871188</v>
      </c>
      <c r="D14" s="446">
        <v>15300505.64</v>
      </c>
      <c r="E14" s="447">
        <f t="shared" si="1"/>
        <v>25.223689042087056</v>
      </c>
      <c r="F14" s="448">
        <f t="shared" si="2"/>
        <v>102.88690883337632</v>
      </c>
      <c r="G14" s="446">
        <f>D14-'[12]februāris'!D14</f>
        <v>4827653.640000001</v>
      </c>
      <c r="H14" s="449" t="s">
        <v>82</v>
      </c>
      <c r="I14" s="441">
        <f t="shared" si="0"/>
        <v>60659</v>
      </c>
      <c r="J14" s="446">
        <f t="shared" si="0"/>
        <v>14871</v>
      </c>
      <c r="K14" s="446">
        <f t="shared" si="0"/>
        <v>15301</v>
      </c>
      <c r="L14" s="447">
        <f t="shared" si="3"/>
        <v>25.223689042087056</v>
      </c>
      <c r="M14" s="447">
        <f t="shared" si="3"/>
        <v>102.88690883337632</v>
      </c>
      <c r="N14" s="450">
        <f>ROUND(G14/1000,0)</f>
        <v>4828</v>
      </c>
    </row>
    <row r="15" spans="1:14" ht="15" customHeight="1">
      <c r="A15" s="445" t="s">
        <v>83</v>
      </c>
      <c r="B15" s="446">
        <v>56158811</v>
      </c>
      <c r="C15" s="446">
        <v>11658645</v>
      </c>
      <c r="D15" s="446">
        <v>3410797</v>
      </c>
      <c r="E15" s="447">
        <f t="shared" si="1"/>
        <v>6.073485067196312</v>
      </c>
      <c r="F15" s="448">
        <f t="shared" si="2"/>
        <v>29.255518115527146</v>
      </c>
      <c r="G15" s="446">
        <f>D15-'[12]februāris'!D15</f>
        <v>461267</v>
      </c>
      <c r="H15" s="445" t="s">
        <v>83</v>
      </c>
      <c r="I15" s="441">
        <f t="shared" si="0"/>
        <v>56159</v>
      </c>
      <c r="J15" s="446">
        <f t="shared" si="0"/>
        <v>11659</v>
      </c>
      <c r="K15" s="446">
        <f t="shared" si="0"/>
        <v>3411</v>
      </c>
      <c r="L15" s="447">
        <f t="shared" si="3"/>
        <v>6.073485067196312</v>
      </c>
      <c r="M15" s="447">
        <f t="shared" si="3"/>
        <v>29.255518115527146</v>
      </c>
      <c r="N15" s="450">
        <f>ROUND(G15/1000,0)</f>
        <v>461</v>
      </c>
    </row>
    <row r="16" spans="1:14" ht="15" customHeight="1">
      <c r="A16" s="440" t="s">
        <v>930</v>
      </c>
      <c r="B16" s="441">
        <v>822563488</v>
      </c>
      <c r="C16" s="441">
        <v>192538446</v>
      </c>
      <c r="D16" s="441">
        <f>D17+D41</f>
        <v>174285334.70999998</v>
      </c>
      <c r="E16" s="447">
        <f t="shared" si="1"/>
        <v>21.188070860495085</v>
      </c>
      <c r="F16" s="448">
        <f t="shared" si="2"/>
        <v>90.51975765401158</v>
      </c>
      <c r="G16" s="446">
        <f>D16-'[12]februāris'!D16</f>
        <v>62258346.61999996</v>
      </c>
      <c r="H16" s="440" t="s">
        <v>930</v>
      </c>
      <c r="I16" s="441">
        <f t="shared" si="0"/>
        <v>822563</v>
      </c>
      <c r="J16" s="444">
        <f t="shared" si="0"/>
        <v>192538</v>
      </c>
      <c r="K16" s="441">
        <f>K17+K41</f>
        <v>174285</v>
      </c>
      <c r="L16" s="447">
        <f t="shared" si="3"/>
        <v>21.188070860495085</v>
      </c>
      <c r="M16" s="447">
        <f t="shared" si="3"/>
        <v>90.51975765401158</v>
      </c>
      <c r="N16" s="441">
        <f>N17+N41</f>
        <v>62258</v>
      </c>
    </row>
    <row r="17" spans="1:14" ht="12.75">
      <c r="A17" s="452" t="s">
        <v>299</v>
      </c>
      <c r="B17" s="441">
        <v>743343379</v>
      </c>
      <c r="C17" s="441">
        <v>178089864</v>
      </c>
      <c r="D17" s="441">
        <f>D18+D22+D26</f>
        <v>165470934.26999998</v>
      </c>
      <c r="E17" s="447">
        <f t="shared" si="1"/>
        <v>22.260362968807716</v>
      </c>
      <c r="F17" s="448">
        <f t="shared" si="2"/>
        <v>92.91429088294434</v>
      </c>
      <c r="G17" s="446">
        <f>D17-'[12]februāris'!D17</f>
        <v>58365748.96999997</v>
      </c>
      <c r="H17" s="452" t="s">
        <v>299</v>
      </c>
      <c r="I17" s="441">
        <f t="shared" si="0"/>
        <v>743343</v>
      </c>
      <c r="J17" s="441">
        <f>J18+J22+J26</f>
        <v>178090</v>
      </c>
      <c r="K17" s="441">
        <f>K18+K22+K26</f>
        <v>165471</v>
      </c>
      <c r="L17" s="447">
        <f t="shared" si="3"/>
        <v>22.260362968807716</v>
      </c>
      <c r="M17" s="447">
        <f t="shared" si="3"/>
        <v>92.91429088294434</v>
      </c>
      <c r="N17" s="441">
        <f>N18+N22+N26</f>
        <v>58365</v>
      </c>
    </row>
    <row r="18" spans="1:14" ht="12.75">
      <c r="A18" s="453" t="s">
        <v>845</v>
      </c>
      <c r="B18" s="441">
        <v>378400026</v>
      </c>
      <c r="C18" s="441">
        <v>92121906</v>
      </c>
      <c r="D18" s="441">
        <f>D19+D20+D21</f>
        <v>82473238.84</v>
      </c>
      <c r="E18" s="447">
        <f t="shared" si="1"/>
        <v>21.795251895675083</v>
      </c>
      <c r="F18" s="448">
        <f t="shared" si="2"/>
        <v>89.52619677669283</v>
      </c>
      <c r="G18" s="446">
        <f>D18-'[12]februāris'!D18</f>
        <v>28542367.61</v>
      </c>
      <c r="H18" s="453" t="s">
        <v>845</v>
      </c>
      <c r="I18" s="441">
        <f t="shared" si="0"/>
        <v>378400</v>
      </c>
      <c r="J18" s="444">
        <f t="shared" si="0"/>
        <v>92122</v>
      </c>
      <c r="K18" s="441">
        <f>K19+K20+K21</f>
        <v>82473</v>
      </c>
      <c r="L18" s="447">
        <f t="shared" si="3"/>
        <v>21.795251895675083</v>
      </c>
      <c r="M18" s="447">
        <f t="shared" si="3"/>
        <v>89.52619677669283</v>
      </c>
      <c r="N18" s="441">
        <f>N19+N20+N21</f>
        <v>28542</v>
      </c>
    </row>
    <row r="19" spans="1:14" ht="12.75">
      <c r="A19" s="454" t="s">
        <v>846</v>
      </c>
      <c r="B19" s="446">
        <v>171195440</v>
      </c>
      <c r="C19" s="446">
        <v>39649566</v>
      </c>
      <c r="D19" s="446">
        <v>37600753.67</v>
      </c>
      <c r="E19" s="447">
        <f t="shared" si="1"/>
        <v>21.963642063129722</v>
      </c>
      <c r="F19" s="448">
        <f t="shared" si="2"/>
        <v>94.8326992280319</v>
      </c>
      <c r="G19" s="446">
        <f>D19-'[12]februāris'!D19</f>
        <v>12924787.590000004</v>
      </c>
      <c r="H19" s="454" t="s">
        <v>846</v>
      </c>
      <c r="I19" s="441">
        <f t="shared" si="0"/>
        <v>171195</v>
      </c>
      <c r="J19" s="446">
        <f t="shared" si="0"/>
        <v>39650</v>
      </c>
      <c r="K19" s="446">
        <f t="shared" si="0"/>
        <v>37601</v>
      </c>
      <c r="L19" s="447">
        <f t="shared" si="3"/>
        <v>21.963642063129722</v>
      </c>
      <c r="M19" s="447">
        <f t="shared" si="3"/>
        <v>94.8326992280319</v>
      </c>
      <c r="N19" s="446">
        <f>ROUND(G19/1000,0)</f>
        <v>12925</v>
      </c>
    </row>
    <row r="20" spans="1:14" ht="24" customHeight="1">
      <c r="A20" s="449" t="s">
        <v>300</v>
      </c>
      <c r="B20" s="455" t="s">
        <v>848</v>
      </c>
      <c r="C20" s="455" t="s">
        <v>848</v>
      </c>
      <c r="D20" s="446">
        <v>9800900.21</v>
      </c>
      <c r="E20" s="456" t="s">
        <v>848</v>
      </c>
      <c r="F20" s="456" t="s">
        <v>848</v>
      </c>
      <c r="G20" s="446">
        <f>D20-'[12]februāris'!D20</f>
        <v>3385682.410000001</v>
      </c>
      <c r="H20" s="449" t="s">
        <v>300</v>
      </c>
      <c r="I20" s="455" t="s">
        <v>848</v>
      </c>
      <c r="J20" s="455" t="s">
        <v>848</v>
      </c>
      <c r="K20" s="446">
        <f t="shared" si="0"/>
        <v>9801</v>
      </c>
      <c r="L20" s="456" t="s">
        <v>848</v>
      </c>
      <c r="M20" s="456" t="s">
        <v>848</v>
      </c>
      <c r="N20" s="450">
        <f>ROUND(G20/1000,0)</f>
        <v>3386</v>
      </c>
    </row>
    <row r="21" spans="1:14" ht="12.75" customHeight="1">
      <c r="A21" s="312" t="s">
        <v>850</v>
      </c>
      <c r="B21" s="455" t="s">
        <v>848</v>
      </c>
      <c r="C21" s="446">
        <v>52472340</v>
      </c>
      <c r="D21" s="446">
        <v>35071584.96</v>
      </c>
      <c r="E21" s="456" t="s">
        <v>848</v>
      </c>
      <c r="F21" s="448">
        <f t="shared" si="2"/>
        <v>66.83823317199119</v>
      </c>
      <c r="G21" s="446">
        <f>D21-'[12]februāris'!D21</f>
        <v>12231897.61</v>
      </c>
      <c r="H21" s="312" t="s">
        <v>850</v>
      </c>
      <c r="I21" s="455" t="s">
        <v>848</v>
      </c>
      <c r="J21" s="446">
        <f>ROUND(C21/1000,0)</f>
        <v>52472</v>
      </c>
      <c r="K21" s="446">
        <f>ROUND(D21/1000,0)-1</f>
        <v>35071</v>
      </c>
      <c r="L21" s="456" t="str">
        <f>E21</f>
        <v>x</v>
      </c>
      <c r="M21" s="448">
        <f>F21</f>
        <v>66.83823317199119</v>
      </c>
      <c r="N21" s="450">
        <f>ROUND(G21/1000,0)-1</f>
        <v>12231</v>
      </c>
    </row>
    <row r="22" spans="1:14" ht="15.75" customHeight="1">
      <c r="A22" s="40" t="s">
        <v>854</v>
      </c>
      <c r="B22" s="441">
        <v>44080640</v>
      </c>
      <c r="C22" s="441">
        <v>8466838</v>
      </c>
      <c r="D22" s="441">
        <f>D23+D24+D25</f>
        <v>8138545.57</v>
      </c>
      <c r="E22" s="457">
        <f>IF(ISERROR(D22/B22)," ",(D22/B22))*100</f>
        <v>18.462857095541263</v>
      </c>
      <c r="F22" s="458">
        <f t="shared" si="2"/>
        <v>96.12260881807353</v>
      </c>
      <c r="G22" s="446">
        <f>D22-'[12]februāris'!D22</f>
        <v>4312117.82</v>
      </c>
      <c r="H22" s="40" t="s">
        <v>854</v>
      </c>
      <c r="I22" s="441">
        <f>ROUND(B22/1000,0)</f>
        <v>44081</v>
      </c>
      <c r="J22" s="444">
        <f>ROUND(C22/1000,0)</f>
        <v>8467</v>
      </c>
      <c r="K22" s="444">
        <f>ROUND(D22/1000,0)</f>
        <v>8139</v>
      </c>
      <c r="L22" s="456">
        <f>E22</f>
        <v>18.462857095541263</v>
      </c>
      <c r="M22" s="448">
        <f>F22</f>
        <v>96.12260881807353</v>
      </c>
      <c r="N22" s="441">
        <f>ROUND(G22/1000,0)</f>
        <v>4312</v>
      </c>
    </row>
    <row r="23" spans="1:14" ht="21.75" customHeight="1">
      <c r="A23" s="449" t="s">
        <v>301</v>
      </c>
      <c r="B23" s="455" t="s">
        <v>848</v>
      </c>
      <c r="C23" s="455" t="s">
        <v>848</v>
      </c>
      <c r="D23" s="446">
        <v>4799187.78</v>
      </c>
      <c r="E23" s="456" t="s">
        <v>848</v>
      </c>
      <c r="F23" s="456" t="s">
        <v>848</v>
      </c>
      <c r="G23" s="446">
        <f>D23-'[12]februāris'!D23</f>
        <v>2924941</v>
      </c>
      <c r="H23" s="449" t="s">
        <v>301</v>
      </c>
      <c r="I23" s="455" t="s">
        <v>848</v>
      </c>
      <c r="J23" s="455" t="s">
        <v>848</v>
      </c>
      <c r="K23" s="446">
        <f aca="true" t="shared" si="4" ref="K23:K30">ROUND(D23/1000,0)</f>
        <v>4799</v>
      </c>
      <c r="L23" s="456" t="s">
        <v>848</v>
      </c>
      <c r="M23" s="456" t="s">
        <v>848</v>
      </c>
      <c r="N23" s="450">
        <f>ROUND(G23/1000,0)</f>
        <v>2925</v>
      </c>
    </row>
    <row r="24" spans="1:14" ht="19.5" customHeight="1">
      <c r="A24" s="449" t="s">
        <v>302</v>
      </c>
      <c r="B24" s="455" t="s">
        <v>848</v>
      </c>
      <c r="C24" s="455" t="s">
        <v>848</v>
      </c>
      <c r="D24" s="446">
        <v>3273548.06</v>
      </c>
      <c r="E24" s="456" t="s">
        <v>848</v>
      </c>
      <c r="F24" s="456" t="s">
        <v>848</v>
      </c>
      <c r="G24" s="446">
        <f>D24-'[12]februāris'!D24</f>
        <v>1382571.27</v>
      </c>
      <c r="H24" s="449" t="s">
        <v>302</v>
      </c>
      <c r="I24" s="455" t="s">
        <v>848</v>
      </c>
      <c r="J24" s="455" t="s">
        <v>848</v>
      </c>
      <c r="K24" s="446">
        <f t="shared" si="4"/>
        <v>3274</v>
      </c>
      <c r="L24" s="456" t="s">
        <v>848</v>
      </c>
      <c r="M24" s="456" t="s">
        <v>848</v>
      </c>
      <c r="N24" s="450">
        <f>ROUND(G24/1000,0)</f>
        <v>1383</v>
      </c>
    </row>
    <row r="25" spans="1:14" ht="24" customHeight="1">
      <c r="A25" s="449" t="s">
        <v>303</v>
      </c>
      <c r="B25" s="455" t="s">
        <v>848</v>
      </c>
      <c r="C25" s="455" t="s">
        <v>848</v>
      </c>
      <c r="D25" s="446">
        <v>65809.73</v>
      </c>
      <c r="E25" s="456" t="s">
        <v>848</v>
      </c>
      <c r="F25" s="456" t="s">
        <v>848</v>
      </c>
      <c r="G25" s="446">
        <f>D25-'[12]februāris'!D25</f>
        <v>4605.549999999996</v>
      </c>
      <c r="H25" s="449" t="s">
        <v>303</v>
      </c>
      <c r="I25" s="455" t="s">
        <v>848</v>
      </c>
      <c r="J25" s="455" t="s">
        <v>848</v>
      </c>
      <c r="K25" s="446">
        <f t="shared" si="4"/>
        <v>66</v>
      </c>
      <c r="L25" s="456" t="s">
        <v>848</v>
      </c>
      <c r="M25" s="456" t="s">
        <v>848</v>
      </c>
      <c r="N25" s="450">
        <f>ROUND(G25/1000,0)-1</f>
        <v>4</v>
      </c>
    </row>
    <row r="26" spans="1:14" ht="12.75">
      <c r="A26" s="459" t="s">
        <v>857</v>
      </c>
      <c r="B26" s="441">
        <v>320862713</v>
      </c>
      <c r="C26" s="441">
        <v>77501120</v>
      </c>
      <c r="D26" s="441">
        <f>D27+D28+D29+D30+D32+D37+D38</f>
        <v>74859149.86</v>
      </c>
      <c r="E26" s="457">
        <f>IF(ISERROR(D26/B26)," ",(D26/B26))*100</f>
        <v>23.330585582875127</v>
      </c>
      <c r="F26" s="458">
        <f>IF(ISERROR(D26/C26)," ",(D26/C26))*100</f>
        <v>96.59105553571354</v>
      </c>
      <c r="G26" s="446">
        <f>D26-'[12]februāris'!D26</f>
        <v>25511263.54</v>
      </c>
      <c r="H26" s="459" t="s">
        <v>857</v>
      </c>
      <c r="I26" s="444">
        <f>ROUND(B26/1000,0)</f>
        <v>320863</v>
      </c>
      <c r="J26" s="441">
        <f>ROUND(C26/1000,0)</f>
        <v>77501</v>
      </c>
      <c r="K26" s="441">
        <f>K27+K28+K29+K30+K32+K37+K38</f>
        <v>74859</v>
      </c>
      <c r="L26" s="457">
        <f>E26</f>
        <v>23.330585582875127</v>
      </c>
      <c r="M26" s="458">
        <f>F26</f>
        <v>96.59105553571354</v>
      </c>
      <c r="N26" s="441">
        <f>N27+N28+N29+N30+N32+N37+N38</f>
        <v>25511</v>
      </c>
    </row>
    <row r="27" spans="1:14" ht="12.75">
      <c r="A27" s="454" t="s">
        <v>858</v>
      </c>
      <c r="B27" s="455" t="s">
        <v>848</v>
      </c>
      <c r="C27" s="455" t="s">
        <v>848</v>
      </c>
      <c r="D27" s="446">
        <v>5976316.27</v>
      </c>
      <c r="E27" s="456" t="s">
        <v>848</v>
      </c>
      <c r="F27" s="456" t="s">
        <v>848</v>
      </c>
      <c r="G27" s="446">
        <f>D27-'[12]februāris'!D27</f>
        <v>2452127.8999999994</v>
      </c>
      <c r="H27" s="454" t="s">
        <v>858</v>
      </c>
      <c r="I27" s="455" t="s">
        <v>848</v>
      </c>
      <c r="J27" s="455" t="s">
        <v>848</v>
      </c>
      <c r="K27" s="450">
        <f>ROUND(D27/1000,0)-1</f>
        <v>5975</v>
      </c>
      <c r="L27" s="456" t="s">
        <v>848</v>
      </c>
      <c r="M27" s="456" t="s">
        <v>848</v>
      </c>
      <c r="N27" s="450">
        <f>ROUND(G27/1000,0)-1</f>
        <v>2451</v>
      </c>
    </row>
    <row r="28" spans="1:14" ht="16.5" customHeight="1">
      <c r="A28" s="449" t="s">
        <v>859</v>
      </c>
      <c r="B28" s="455" t="s">
        <v>848</v>
      </c>
      <c r="C28" s="455" t="s">
        <v>848</v>
      </c>
      <c r="D28" s="446">
        <v>24586760</v>
      </c>
      <c r="E28" s="456" t="s">
        <v>848</v>
      </c>
      <c r="F28" s="456" t="s">
        <v>848</v>
      </c>
      <c r="G28" s="446">
        <f>D28-'[12]februāris'!D28</f>
        <v>8164746</v>
      </c>
      <c r="H28" s="449" t="s">
        <v>859</v>
      </c>
      <c r="I28" s="455" t="s">
        <v>848</v>
      </c>
      <c r="J28" s="455" t="s">
        <v>848</v>
      </c>
      <c r="K28" s="450">
        <f t="shared" si="4"/>
        <v>24587</v>
      </c>
      <c r="L28" s="456" t="s">
        <v>848</v>
      </c>
      <c r="M28" s="456" t="s">
        <v>848</v>
      </c>
      <c r="N28" s="450">
        <f>ROUND(G28/1000,0)</f>
        <v>8165</v>
      </c>
    </row>
    <row r="29" spans="1:14" ht="16.5" customHeight="1">
      <c r="A29" s="449" t="s">
        <v>860</v>
      </c>
      <c r="B29" s="455" t="s">
        <v>848</v>
      </c>
      <c r="C29" s="455" t="s">
        <v>848</v>
      </c>
      <c r="D29" s="446">
        <v>1931289</v>
      </c>
      <c r="E29" s="456" t="s">
        <v>848</v>
      </c>
      <c r="F29" s="456" t="s">
        <v>848</v>
      </c>
      <c r="G29" s="446">
        <f>D29-'[12]februāris'!D29</f>
        <v>643759</v>
      </c>
      <c r="H29" s="449" t="s">
        <v>860</v>
      </c>
      <c r="I29" s="455" t="s">
        <v>848</v>
      </c>
      <c r="J29" s="455" t="s">
        <v>848</v>
      </c>
      <c r="K29" s="450">
        <f t="shared" si="4"/>
        <v>1931</v>
      </c>
      <c r="L29" s="456" t="s">
        <v>848</v>
      </c>
      <c r="M29" s="456" t="s">
        <v>848</v>
      </c>
      <c r="N29" s="450">
        <f>ROUND(G29/1000,0)-1</f>
        <v>643</v>
      </c>
    </row>
    <row r="30" spans="1:14" ht="15.75" customHeight="1">
      <c r="A30" s="449" t="s">
        <v>304</v>
      </c>
      <c r="B30" s="446">
        <v>28083326</v>
      </c>
      <c r="C30" s="446">
        <v>6766617</v>
      </c>
      <c r="D30" s="446">
        <v>6326614.37</v>
      </c>
      <c r="E30" s="456" t="s">
        <v>848</v>
      </c>
      <c r="F30" s="448">
        <f>IF(ISERROR(D30/C30)," ",(D30/C30))*100</f>
        <v>93.49745035074396</v>
      </c>
      <c r="G30" s="446">
        <f>D30-'[12]februāris'!D30</f>
        <v>2685278.87</v>
      </c>
      <c r="H30" s="449" t="s">
        <v>304</v>
      </c>
      <c r="I30" s="446">
        <f>ROUND(B30/1000,0)</f>
        <v>28083</v>
      </c>
      <c r="J30" s="446">
        <f>ROUND(C30/1000,0)</f>
        <v>6767</v>
      </c>
      <c r="K30" s="446">
        <f t="shared" si="4"/>
        <v>6327</v>
      </c>
      <c r="L30" s="457" t="str">
        <f>E30</f>
        <v>x</v>
      </c>
      <c r="M30" s="448">
        <f>F30</f>
        <v>93.49745035074396</v>
      </c>
      <c r="N30" s="450">
        <f>ROUND(G30/1000,0)+1</f>
        <v>2686</v>
      </c>
    </row>
    <row r="31" spans="1:14" ht="15.75" customHeight="1">
      <c r="A31" s="449" t="s">
        <v>305</v>
      </c>
      <c r="B31" s="446"/>
      <c r="C31" s="446"/>
      <c r="D31" s="446"/>
      <c r="E31" s="456"/>
      <c r="F31" s="448"/>
      <c r="G31" s="446">
        <f>D31-'[12]februāris'!D31</f>
        <v>0</v>
      </c>
      <c r="H31" s="449" t="s">
        <v>305</v>
      </c>
      <c r="I31" s="446">
        <f>ROUND(B31/1000,0)</f>
        <v>0</v>
      </c>
      <c r="J31" s="446"/>
      <c r="K31" s="446"/>
      <c r="L31" s="456"/>
      <c r="M31" s="448"/>
      <c r="N31" s="441">
        <f>ROUND(G31/1000,0)</f>
        <v>0</v>
      </c>
    </row>
    <row r="32" spans="1:14" ht="15.75" customHeight="1">
      <c r="A32" s="449" t="s">
        <v>862</v>
      </c>
      <c r="B32" s="446">
        <v>74179712</v>
      </c>
      <c r="C32" s="446">
        <v>19553165</v>
      </c>
      <c r="D32" s="446">
        <f>D33+D34+D35+D36</f>
        <v>19350092.05</v>
      </c>
      <c r="E32" s="456" t="s">
        <v>848</v>
      </c>
      <c r="F32" s="448">
        <f>IF(ISERROR(D32/C32)," ",(D32/C32))*100</f>
        <v>98.96143181934997</v>
      </c>
      <c r="G32" s="446">
        <f>D32-'[12]februāris'!D32</f>
        <v>6208555.48</v>
      </c>
      <c r="H32" s="449" t="s">
        <v>862</v>
      </c>
      <c r="I32" s="446">
        <f>ROUND(B32/1000,0)</f>
        <v>74180</v>
      </c>
      <c r="J32" s="446">
        <f>ROUND(C32/1000,0)</f>
        <v>19553</v>
      </c>
      <c r="K32" s="446">
        <f>ROUND(D32/1000,0)</f>
        <v>19350</v>
      </c>
      <c r="L32" s="457" t="str">
        <f>E32</f>
        <v>x</v>
      </c>
      <c r="M32" s="448">
        <f>F32</f>
        <v>98.96143181934997</v>
      </c>
      <c r="N32" s="450">
        <f>ROUND(G32/1000,0)</f>
        <v>6209</v>
      </c>
    </row>
    <row r="33" spans="1:14" ht="15" customHeight="1">
      <c r="A33" s="460" t="s">
        <v>306</v>
      </c>
      <c r="B33" s="455" t="s">
        <v>848</v>
      </c>
      <c r="C33" s="455" t="s">
        <v>848</v>
      </c>
      <c r="D33" s="446">
        <v>415706.8</v>
      </c>
      <c r="E33" s="456" t="s">
        <v>848</v>
      </c>
      <c r="F33" s="456" t="s">
        <v>848</v>
      </c>
      <c r="G33" s="446">
        <f>D33-'[12]februāris'!D33</f>
        <v>179929.8</v>
      </c>
      <c r="H33" s="460" t="s">
        <v>306</v>
      </c>
      <c r="I33" s="455" t="s">
        <v>848</v>
      </c>
      <c r="J33" s="455" t="s">
        <v>848</v>
      </c>
      <c r="K33" s="446">
        <f>ROUND(D33/1000,0)</f>
        <v>416</v>
      </c>
      <c r="L33" s="456" t="s">
        <v>848</v>
      </c>
      <c r="M33" s="456" t="s">
        <v>848</v>
      </c>
      <c r="N33" s="450">
        <f>ROUND(G33/1000,0)</f>
        <v>180</v>
      </c>
    </row>
    <row r="34" spans="1:14" ht="15" customHeight="1">
      <c r="A34" s="461" t="s">
        <v>307</v>
      </c>
      <c r="B34" s="455" t="s">
        <v>848</v>
      </c>
      <c r="C34" s="455" t="s">
        <v>848</v>
      </c>
      <c r="D34" s="446">
        <v>14233607.31</v>
      </c>
      <c r="E34" s="456" t="s">
        <v>848</v>
      </c>
      <c r="F34" s="456" t="s">
        <v>848</v>
      </c>
      <c r="G34" s="446">
        <f>D34-'[12]februāris'!D34</f>
        <v>4453347.34</v>
      </c>
      <c r="H34" s="461" t="s">
        <v>307</v>
      </c>
      <c r="I34" s="455" t="s">
        <v>848</v>
      </c>
      <c r="J34" s="455" t="s">
        <v>848</v>
      </c>
      <c r="K34" s="446">
        <f>ROUND(D34/1000,0)</f>
        <v>14234</v>
      </c>
      <c r="L34" s="456" t="s">
        <v>848</v>
      </c>
      <c r="M34" s="456" t="s">
        <v>848</v>
      </c>
      <c r="N34" s="450">
        <f>ROUND(G34/1000,0)+1</f>
        <v>4454</v>
      </c>
    </row>
    <row r="35" spans="1:14" ht="15" customHeight="1">
      <c r="A35" s="461" t="s">
        <v>308</v>
      </c>
      <c r="B35" s="455" t="s">
        <v>848</v>
      </c>
      <c r="C35" s="455" t="s">
        <v>848</v>
      </c>
      <c r="D35" s="446">
        <v>1811726.1</v>
      </c>
      <c r="E35" s="456" t="s">
        <v>848</v>
      </c>
      <c r="F35" s="456" t="s">
        <v>848</v>
      </c>
      <c r="G35" s="446">
        <f>D35-'[12]februāris'!D35</f>
        <v>628897.28</v>
      </c>
      <c r="H35" s="461" t="s">
        <v>308</v>
      </c>
      <c r="I35" s="455" t="s">
        <v>848</v>
      </c>
      <c r="J35" s="455" t="s">
        <v>848</v>
      </c>
      <c r="K35" s="446">
        <f>ROUND(D35/1000,0)</f>
        <v>1812</v>
      </c>
      <c r="L35" s="456" t="s">
        <v>848</v>
      </c>
      <c r="M35" s="456" t="s">
        <v>848</v>
      </c>
      <c r="N35" s="450">
        <f aca="true" t="shared" si="5" ref="N35:N40">ROUND(G35/1000,0)</f>
        <v>629</v>
      </c>
    </row>
    <row r="36" spans="1:14" ht="15" customHeight="1">
      <c r="A36" s="461" t="s">
        <v>309</v>
      </c>
      <c r="B36" s="455" t="s">
        <v>848</v>
      </c>
      <c r="C36" s="455" t="s">
        <v>848</v>
      </c>
      <c r="D36" s="446">
        <v>2889051.84</v>
      </c>
      <c r="E36" s="456" t="s">
        <v>848</v>
      </c>
      <c r="F36" s="456" t="s">
        <v>848</v>
      </c>
      <c r="G36" s="446">
        <f>D36-'[12]februāris'!D36</f>
        <v>946380.4799999997</v>
      </c>
      <c r="H36" s="461" t="s">
        <v>309</v>
      </c>
      <c r="I36" s="455" t="s">
        <v>848</v>
      </c>
      <c r="J36" s="455" t="s">
        <v>848</v>
      </c>
      <c r="K36" s="446">
        <f>ROUND(D36/1000,0)</f>
        <v>2889</v>
      </c>
      <c r="L36" s="456" t="s">
        <v>848</v>
      </c>
      <c r="M36" s="456" t="s">
        <v>848</v>
      </c>
      <c r="N36" s="450">
        <f t="shared" si="5"/>
        <v>946</v>
      </c>
    </row>
    <row r="37" spans="1:14" ht="18.75" customHeight="1">
      <c r="A37" s="449" t="s">
        <v>310</v>
      </c>
      <c r="B37" s="446">
        <v>6586805</v>
      </c>
      <c r="C37" s="446">
        <v>3859099</v>
      </c>
      <c r="D37" s="446">
        <v>2512651.17</v>
      </c>
      <c r="E37" s="447">
        <f>IF(ISERROR(D37/B37)," ",(D37/B37))*100</f>
        <v>38.14673684737897</v>
      </c>
      <c r="F37" s="448">
        <f>IF(ISERROR(D37/C37)," ",(D37/C37))*100</f>
        <v>65.1097878028006</v>
      </c>
      <c r="G37" s="446">
        <f>D37-'[12]februāris'!D37</f>
        <v>846520.29</v>
      </c>
      <c r="H37" s="449" t="s">
        <v>310</v>
      </c>
      <c r="I37" s="446">
        <f>ROUND(B37/1000,0)</f>
        <v>6587</v>
      </c>
      <c r="J37" s="446">
        <f>ROUND(C37/1000,0)</f>
        <v>3859</v>
      </c>
      <c r="K37" s="446">
        <f>ROUND(D37/1000,0)</f>
        <v>2513</v>
      </c>
      <c r="L37" s="447">
        <f>E37</f>
        <v>38.14673684737897</v>
      </c>
      <c r="M37" s="448">
        <f>F37</f>
        <v>65.1097878028006</v>
      </c>
      <c r="N37" s="450">
        <f t="shared" si="5"/>
        <v>847</v>
      </c>
    </row>
    <row r="38" spans="1:14" ht="15" customHeight="1">
      <c r="A38" s="462" t="s">
        <v>311</v>
      </c>
      <c r="B38" s="455" t="s">
        <v>848</v>
      </c>
      <c r="C38" s="446">
        <v>47322239</v>
      </c>
      <c r="D38" s="446">
        <v>14175427</v>
      </c>
      <c r="E38" s="456" t="s">
        <v>848</v>
      </c>
      <c r="F38" s="448">
        <f>IF(ISERROR(D38/C38)," ",(D38/C38))*100</f>
        <v>29.955106308473695</v>
      </c>
      <c r="G38" s="446">
        <f>D38-'[12]februāris'!D38</f>
        <v>4510276</v>
      </c>
      <c r="H38" s="462" t="s">
        <v>311</v>
      </c>
      <c r="I38" s="455" t="s">
        <v>848</v>
      </c>
      <c r="J38" s="446">
        <f>ROUND(C38/1000,0)</f>
        <v>47322</v>
      </c>
      <c r="K38" s="446">
        <f>ROUND(D38/1000,0)+1</f>
        <v>14176</v>
      </c>
      <c r="L38" s="456" t="s">
        <v>848</v>
      </c>
      <c r="M38" s="448">
        <f>F38</f>
        <v>29.955106308473695</v>
      </c>
      <c r="N38" s="450">
        <f t="shared" si="5"/>
        <v>4510</v>
      </c>
    </row>
    <row r="39" spans="1:14" ht="15" customHeight="1">
      <c r="A39" s="461" t="s">
        <v>312</v>
      </c>
      <c r="B39" s="455" t="s">
        <v>848</v>
      </c>
      <c r="C39" s="455" t="s">
        <v>848</v>
      </c>
      <c r="D39" s="446">
        <v>14175427</v>
      </c>
      <c r="E39" s="456" t="s">
        <v>848</v>
      </c>
      <c r="F39" s="456" t="s">
        <v>848</v>
      </c>
      <c r="G39" s="446">
        <f>D39-'[12]februāris'!D39</f>
        <v>4510276</v>
      </c>
      <c r="H39" s="461" t="s">
        <v>312</v>
      </c>
      <c r="I39" s="455" t="s">
        <v>848</v>
      </c>
      <c r="J39" s="455" t="s">
        <v>848</v>
      </c>
      <c r="K39" s="446">
        <f>ROUND(D39/1000,0)+1</f>
        <v>14176</v>
      </c>
      <c r="L39" s="456" t="s">
        <v>848</v>
      </c>
      <c r="M39" s="456" t="s">
        <v>848</v>
      </c>
      <c r="N39" s="450">
        <f t="shared" si="5"/>
        <v>4510</v>
      </c>
    </row>
    <row r="40" spans="1:14" ht="15" customHeight="1">
      <c r="A40" s="462" t="s">
        <v>313</v>
      </c>
      <c r="B40" s="455" t="s">
        <v>848</v>
      </c>
      <c r="C40" s="455" t="s">
        <v>848</v>
      </c>
      <c r="D40" s="455"/>
      <c r="E40" s="456" t="s">
        <v>848</v>
      </c>
      <c r="F40" s="456" t="s">
        <v>848</v>
      </c>
      <c r="G40" s="446">
        <f>D40-'[12]februāris'!D40</f>
        <v>0</v>
      </c>
      <c r="H40" s="462" t="s">
        <v>313</v>
      </c>
      <c r="I40" s="455" t="s">
        <v>848</v>
      </c>
      <c r="J40" s="455" t="s">
        <v>848</v>
      </c>
      <c r="K40" s="455"/>
      <c r="L40" s="456" t="s">
        <v>848</v>
      </c>
      <c r="M40" s="456" t="s">
        <v>848</v>
      </c>
      <c r="N40" s="441">
        <f t="shared" si="5"/>
        <v>0</v>
      </c>
    </row>
    <row r="41" spans="1:14" ht="15" customHeight="1">
      <c r="A41" s="463" t="s">
        <v>314</v>
      </c>
      <c r="B41" s="441">
        <v>79220109</v>
      </c>
      <c r="C41" s="441">
        <v>14448582</v>
      </c>
      <c r="D41" s="441">
        <f>D42+D43</f>
        <v>8814400.44</v>
      </c>
      <c r="E41" s="457">
        <f>IF(ISERROR(D41/B41)," ",(D41/B41))*100</f>
        <v>11.126468457648802</v>
      </c>
      <c r="F41" s="464">
        <f>IF(ISERROR(D41/C41)," ",(D41/C41))*100</f>
        <v>61.00529754407733</v>
      </c>
      <c r="G41" s="446">
        <f>D41-'[12]februāris'!D41</f>
        <v>3892597.6499999994</v>
      </c>
      <c r="H41" s="463" t="s">
        <v>314</v>
      </c>
      <c r="I41" s="441">
        <f>ROUND(B41/1000,0)</f>
        <v>79220</v>
      </c>
      <c r="J41" s="441">
        <f>ROUND(C41/1000,0)-1</f>
        <v>14448</v>
      </c>
      <c r="K41" s="441">
        <f>ROUND(D41/1000,0)</f>
        <v>8814</v>
      </c>
      <c r="L41" s="458">
        <f aca="true" t="shared" si="6" ref="L41:M43">E41</f>
        <v>11.126468457648802</v>
      </c>
      <c r="M41" s="458">
        <f t="shared" si="6"/>
        <v>61.00529754407733</v>
      </c>
      <c r="N41" s="441">
        <f>N42+N43</f>
        <v>3893</v>
      </c>
    </row>
    <row r="42" spans="1:14" ht="15" customHeight="1">
      <c r="A42" s="465" t="s">
        <v>315</v>
      </c>
      <c r="B42" s="446">
        <v>24674763</v>
      </c>
      <c r="C42" s="446">
        <v>5457591</v>
      </c>
      <c r="D42" s="446">
        <v>2960052.03</v>
      </c>
      <c r="E42" s="447">
        <f>IF(ISERROR(D42/B42)," ",(D42/B42))*100</f>
        <v>11.99627339885696</v>
      </c>
      <c r="F42" s="456">
        <f>IF(ISERROR(D42/C42)," ",(D42/C42))*100</f>
        <v>54.23733713281189</v>
      </c>
      <c r="G42" s="446">
        <f>D42-'[12]februāris'!D42</f>
        <v>1217948.8299999998</v>
      </c>
      <c r="H42" s="465" t="s">
        <v>315</v>
      </c>
      <c r="I42" s="446">
        <f>ROUND(B42/1000,0)</f>
        <v>24675</v>
      </c>
      <c r="J42" s="450">
        <f>ROUND(C42/1000,0)-1</f>
        <v>5457</v>
      </c>
      <c r="K42" s="450">
        <f aca="true" t="shared" si="7" ref="K42:K54">ROUND(D42/1000,0)</f>
        <v>2960</v>
      </c>
      <c r="L42" s="458">
        <f t="shared" si="6"/>
        <v>11.99627339885696</v>
      </c>
      <c r="M42" s="458">
        <f t="shared" si="6"/>
        <v>54.23733713281189</v>
      </c>
      <c r="N42" s="450">
        <f>ROUND(G42/1000,0)</f>
        <v>1218</v>
      </c>
    </row>
    <row r="43" spans="1:14" ht="15" customHeight="1">
      <c r="A43" s="449" t="s">
        <v>316</v>
      </c>
      <c r="B43" s="446">
        <v>54545346</v>
      </c>
      <c r="C43" s="446">
        <v>8990991</v>
      </c>
      <c r="D43" s="446">
        <v>5854348.41</v>
      </c>
      <c r="E43" s="447">
        <f>IF(ISERROR(D43/B43)," ",(D43/B43))*100</f>
        <v>10.732993443656953</v>
      </c>
      <c r="F43" s="456">
        <f>IF(ISERROR(D43/C43)," ",(D43/C43))*100</f>
        <v>65.11349427443538</v>
      </c>
      <c r="G43" s="446">
        <f>D43-'[12]februāris'!D43</f>
        <v>2674648.8200000003</v>
      </c>
      <c r="H43" s="449" t="s">
        <v>316</v>
      </c>
      <c r="I43" s="446">
        <f>ROUND(B43/1000,0)</f>
        <v>54545</v>
      </c>
      <c r="J43" s="450">
        <f>ROUND(C43/1000,0)</f>
        <v>8991</v>
      </c>
      <c r="K43" s="450">
        <f t="shared" si="7"/>
        <v>5854</v>
      </c>
      <c r="L43" s="458">
        <f t="shared" si="6"/>
        <v>10.732993443656953</v>
      </c>
      <c r="M43" s="458">
        <f t="shared" si="6"/>
        <v>65.11349427443538</v>
      </c>
      <c r="N43" s="450">
        <f>ROUND(G43/1000,0)</f>
        <v>2675</v>
      </c>
    </row>
    <row r="44" spans="1:14" ht="15" customHeight="1">
      <c r="A44" s="466" t="s">
        <v>317</v>
      </c>
      <c r="B44" s="455" t="s">
        <v>848</v>
      </c>
      <c r="C44" s="455" t="s">
        <v>848</v>
      </c>
      <c r="D44" s="446">
        <v>248280</v>
      </c>
      <c r="E44" s="456" t="s">
        <v>848</v>
      </c>
      <c r="F44" s="456" t="s">
        <v>848</v>
      </c>
      <c r="G44" s="446">
        <f>D44-'[12]februāris'!D44</f>
        <v>76280</v>
      </c>
      <c r="H44" s="466" t="s">
        <v>317</v>
      </c>
      <c r="I44" s="455" t="s">
        <v>848</v>
      </c>
      <c r="J44" s="455" t="s">
        <v>848</v>
      </c>
      <c r="K44" s="450">
        <f>ROUND(D44/1000,0)-1</f>
        <v>247</v>
      </c>
      <c r="L44" s="456" t="s">
        <v>848</v>
      </c>
      <c r="M44" s="456" t="s">
        <v>848</v>
      </c>
      <c r="N44" s="450">
        <f>ROUND(G44/1000,0)-1</f>
        <v>75</v>
      </c>
    </row>
    <row r="45" spans="1:14" ht="15" customHeight="1">
      <c r="A45" s="466" t="s">
        <v>318</v>
      </c>
      <c r="B45" s="455" t="s">
        <v>848</v>
      </c>
      <c r="C45" s="455" t="s">
        <v>848</v>
      </c>
      <c r="D45" s="446">
        <v>889995.05</v>
      </c>
      <c r="E45" s="456" t="s">
        <v>848</v>
      </c>
      <c r="F45" s="456" t="s">
        <v>848</v>
      </c>
      <c r="G45" s="446">
        <f>D45-'[12]februāris'!D45</f>
        <v>397362.05000000005</v>
      </c>
      <c r="H45" s="466" t="s">
        <v>318</v>
      </c>
      <c r="I45" s="455" t="s">
        <v>848</v>
      </c>
      <c r="J45" s="455" t="s">
        <v>848</v>
      </c>
      <c r="K45" s="450">
        <f t="shared" si="7"/>
        <v>890</v>
      </c>
      <c r="L45" s="456" t="s">
        <v>848</v>
      </c>
      <c r="M45" s="456" t="s">
        <v>848</v>
      </c>
      <c r="N45" s="450">
        <f aca="true" t="shared" si="8" ref="N45:N50">ROUND(G45/1000,0)</f>
        <v>397</v>
      </c>
    </row>
    <row r="46" spans="1:14" ht="15" customHeight="1">
      <c r="A46" s="440" t="s">
        <v>319</v>
      </c>
      <c r="B46" s="441">
        <v>48898920</v>
      </c>
      <c r="C46" s="441"/>
      <c r="D46" s="441">
        <v>12632419</v>
      </c>
      <c r="E46" s="447">
        <f>IF(ISERROR(D46/B46)," ",(D46/B46))*100</f>
        <v>25.83373825025174</v>
      </c>
      <c r="F46" s="456"/>
      <c r="G46" s="446">
        <f>D46-'[12]februāris'!D46</f>
        <v>-958051</v>
      </c>
      <c r="H46" s="440" t="s">
        <v>319</v>
      </c>
      <c r="I46" s="441">
        <f>ROUND(B46/1000,0)</f>
        <v>48899</v>
      </c>
      <c r="J46" s="441"/>
      <c r="K46" s="441">
        <f t="shared" si="7"/>
        <v>12632</v>
      </c>
      <c r="L46" s="447">
        <f>E46</f>
        <v>25.83373825025174</v>
      </c>
      <c r="M46" s="456">
        <f>F46</f>
        <v>0</v>
      </c>
      <c r="N46" s="441">
        <f t="shared" si="8"/>
        <v>-958</v>
      </c>
    </row>
    <row r="47" spans="1:14" ht="12.75">
      <c r="A47" s="454" t="s">
        <v>320</v>
      </c>
      <c r="B47" s="455" t="s">
        <v>848</v>
      </c>
      <c r="C47" s="455" t="s">
        <v>848</v>
      </c>
      <c r="D47" s="446">
        <v>19444317</v>
      </c>
      <c r="E47" s="456" t="s">
        <v>848</v>
      </c>
      <c r="F47" s="456" t="s">
        <v>848</v>
      </c>
      <c r="G47" s="446">
        <f>D47-'[12]februāris'!D47</f>
        <v>985079</v>
      </c>
      <c r="H47" s="454" t="s">
        <v>320</v>
      </c>
      <c r="I47" s="455" t="s">
        <v>848</v>
      </c>
      <c r="J47" s="455" t="s">
        <v>848</v>
      </c>
      <c r="K47" s="441">
        <f t="shared" si="7"/>
        <v>19444</v>
      </c>
      <c r="L47" s="456" t="s">
        <v>848</v>
      </c>
      <c r="M47" s="456" t="s">
        <v>848</v>
      </c>
      <c r="N47" s="450">
        <f t="shared" si="8"/>
        <v>985</v>
      </c>
    </row>
    <row r="48" spans="1:14" ht="12.75">
      <c r="A48" s="467" t="s">
        <v>321</v>
      </c>
      <c r="B48" s="455" t="s">
        <v>848</v>
      </c>
      <c r="C48" s="455" t="s">
        <v>848</v>
      </c>
      <c r="D48" s="446">
        <v>14653149</v>
      </c>
      <c r="E48" s="456" t="s">
        <v>848</v>
      </c>
      <c r="F48" s="456" t="s">
        <v>848</v>
      </c>
      <c r="G48" s="446">
        <f>D48-'[12]februāris'!D48</f>
        <v>-652205</v>
      </c>
      <c r="H48" s="467" t="s">
        <v>321</v>
      </c>
      <c r="I48" s="455" t="s">
        <v>848</v>
      </c>
      <c r="J48" s="455" t="s">
        <v>848</v>
      </c>
      <c r="K48" s="450">
        <f t="shared" si="7"/>
        <v>14653</v>
      </c>
      <c r="L48" s="456" t="s">
        <v>848</v>
      </c>
      <c r="M48" s="456" t="s">
        <v>848</v>
      </c>
      <c r="N48" s="450">
        <f t="shared" si="8"/>
        <v>-652</v>
      </c>
    </row>
    <row r="49" spans="1:14" ht="15" customHeight="1">
      <c r="A49" s="462" t="s">
        <v>322</v>
      </c>
      <c r="B49" s="455" t="s">
        <v>848</v>
      </c>
      <c r="C49" s="455" t="s">
        <v>848</v>
      </c>
      <c r="D49" s="446">
        <v>6811898</v>
      </c>
      <c r="E49" s="456" t="s">
        <v>848</v>
      </c>
      <c r="F49" s="456" t="s">
        <v>848</v>
      </c>
      <c r="G49" s="446">
        <f>D49-'[12]februāris'!D49</f>
        <v>1943130</v>
      </c>
      <c r="H49" s="462" t="s">
        <v>322</v>
      </c>
      <c r="I49" s="455" t="s">
        <v>848</v>
      </c>
      <c r="J49" s="455" t="s">
        <v>848</v>
      </c>
      <c r="K49" s="441">
        <f t="shared" si="7"/>
        <v>6812</v>
      </c>
      <c r="L49" s="456" t="s">
        <v>848</v>
      </c>
      <c r="M49" s="456" t="s">
        <v>848</v>
      </c>
      <c r="N49" s="441">
        <f t="shared" si="8"/>
        <v>1943</v>
      </c>
    </row>
    <row r="50" spans="1:14" ht="15" customHeight="1">
      <c r="A50" s="467" t="s">
        <v>323</v>
      </c>
      <c r="B50" s="455" t="s">
        <v>848</v>
      </c>
      <c r="C50" s="455" t="s">
        <v>848</v>
      </c>
      <c r="D50" s="446">
        <v>801058</v>
      </c>
      <c r="E50" s="456" t="s">
        <v>848</v>
      </c>
      <c r="F50" s="456" t="s">
        <v>848</v>
      </c>
      <c r="G50" s="446">
        <f>D50-'[12]februāris'!D50</f>
        <v>92139</v>
      </c>
      <c r="H50" s="467" t="s">
        <v>323</v>
      </c>
      <c r="I50" s="455" t="s">
        <v>848</v>
      </c>
      <c r="J50" s="455" t="s">
        <v>848</v>
      </c>
      <c r="K50" s="450">
        <f t="shared" si="7"/>
        <v>801</v>
      </c>
      <c r="L50" s="456" t="s">
        <v>848</v>
      </c>
      <c r="M50" s="456" t="s">
        <v>848</v>
      </c>
      <c r="N50" s="450">
        <f t="shared" si="8"/>
        <v>92</v>
      </c>
    </row>
    <row r="51" spans="1:14" ht="12.75">
      <c r="A51" s="454" t="s">
        <v>324</v>
      </c>
      <c r="B51" s="446">
        <v>-76079377</v>
      </c>
      <c r="C51" s="455" t="s">
        <v>848</v>
      </c>
      <c r="D51" s="446">
        <v>-18585174</v>
      </c>
      <c r="E51" s="456" t="s">
        <v>848</v>
      </c>
      <c r="F51" s="456" t="s">
        <v>848</v>
      </c>
      <c r="G51" s="446">
        <f>D51-'[12]februāris'!D51</f>
        <v>-7053819</v>
      </c>
      <c r="H51" s="454" t="s">
        <v>324</v>
      </c>
      <c r="I51" s="444">
        <f>ROUND(B51/1000,0)</f>
        <v>-76079</v>
      </c>
      <c r="J51" s="455" t="s">
        <v>848</v>
      </c>
      <c r="K51" s="450">
        <f>ROUND(D51/1000,0)+1</f>
        <v>-18584</v>
      </c>
      <c r="L51" s="456" t="s">
        <v>848</v>
      </c>
      <c r="M51" s="456" t="s">
        <v>848</v>
      </c>
      <c r="N51" s="441">
        <f>ROUND(G51/1000,0)+1</f>
        <v>-7053</v>
      </c>
    </row>
    <row r="52" spans="1:14" ht="12.75">
      <c r="A52" s="468" t="s">
        <v>867</v>
      </c>
      <c r="B52" s="446">
        <f>SUM(B53:B55)</f>
        <v>76079377</v>
      </c>
      <c r="C52" s="455" t="s">
        <v>848</v>
      </c>
      <c r="D52" s="446">
        <v>18585174</v>
      </c>
      <c r="E52" s="456" t="s">
        <v>848</v>
      </c>
      <c r="F52" s="456" t="s">
        <v>848</v>
      </c>
      <c r="G52" s="446">
        <f>D52-'[12]februāris'!D52</f>
        <v>7053819</v>
      </c>
      <c r="H52" s="468" t="s">
        <v>867</v>
      </c>
      <c r="I52" s="444">
        <f>ROUND(B52/1000,0)</f>
        <v>76079</v>
      </c>
      <c r="J52" s="455" t="s">
        <v>848</v>
      </c>
      <c r="K52" s="441">
        <f>ROUND(D52/1000,0)-1</f>
        <v>18584</v>
      </c>
      <c r="L52" s="456" t="s">
        <v>848</v>
      </c>
      <c r="M52" s="456" t="s">
        <v>848</v>
      </c>
      <c r="N52" s="441">
        <f>ROUND(G52/1000,0)-1</f>
        <v>7053</v>
      </c>
    </row>
    <row r="53" spans="1:14" ht="27" customHeight="1">
      <c r="A53" s="469" t="s">
        <v>325</v>
      </c>
      <c r="B53" s="446">
        <v>15000000</v>
      </c>
      <c r="C53" s="455" t="s">
        <v>848</v>
      </c>
      <c r="D53" s="446">
        <v>3268000</v>
      </c>
      <c r="E53" s="456" t="s">
        <v>848</v>
      </c>
      <c r="F53" s="456" t="s">
        <v>848</v>
      </c>
      <c r="G53" s="446">
        <f>D53-'[12]februāris'!D53</f>
        <v>3268000</v>
      </c>
      <c r="H53" s="469" t="s">
        <v>325</v>
      </c>
      <c r="I53" s="446">
        <f>ROUND(B53/1000,0)</f>
        <v>15000</v>
      </c>
      <c r="J53" s="455" t="s">
        <v>848</v>
      </c>
      <c r="K53" s="441">
        <f t="shared" si="7"/>
        <v>3268</v>
      </c>
      <c r="L53" s="456" t="s">
        <v>848</v>
      </c>
      <c r="M53" s="456" t="s">
        <v>848</v>
      </c>
      <c r="N53" s="441">
        <f>ROUND(G53/1000,0)</f>
        <v>3268</v>
      </c>
    </row>
    <row r="54" spans="1:14" ht="24" customHeight="1">
      <c r="A54" s="469" t="s">
        <v>326</v>
      </c>
      <c r="B54" s="446">
        <v>300000</v>
      </c>
      <c r="C54" s="455" t="s">
        <v>848</v>
      </c>
      <c r="D54" s="446">
        <v>295148.92</v>
      </c>
      <c r="E54" s="456" t="s">
        <v>848</v>
      </c>
      <c r="F54" s="456" t="s">
        <v>848</v>
      </c>
      <c r="G54" s="446">
        <f>D54-'[12]februāris'!D54</f>
        <v>35114.72999999998</v>
      </c>
      <c r="H54" s="469" t="s">
        <v>326</v>
      </c>
      <c r="I54" s="446">
        <f>ROUND(B54/1000,0)</f>
        <v>300</v>
      </c>
      <c r="J54" s="455" t="s">
        <v>848</v>
      </c>
      <c r="K54" s="450">
        <f t="shared" si="7"/>
        <v>295</v>
      </c>
      <c r="L54" s="456" t="s">
        <v>848</v>
      </c>
      <c r="M54" s="456" t="s">
        <v>848</v>
      </c>
      <c r="N54" s="450">
        <f>ROUND(G54/1000,0)</f>
        <v>35</v>
      </c>
    </row>
    <row r="55" spans="1:14" ht="15" customHeight="1">
      <c r="A55" s="470" t="s">
        <v>327</v>
      </c>
      <c r="B55" s="446">
        <v>60779377</v>
      </c>
      <c r="C55" s="455" t="s">
        <v>848</v>
      </c>
      <c r="D55" s="446">
        <v>15022025</v>
      </c>
      <c r="E55" s="456" t="s">
        <v>848</v>
      </c>
      <c r="F55" s="456" t="s">
        <v>848</v>
      </c>
      <c r="G55" s="446">
        <f>D55-'[12]februāris'!D55</f>
        <v>3750704</v>
      </c>
      <c r="H55" s="470" t="s">
        <v>327</v>
      </c>
      <c r="I55" s="446">
        <f>ROUND(B55/1000,0)</f>
        <v>60779</v>
      </c>
      <c r="J55" s="455" t="s">
        <v>848</v>
      </c>
      <c r="K55" s="450">
        <f>ROUND(D55/1000,0)-1</f>
        <v>15021</v>
      </c>
      <c r="L55" s="456" t="s">
        <v>848</v>
      </c>
      <c r="M55" s="456" t="s">
        <v>848</v>
      </c>
      <c r="N55" s="450">
        <f>ROUND(G55/1000,0)-1</f>
        <v>3750</v>
      </c>
    </row>
    <row r="56" spans="5:6" ht="12.75">
      <c r="E56" s="471"/>
      <c r="F56" s="249"/>
    </row>
    <row r="58" spans="1:13" s="5" customFormat="1" ht="12.75">
      <c r="A58" s="80" t="s">
        <v>328</v>
      </c>
      <c r="B58" s="9"/>
      <c r="C58" s="9"/>
      <c r="F58" s="9" t="s">
        <v>830</v>
      </c>
      <c r="H58" s="80" t="s">
        <v>328</v>
      </c>
      <c r="I58" s="9"/>
      <c r="J58" s="9"/>
      <c r="M58" s="9" t="s">
        <v>830</v>
      </c>
    </row>
    <row r="60" ht="12.75">
      <c r="H60" s="4"/>
    </row>
    <row r="61" ht="12.75">
      <c r="H61" s="4"/>
    </row>
    <row r="62" ht="12.75">
      <c r="H62" s="4"/>
    </row>
    <row r="64" ht="12.75">
      <c r="H64" s="4" t="s">
        <v>279</v>
      </c>
    </row>
    <row r="65" ht="12.75">
      <c r="H65" s="4" t="s">
        <v>832</v>
      </c>
    </row>
    <row r="66" spans="2:5" ht="12.75">
      <c r="B66" s="9"/>
      <c r="C66" s="9"/>
      <c r="D66" s="5"/>
      <c r="E66" s="9"/>
    </row>
    <row r="67" spans="6:8" ht="12.75">
      <c r="F67" s="4"/>
      <c r="H67" s="4"/>
    </row>
    <row r="68" spans="6:8" ht="12.75">
      <c r="F68" s="4"/>
      <c r="H68" s="4"/>
    </row>
    <row r="71" ht="12.75">
      <c r="H71" s="4"/>
    </row>
    <row r="72" ht="12.75">
      <c r="H72" s="4"/>
    </row>
    <row r="75" ht="12.75">
      <c r="A75" s="4" t="s">
        <v>831</v>
      </c>
    </row>
    <row r="76" ht="12.75">
      <c r="A76" s="326" t="s">
        <v>329</v>
      </c>
    </row>
  </sheetData>
  <mergeCells count="6">
    <mergeCell ref="F7:G7"/>
    <mergeCell ref="M7:N7"/>
    <mergeCell ref="A4:G4"/>
    <mergeCell ref="H4:N4"/>
    <mergeCell ref="A5:F5"/>
    <mergeCell ref="H5:M5"/>
  </mergeCells>
  <printOptions/>
  <pageMargins left="0.75" right="0.19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H1">
      <selection activeCell="A7" sqref="A7"/>
    </sheetView>
  </sheetViews>
  <sheetFormatPr defaultColWidth="9.140625" defaultRowHeight="17.25" customHeight="1"/>
  <cols>
    <col min="1" max="1" width="45.00390625" style="5" hidden="1" customWidth="1"/>
    <col min="2" max="2" width="9.28125" style="5" hidden="1" customWidth="1"/>
    <col min="3" max="3" width="13.140625" style="5" hidden="1" customWidth="1"/>
    <col min="4" max="4" width="12.140625" style="5" hidden="1" customWidth="1"/>
    <col min="5" max="5" width="10.28125" style="5" hidden="1" customWidth="1"/>
    <col min="6" max="6" width="12.140625" style="5" hidden="1" customWidth="1"/>
    <col min="7" max="7" width="7.8515625" style="5" hidden="1" customWidth="1"/>
    <col min="8" max="8" width="47.7109375" style="5" customWidth="1"/>
    <col min="9" max="9" width="9.8515625" style="5" customWidth="1"/>
    <col min="10" max="10" width="11.8515625" style="5" customWidth="1"/>
    <col min="11" max="11" width="8.57421875" style="5" customWidth="1"/>
    <col min="12" max="12" width="7.140625" style="5" customWidth="1"/>
    <col min="13" max="13" width="7.7109375" style="5" customWidth="1"/>
    <col min="14" max="16384" width="7.8515625" style="5" customWidth="1"/>
  </cols>
  <sheetData>
    <row r="1" spans="5:13" ht="17.25" customHeight="1">
      <c r="E1" s="326" t="s">
        <v>330</v>
      </c>
      <c r="H1" s="472"/>
      <c r="I1" s="472"/>
      <c r="J1" s="472"/>
      <c r="K1" s="472"/>
      <c r="L1" s="473" t="s">
        <v>330</v>
      </c>
      <c r="M1" s="472"/>
    </row>
    <row r="2" spans="1:13" ht="17.25" customHeight="1">
      <c r="A2" s="773" t="s">
        <v>791</v>
      </c>
      <c r="B2" s="773"/>
      <c r="C2" s="773"/>
      <c r="D2" s="773"/>
      <c r="E2" s="773"/>
      <c r="H2" s="772" t="s">
        <v>791</v>
      </c>
      <c r="I2" s="772"/>
      <c r="J2" s="772"/>
      <c r="K2" s="772"/>
      <c r="L2" s="772"/>
      <c r="M2" s="472"/>
    </row>
    <row r="3" spans="8:13" ht="17.25" customHeight="1">
      <c r="H3" s="472"/>
      <c r="I3" s="472"/>
      <c r="J3" s="472"/>
      <c r="K3" s="472"/>
      <c r="L3" s="472"/>
      <c r="M3" s="472"/>
    </row>
    <row r="4" spans="1:13" ht="17.25" customHeight="1">
      <c r="A4" s="761" t="s">
        <v>331</v>
      </c>
      <c r="B4" s="761"/>
      <c r="C4" s="761"/>
      <c r="D4" s="761"/>
      <c r="E4" s="761"/>
      <c r="H4" s="774" t="s">
        <v>331</v>
      </c>
      <c r="I4" s="774"/>
      <c r="J4" s="774"/>
      <c r="K4" s="774"/>
      <c r="L4" s="774"/>
      <c r="M4" s="472"/>
    </row>
    <row r="5" spans="1:13" ht="17.25" customHeight="1">
      <c r="A5" s="761" t="s">
        <v>332</v>
      </c>
      <c r="B5" s="761"/>
      <c r="C5" s="761"/>
      <c r="D5" s="761"/>
      <c r="E5" s="761"/>
      <c r="H5" s="772" t="s">
        <v>333</v>
      </c>
      <c r="I5" s="772"/>
      <c r="J5" s="772"/>
      <c r="K5" s="772"/>
      <c r="L5" s="772"/>
      <c r="M5" s="472"/>
    </row>
    <row r="6" spans="8:13" ht="17.25" customHeight="1">
      <c r="H6" s="472"/>
      <c r="I6" s="472"/>
      <c r="J6" s="472"/>
      <c r="K6" s="472"/>
      <c r="L6" s="472"/>
      <c r="M6" s="472"/>
    </row>
    <row r="7" spans="6:13" ht="17.25" customHeight="1">
      <c r="F7" s="80" t="s">
        <v>747</v>
      </c>
      <c r="H7" s="472"/>
      <c r="I7" s="472"/>
      <c r="J7" s="472"/>
      <c r="K7" s="472"/>
      <c r="L7" s="473" t="s">
        <v>747</v>
      </c>
      <c r="M7" s="472"/>
    </row>
    <row r="8" spans="1:13" s="4" customFormat="1" ht="63.75">
      <c r="A8" s="267" t="s">
        <v>748</v>
      </c>
      <c r="B8" s="11" t="s">
        <v>903</v>
      </c>
      <c r="C8" s="11" t="s">
        <v>749</v>
      </c>
      <c r="D8" s="11" t="s">
        <v>751</v>
      </c>
      <c r="E8" s="11" t="s">
        <v>904</v>
      </c>
      <c r="F8" s="11" t="s">
        <v>40</v>
      </c>
      <c r="H8" s="475" t="s">
        <v>748</v>
      </c>
      <c r="I8" s="476" t="s">
        <v>903</v>
      </c>
      <c r="J8" s="476" t="s">
        <v>749</v>
      </c>
      <c r="K8" s="476" t="s">
        <v>751</v>
      </c>
      <c r="L8" s="476" t="s">
        <v>906</v>
      </c>
      <c r="M8" s="476" t="s">
        <v>838</v>
      </c>
    </row>
    <row r="9" spans="1:13" ht="17.25" customHeight="1">
      <c r="A9" s="267">
        <v>1</v>
      </c>
      <c r="B9" s="267">
        <v>2</v>
      </c>
      <c r="C9" s="11">
        <v>3</v>
      </c>
      <c r="D9" s="11">
        <v>4</v>
      </c>
      <c r="E9" s="11">
        <v>5</v>
      </c>
      <c r="F9" s="29"/>
      <c r="H9" s="475">
        <v>1</v>
      </c>
      <c r="I9" s="475">
        <v>2</v>
      </c>
      <c r="J9" s="476">
        <v>3</v>
      </c>
      <c r="K9" s="476">
        <v>4</v>
      </c>
      <c r="L9" s="476">
        <v>5</v>
      </c>
      <c r="M9" s="477"/>
    </row>
    <row r="10" spans="1:13" ht="17.25" customHeight="1">
      <c r="A10" s="107" t="s">
        <v>907</v>
      </c>
      <c r="B10" s="142"/>
      <c r="C10" s="478">
        <f>SUM(C11:C24)</f>
        <v>871462409</v>
      </c>
      <c r="D10" s="478">
        <f>SUM(D11:D24)</f>
        <v>186917752.89999998</v>
      </c>
      <c r="E10" s="479">
        <f aca="true" t="shared" si="0" ref="E10:E25">IF(ISERROR(D10/C10)," ",(D10/C10))*100</f>
        <v>21.44874534685752</v>
      </c>
      <c r="F10" s="478">
        <f>SUM(F11:F24)</f>
        <v>61299884.96</v>
      </c>
      <c r="H10" s="480" t="s">
        <v>907</v>
      </c>
      <c r="I10" s="481"/>
      <c r="J10" s="482">
        <f aca="true" t="shared" si="1" ref="J10:K24">ROUND(C10/1000,0)</f>
        <v>871462</v>
      </c>
      <c r="K10" s="478">
        <f>SUM(K11:K24)</f>
        <v>186917</v>
      </c>
      <c r="L10" s="483">
        <f aca="true" t="shared" si="2" ref="L10:L24">E10</f>
        <v>21.44874534685752</v>
      </c>
      <c r="M10" s="482">
        <f>M11+M12+M13+M14+M15+M16+M17+M18+M19+M20+M21+M22+M23+M24</f>
        <v>61300</v>
      </c>
    </row>
    <row r="11" spans="1:13" ht="17.25" customHeight="1">
      <c r="A11" s="109" t="s">
        <v>800</v>
      </c>
      <c r="B11" s="151">
        <v>1</v>
      </c>
      <c r="C11" s="239">
        <f>84377159+1062666+673249+1065604</f>
        <v>87178678</v>
      </c>
      <c r="D11" s="239">
        <v>18884595.4</v>
      </c>
      <c r="E11" s="479">
        <f t="shared" si="0"/>
        <v>21.661942843409484</v>
      </c>
      <c r="F11" s="239">
        <f>D11-'[13]februāris'!D11</f>
        <v>5879489.189999998</v>
      </c>
      <c r="H11" s="484" t="s">
        <v>800</v>
      </c>
      <c r="I11" s="485">
        <v>1</v>
      </c>
      <c r="J11" s="486">
        <f t="shared" si="1"/>
        <v>87179</v>
      </c>
      <c r="K11" s="486">
        <f t="shared" si="1"/>
        <v>18885</v>
      </c>
      <c r="L11" s="487">
        <f t="shared" si="2"/>
        <v>21.661942843409484</v>
      </c>
      <c r="M11" s="486">
        <f>ROUND(F11/1000,0)</f>
        <v>5879</v>
      </c>
    </row>
    <row r="12" spans="1:13" ht="17.25" customHeight="1">
      <c r="A12" s="29" t="s">
        <v>802</v>
      </c>
      <c r="B12" s="151">
        <v>2</v>
      </c>
      <c r="C12" s="239">
        <v>48368928</v>
      </c>
      <c r="D12" s="239">
        <v>10933437.3</v>
      </c>
      <c r="E12" s="479">
        <f t="shared" si="0"/>
        <v>22.604258047645796</v>
      </c>
      <c r="F12" s="239">
        <f>D12-'[13]februāris'!D12</f>
        <v>4281669.48</v>
      </c>
      <c r="H12" s="477" t="s">
        <v>802</v>
      </c>
      <c r="I12" s="485">
        <v>2</v>
      </c>
      <c r="J12" s="486">
        <f t="shared" si="1"/>
        <v>48369</v>
      </c>
      <c r="K12" s="486">
        <f t="shared" si="1"/>
        <v>10933</v>
      </c>
      <c r="L12" s="487">
        <f t="shared" si="2"/>
        <v>22.604258047645796</v>
      </c>
      <c r="M12" s="486">
        <f>ROUND(F12/1000,0)</f>
        <v>4282</v>
      </c>
    </row>
    <row r="13" spans="1:13" ht="17.25" customHeight="1">
      <c r="A13" s="101" t="s">
        <v>804</v>
      </c>
      <c r="B13" s="151">
        <v>3</v>
      </c>
      <c r="C13" s="239">
        <f>114611597+89862</f>
        <v>114701459</v>
      </c>
      <c r="D13" s="239">
        <v>25309286.6</v>
      </c>
      <c r="E13" s="479">
        <f t="shared" si="0"/>
        <v>22.065357163416728</v>
      </c>
      <c r="F13" s="239">
        <f>D13-'[13]februāris'!D13</f>
        <v>8777020.990000002</v>
      </c>
      <c r="H13" s="488" t="s">
        <v>804</v>
      </c>
      <c r="I13" s="485">
        <v>3</v>
      </c>
      <c r="J13" s="486">
        <f t="shared" si="1"/>
        <v>114701</v>
      </c>
      <c r="K13" s="486">
        <f t="shared" si="1"/>
        <v>25309</v>
      </c>
      <c r="L13" s="487">
        <f t="shared" si="2"/>
        <v>22.065357163416728</v>
      </c>
      <c r="M13" s="486">
        <f aca="true" t="shared" si="3" ref="M13:M22">ROUND(F13/1000,0)</f>
        <v>8777</v>
      </c>
    </row>
    <row r="14" spans="1:13" ht="17.25" customHeight="1">
      <c r="A14" s="29" t="s">
        <v>806</v>
      </c>
      <c r="B14" s="151">
        <v>4</v>
      </c>
      <c r="C14" s="239">
        <f>95095099+612420+951120+188894</f>
        <v>96847533</v>
      </c>
      <c r="D14" s="239">
        <v>21005642.5</v>
      </c>
      <c r="E14" s="479">
        <f t="shared" si="0"/>
        <v>21.68939347169535</v>
      </c>
      <c r="F14" s="239">
        <f>D14-'[13]februāris'!D14</f>
        <v>7962532.460000001</v>
      </c>
      <c r="H14" s="477" t="s">
        <v>806</v>
      </c>
      <c r="I14" s="485">
        <v>4</v>
      </c>
      <c r="J14" s="486">
        <f t="shared" si="1"/>
        <v>96848</v>
      </c>
      <c r="K14" s="486">
        <f>ROUND(D14/1000,0)</f>
        <v>21006</v>
      </c>
      <c r="L14" s="487">
        <f t="shared" si="2"/>
        <v>21.68939347169535</v>
      </c>
      <c r="M14" s="486">
        <f t="shared" si="3"/>
        <v>7963</v>
      </c>
    </row>
    <row r="15" spans="1:13" ht="17.25" customHeight="1">
      <c r="A15" s="29" t="s">
        <v>808</v>
      </c>
      <c r="B15" s="151">
        <v>5</v>
      </c>
      <c r="C15" s="239">
        <f>69612995+109302</f>
        <v>69722297</v>
      </c>
      <c r="D15" s="239">
        <v>15033551</v>
      </c>
      <c r="E15" s="479">
        <f t="shared" si="0"/>
        <v>21.562042053778004</v>
      </c>
      <c r="F15" s="239">
        <f>D15-'[13]februāris'!D15</f>
        <v>5005500.4</v>
      </c>
      <c r="H15" s="477" t="s">
        <v>808</v>
      </c>
      <c r="I15" s="485">
        <v>5</v>
      </c>
      <c r="J15" s="486">
        <f t="shared" si="1"/>
        <v>69722</v>
      </c>
      <c r="K15" s="486">
        <f>ROUND(D15/1000,0)</f>
        <v>15034</v>
      </c>
      <c r="L15" s="487">
        <f t="shared" si="2"/>
        <v>21.562042053778004</v>
      </c>
      <c r="M15" s="486">
        <f t="shared" si="3"/>
        <v>5006</v>
      </c>
    </row>
    <row r="16" spans="1:13" ht="17.25" customHeight="1">
      <c r="A16" s="101" t="s">
        <v>810</v>
      </c>
      <c r="B16" s="151">
        <v>6</v>
      </c>
      <c r="C16" s="239">
        <v>81822152</v>
      </c>
      <c r="D16" s="239">
        <v>20394335.5</v>
      </c>
      <c r="E16" s="479">
        <f t="shared" si="0"/>
        <v>24.925200574045032</v>
      </c>
      <c r="F16" s="239">
        <f>D16-'[13]februāris'!D16</f>
        <v>6525150.699999999</v>
      </c>
      <c r="H16" s="488" t="s">
        <v>810</v>
      </c>
      <c r="I16" s="485">
        <v>6</v>
      </c>
      <c r="J16" s="486">
        <f t="shared" si="1"/>
        <v>81822</v>
      </c>
      <c r="K16" s="486">
        <f t="shared" si="1"/>
        <v>20394</v>
      </c>
      <c r="L16" s="487">
        <f t="shared" si="2"/>
        <v>24.925200574045032</v>
      </c>
      <c r="M16" s="486">
        <f t="shared" si="3"/>
        <v>6525</v>
      </c>
    </row>
    <row r="17" spans="1:13" ht="17.25" customHeight="1">
      <c r="A17" s="101" t="s">
        <v>812</v>
      </c>
      <c r="B17" s="151">
        <v>7</v>
      </c>
      <c r="C17" s="239">
        <f>10701593+1353550</f>
        <v>12055143</v>
      </c>
      <c r="D17" s="239">
        <v>1673002.3</v>
      </c>
      <c r="E17" s="479">
        <f t="shared" si="0"/>
        <v>13.877913352002544</v>
      </c>
      <c r="F17" s="239">
        <f>D17-'[13]februāris'!D17</f>
        <v>449261.8300000001</v>
      </c>
      <c r="H17" s="488" t="s">
        <v>812</v>
      </c>
      <c r="I17" s="485">
        <v>7</v>
      </c>
      <c r="J17" s="486">
        <f t="shared" si="1"/>
        <v>12055</v>
      </c>
      <c r="K17" s="486">
        <f t="shared" si="1"/>
        <v>1673</v>
      </c>
      <c r="L17" s="487">
        <f t="shared" si="2"/>
        <v>13.877913352002544</v>
      </c>
      <c r="M17" s="486">
        <f t="shared" si="3"/>
        <v>449</v>
      </c>
    </row>
    <row r="18" spans="1:13" ht="17.25" customHeight="1">
      <c r="A18" s="29" t="s">
        <v>911</v>
      </c>
      <c r="B18" s="151">
        <v>8</v>
      </c>
      <c r="C18" s="239">
        <v>22888050</v>
      </c>
      <c r="D18" s="239">
        <v>5663618.9</v>
      </c>
      <c r="E18" s="479">
        <f t="shared" si="0"/>
        <v>24.74487297956794</v>
      </c>
      <c r="F18" s="239">
        <f>D18-'[13]februāris'!D18</f>
        <v>2020613.0300000003</v>
      </c>
      <c r="H18" s="477" t="s">
        <v>911</v>
      </c>
      <c r="I18" s="485">
        <v>8</v>
      </c>
      <c r="J18" s="486">
        <f t="shared" si="1"/>
        <v>22888</v>
      </c>
      <c r="K18" s="486">
        <f t="shared" si="1"/>
        <v>5664</v>
      </c>
      <c r="L18" s="487">
        <f t="shared" si="2"/>
        <v>24.74487297956794</v>
      </c>
      <c r="M18" s="486">
        <f t="shared" si="3"/>
        <v>2021</v>
      </c>
    </row>
    <row r="19" spans="1:13" ht="17.25" customHeight="1">
      <c r="A19" s="101" t="s">
        <v>816</v>
      </c>
      <c r="B19" s="151">
        <v>9</v>
      </c>
      <c r="C19" s="239">
        <v>202127</v>
      </c>
      <c r="D19" s="239">
        <v>44183.6</v>
      </c>
      <c r="E19" s="479">
        <f t="shared" si="0"/>
        <v>21.859326067274534</v>
      </c>
      <c r="F19" s="239">
        <f>D19-'[13]februāris'!D19</f>
        <v>15648.239999999998</v>
      </c>
      <c r="H19" s="488" t="s">
        <v>816</v>
      </c>
      <c r="I19" s="485">
        <v>9</v>
      </c>
      <c r="J19" s="486">
        <f t="shared" si="1"/>
        <v>202</v>
      </c>
      <c r="K19" s="486">
        <f t="shared" si="1"/>
        <v>44</v>
      </c>
      <c r="L19" s="487">
        <f t="shared" si="2"/>
        <v>21.859326067274534</v>
      </c>
      <c r="M19" s="486">
        <f>ROUND(F19/1000,0)</f>
        <v>16</v>
      </c>
    </row>
    <row r="20" spans="1:13" ht="14.25" customHeight="1">
      <c r="A20" s="101" t="s">
        <v>912</v>
      </c>
      <c r="B20" s="151">
        <v>10</v>
      </c>
      <c r="C20" s="239">
        <f>79963495+713839</f>
        <v>80677334</v>
      </c>
      <c r="D20" s="239">
        <v>14049419</v>
      </c>
      <c r="E20" s="479">
        <f t="shared" si="0"/>
        <v>17.41433225842589</v>
      </c>
      <c r="F20" s="239">
        <f>D20-'[13]februāris'!D20</f>
        <v>5486236.109999999</v>
      </c>
      <c r="G20" s="489"/>
      <c r="H20" s="488" t="s">
        <v>912</v>
      </c>
      <c r="I20" s="485">
        <v>10</v>
      </c>
      <c r="J20" s="486">
        <f t="shared" si="1"/>
        <v>80677</v>
      </c>
      <c r="K20" s="486">
        <f t="shared" si="1"/>
        <v>14049</v>
      </c>
      <c r="L20" s="487">
        <f t="shared" si="2"/>
        <v>17.41433225842589</v>
      </c>
      <c r="M20" s="486">
        <f t="shared" si="3"/>
        <v>5486</v>
      </c>
    </row>
    <row r="21" spans="1:13" ht="25.5">
      <c r="A21" s="101" t="s">
        <v>820</v>
      </c>
      <c r="B21" s="151">
        <v>11</v>
      </c>
      <c r="C21" s="239">
        <v>866523</v>
      </c>
      <c r="D21" s="239">
        <v>171332.2</v>
      </c>
      <c r="E21" s="479">
        <f t="shared" si="0"/>
        <v>19.772377651833825</v>
      </c>
      <c r="F21" s="239">
        <f>D21-'[13]februāris'!D21</f>
        <v>63571.41000000002</v>
      </c>
      <c r="H21" s="488" t="s">
        <v>820</v>
      </c>
      <c r="I21" s="485">
        <v>11</v>
      </c>
      <c r="J21" s="486">
        <f t="shared" si="1"/>
        <v>867</v>
      </c>
      <c r="K21" s="486">
        <f t="shared" si="1"/>
        <v>171</v>
      </c>
      <c r="L21" s="487">
        <f t="shared" si="2"/>
        <v>19.772377651833825</v>
      </c>
      <c r="M21" s="486">
        <f>ROUND(F21/1000,0)-1</f>
        <v>63</v>
      </c>
    </row>
    <row r="22" spans="1:13" ht="17.25" customHeight="1">
      <c r="A22" s="29" t="s">
        <v>822</v>
      </c>
      <c r="B22" s="151">
        <v>12</v>
      </c>
      <c r="C22" s="239">
        <f>17685677+158332</f>
        <v>17844009</v>
      </c>
      <c r="D22" s="239">
        <v>1681310.9</v>
      </c>
      <c r="E22" s="479">
        <f t="shared" si="0"/>
        <v>9.422271082692236</v>
      </c>
      <c r="F22" s="239">
        <f>D22-'[13]februāris'!D22</f>
        <v>679041.8999999999</v>
      </c>
      <c r="H22" s="477" t="s">
        <v>822</v>
      </c>
      <c r="I22" s="485">
        <v>12</v>
      </c>
      <c r="J22" s="486">
        <f t="shared" si="1"/>
        <v>17844</v>
      </c>
      <c r="K22" s="486">
        <f t="shared" si="1"/>
        <v>1681</v>
      </c>
      <c r="L22" s="487">
        <f t="shared" si="2"/>
        <v>9.422271082692236</v>
      </c>
      <c r="M22" s="486">
        <f t="shared" si="3"/>
        <v>679</v>
      </c>
    </row>
    <row r="23" spans="1:13" ht="16.5" customHeight="1">
      <c r="A23" s="29" t="s">
        <v>824</v>
      </c>
      <c r="B23" s="151">
        <v>13</v>
      </c>
      <c r="C23" s="239">
        <f>24501923+3579879</f>
        <v>28081802</v>
      </c>
      <c r="D23" s="239">
        <v>3723818.7</v>
      </c>
      <c r="E23" s="479">
        <f t="shared" si="0"/>
        <v>13.260611623142987</v>
      </c>
      <c r="F23" s="239">
        <f>D23-'[13]februāris'!D23</f>
        <v>1517303.1</v>
      </c>
      <c r="H23" s="477" t="s">
        <v>824</v>
      </c>
      <c r="I23" s="485">
        <v>13</v>
      </c>
      <c r="J23" s="486">
        <f t="shared" si="1"/>
        <v>28082</v>
      </c>
      <c r="K23" s="486">
        <f t="shared" si="1"/>
        <v>3724</v>
      </c>
      <c r="L23" s="487">
        <f t="shared" si="2"/>
        <v>13.260611623142987</v>
      </c>
      <c r="M23" s="486">
        <f>ROUND(F23/1000,0)-1</f>
        <v>1516</v>
      </c>
    </row>
    <row r="24" spans="1:13" ht="12.75">
      <c r="A24" s="101" t="s">
        <v>334</v>
      </c>
      <c r="B24" s="151">
        <v>14</v>
      </c>
      <c r="C24" s="239">
        <v>210206374</v>
      </c>
      <c r="D24" s="239">
        <f>35717800+12632419</f>
        <v>48350219</v>
      </c>
      <c r="E24" s="479">
        <f t="shared" si="0"/>
        <v>23.00130965581472</v>
      </c>
      <c r="F24" s="239">
        <f>D24-'[13]februāris'!D24</f>
        <v>12636846.120000005</v>
      </c>
      <c r="H24" s="488" t="s">
        <v>334</v>
      </c>
      <c r="I24" s="485">
        <v>14</v>
      </c>
      <c r="J24" s="486">
        <f t="shared" si="1"/>
        <v>210206</v>
      </c>
      <c r="K24" s="486">
        <f>ROUND(D24/1000,0)</f>
        <v>48350</v>
      </c>
      <c r="L24" s="487">
        <f t="shared" si="2"/>
        <v>23.00130965581472</v>
      </c>
      <c r="M24" s="486">
        <f>ROUND(F24/1000,0)+1</f>
        <v>12638</v>
      </c>
    </row>
    <row r="25" spans="1:13" ht="13.5" customHeight="1">
      <c r="A25" s="29" t="s">
        <v>335</v>
      </c>
      <c r="B25" s="147"/>
      <c r="C25" s="211">
        <v>48898920</v>
      </c>
      <c r="D25" s="211">
        <v>12632419</v>
      </c>
      <c r="E25" s="479">
        <f t="shared" si="0"/>
        <v>25.83373825025174</v>
      </c>
      <c r="F25" s="239">
        <f>D25-'[13]februāris'!D25</f>
        <v>-958051</v>
      </c>
      <c r="H25" s="477" t="s">
        <v>335</v>
      </c>
      <c r="I25" s="490"/>
      <c r="J25" s="486">
        <f>ROUND(C25/1000,0)</f>
        <v>48899</v>
      </c>
      <c r="K25" s="486">
        <f>ROUND(D25/1000,0)</f>
        <v>12632</v>
      </c>
      <c r="L25" s="487">
        <f>E25</f>
        <v>25.83373825025174</v>
      </c>
      <c r="M25" s="486">
        <f>ROUND(F25/1000,0)</f>
        <v>-958</v>
      </c>
    </row>
    <row r="26" spans="2:13" ht="17.25" customHeight="1">
      <c r="B26" s="9"/>
      <c r="C26" s="213"/>
      <c r="D26" s="213"/>
      <c r="E26" s="491"/>
      <c r="H26" s="472"/>
      <c r="I26" s="474"/>
      <c r="J26" s="492"/>
      <c r="K26" s="492"/>
      <c r="L26" s="493"/>
      <c r="M26" s="472"/>
    </row>
    <row r="27" spans="2:13" ht="17.25" customHeight="1">
      <c r="B27" s="9"/>
      <c r="C27" s="213"/>
      <c r="D27" s="213"/>
      <c r="E27" s="491"/>
      <c r="H27" s="472"/>
      <c r="I27" s="474"/>
      <c r="J27" s="492"/>
      <c r="K27" s="492"/>
      <c r="L27" s="493"/>
      <c r="M27" s="472"/>
    </row>
    <row r="28" spans="2:13" ht="17.25" customHeight="1">
      <c r="B28" s="9"/>
      <c r="C28" s="213"/>
      <c r="D28" s="213"/>
      <c r="E28" s="491"/>
      <c r="H28" s="472"/>
      <c r="I28" s="474"/>
      <c r="J28" s="492"/>
      <c r="K28" s="492"/>
      <c r="L28" s="493"/>
      <c r="M28" s="472"/>
    </row>
    <row r="29" spans="1:13" ht="17.25" customHeight="1">
      <c r="A29" s="80" t="s">
        <v>336</v>
      </c>
      <c r="B29" s="9"/>
      <c r="C29" s="9"/>
      <c r="D29" s="9"/>
      <c r="E29" s="4"/>
      <c r="F29" s="5" t="s">
        <v>896</v>
      </c>
      <c r="H29" s="473" t="s">
        <v>829</v>
      </c>
      <c r="I29" s="474"/>
      <c r="J29" s="474"/>
      <c r="K29" s="472"/>
      <c r="L29" s="474" t="s">
        <v>830</v>
      </c>
      <c r="M29" s="472"/>
    </row>
    <row r="30" spans="2:13" ht="17.25" customHeight="1">
      <c r="B30" s="9"/>
      <c r="C30" s="213"/>
      <c r="D30" s="213"/>
      <c r="E30" s="491"/>
      <c r="H30" s="472"/>
      <c r="I30" s="472"/>
      <c r="J30" s="472"/>
      <c r="K30" s="472"/>
      <c r="L30" s="472"/>
      <c r="M30" s="472"/>
    </row>
    <row r="31" spans="2:13" ht="17.25" customHeight="1">
      <c r="B31" s="9"/>
      <c r="C31" s="213"/>
      <c r="D31" s="213"/>
      <c r="E31" s="491"/>
      <c r="H31" s="472"/>
      <c r="I31" s="472"/>
      <c r="J31" s="472"/>
      <c r="K31" s="472"/>
      <c r="L31" s="472"/>
      <c r="M31" s="472"/>
    </row>
    <row r="32" spans="2:13" ht="17.25" customHeight="1">
      <c r="B32" s="9"/>
      <c r="D32" s="213"/>
      <c r="E32" s="491"/>
      <c r="G32" s="9"/>
      <c r="H32" s="472"/>
      <c r="I32" s="472"/>
      <c r="J32" s="472"/>
      <c r="K32" s="472"/>
      <c r="L32" s="472"/>
      <c r="M32" s="472"/>
    </row>
    <row r="33" spans="2:13" ht="17.25" customHeight="1">
      <c r="B33" s="9"/>
      <c r="C33" s="213"/>
      <c r="D33" s="213"/>
      <c r="E33" s="491"/>
      <c r="H33" s="472"/>
      <c r="I33" s="472"/>
      <c r="J33" s="472"/>
      <c r="K33" s="472"/>
      <c r="L33" s="472"/>
      <c r="M33" s="472"/>
    </row>
    <row r="34" spans="2:13" ht="17.25" customHeight="1">
      <c r="B34" s="9"/>
      <c r="C34" s="213"/>
      <c r="D34" s="213"/>
      <c r="E34" s="491"/>
      <c r="H34" s="472"/>
      <c r="I34" s="472"/>
      <c r="J34" s="472"/>
      <c r="K34" s="472"/>
      <c r="L34" s="472"/>
      <c r="M34" s="472"/>
    </row>
    <row r="35" spans="4:13" ht="17.25" customHeight="1">
      <c r="D35" s="213"/>
      <c r="E35" s="491"/>
      <c r="H35" s="472"/>
      <c r="I35" s="472"/>
      <c r="J35" s="472"/>
      <c r="K35" s="472"/>
      <c r="L35" s="472"/>
      <c r="M35" s="472"/>
    </row>
    <row r="36" spans="2:13" ht="17.25" customHeight="1">
      <c r="B36" s="9"/>
      <c r="C36" s="213"/>
      <c r="D36" s="213"/>
      <c r="E36" s="491"/>
      <c r="H36" s="492" t="s">
        <v>831</v>
      </c>
      <c r="I36" s="472"/>
      <c r="J36" s="472"/>
      <c r="K36" s="472"/>
      <c r="L36" s="472"/>
      <c r="M36" s="472"/>
    </row>
    <row r="37" spans="3:13" ht="17.25" customHeight="1">
      <c r="C37" s="213"/>
      <c r="D37" s="213"/>
      <c r="E37" s="491"/>
      <c r="H37" s="472" t="s">
        <v>832</v>
      </c>
      <c r="I37" s="472"/>
      <c r="J37" s="472"/>
      <c r="K37" s="472"/>
      <c r="L37" s="472"/>
      <c r="M37" s="472"/>
    </row>
    <row r="38" spans="3:13" ht="17.25" customHeight="1">
      <c r="C38" s="213"/>
      <c r="D38" s="213"/>
      <c r="E38" s="491"/>
      <c r="H38" s="472"/>
      <c r="I38" s="472"/>
      <c r="J38" s="472"/>
      <c r="K38" s="472"/>
      <c r="L38" s="472"/>
      <c r="M38" s="472"/>
    </row>
    <row r="39" spans="3:13" ht="17.25" customHeight="1">
      <c r="C39" s="213"/>
      <c r="D39" s="213"/>
      <c r="E39" s="491"/>
      <c r="H39" s="472"/>
      <c r="I39" s="472"/>
      <c r="J39" s="472"/>
      <c r="K39" s="472"/>
      <c r="L39" s="472"/>
      <c r="M39" s="472"/>
    </row>
    <row r="40" spans="1:13" ht="17.25" customHeight="1">
      <c r="A40" s="3"/>
      <c r="C40" s="213"/>
      <c r="D40" s="213"/>
      <c r="E40" s="491"/>
      <c r="H40" s="472"/>
      <c r="I40" s="472"/>
      <c r="J40" s="472"/>
      <c r="K40" s="472"/>
      <c r="L40" s="472"/>
      <c r="M40" s="472"/>
    </row>
    <row r="41" spans="1:13" ht="17.25" customHeight="1">
      <c r="A41" s="3"/>
      <c r="C41" s="213"/>
      <c r="D41" s="213"/>
      <c r="E41" s="491"/>
      <c r="H41" s="472"/>
      <c r="I41" s="472"/>
      <c r="J41" s="472"/>
      <c r="K41" s="472"/>
      <c r="L41" s="472"/>
      <c r="M41" s="472"/>
    </row>
    <row r="42" spans="3:13" ht="17.25" customHeight="1">
      <c r="C42" s="213"/>
      <c r="D42" s="213"/>
      <c r="E42" s="491"/>
      <c r="H42" s="472"/>
      <c r="I42" s="472"/>
      <c r="J42" s="472"/>
      <c r="K42" s="472"/>
      <c r="L42" s="472"/>
      <c r="M42" s="472"/>
    </row>
    <row r="43" spans="3:5" ht="17.25" customHeight="1">
      <c r="C43" s="213"/>
      <c r="D43" s="213"/>
      <c r="E43" s="491"/>
    </row>
    <row r="44" spans="3:5" ht="17.25" customHeight="1">
      <c r="C44" s="213"/>
      <c r="D44" s="213"/>
      <c r="E44" s="491"/>
    </row>
    <row r="45" spans="3:5" ht="17.25" customHeight="1">
      <c r="C45" s="213"/>
      <c r="D45" s="213"/>
      <c r="E45" s="491"/>
    </row>
    <row r="46" spans="2:4" ht="17.25" customHeight="1">
      <c r="B46" s="213"/>
      <c r="C46" s="213"/>
      <c r="D46" s="491"/>
    </row>
    <row r="47" spans="2:4" ht="17.25" customHeight="1">
      <c r="B47" s="213"/>
      <c r="C47" s="213"/>
      <c r="D47" s="491"/>
    </row>
    <row r="48" spans="2:4" ht="17.25" customHeight="1">
      <c r="B48" s="213"/>
      <c r="C48" s="213"/>
      <c r="D48" s="491"/>
    </row>
    <row r="49" spans="2:4" ht="17.25" customHeight="1">
      <c r="B49" s="213"/>
      <c r="C49" s="213"/>
      <c r="D49" s="491"/>
    </row>
    <row r="50" spans="2:4" ht="17.25" customHeight="1">
      <c r="B50" s="213"/>
      <c r="C50" s="213"/>
      <c r="D50" s="491"/>
    </row>
    <row r="51" spans="2:4" ht="17.25" customHeight="1">
      <c r="B51" s="213"/>
      <c r="C51" s="213"/>
      <c r="D51" s="491"/>
    </row>
    <row r="52" spans="2:4" ht="17.25" customHeight="1">
      <c r="B52" s="213"/>
      <c r="D52" s="491"/>
    </row>
    <row r="53" spans="2:4" ht="17.25" customHeight="1">
      <c r="B53" s="213"/>
      <c r="D53" s="491"/>
    </row>
    <row r="54" spans="2:4" ht="17.25" customHeight="1">
      <c r="B54" s="213"/>
      <c r="D54" s="491"/>
    </row>
    <row r="55" spans="2:4" ht="17.25" customHeight="1">
      <c r="B55" s="213"/>
      <c r="D55" s="491"/>
    </row>
    <row r="56" spans="2:4" ht="17.25" customHeight="1">
      <c r="B56" s="213"/>
      <c r="D56" s="491"/>
    </row>
    <row r="57" spans="2:4" ht="17.25" customHeight="1">
      <c r="B57" s="213"/>
      <c r="D57" s="491"/>
    </row>
    <row r="58" spans="2:4" ht="17.25" customHeight="1">
      <c r="B58" s="213"/>
      <c r="D58" s="491"/>
    </row>
    <row r="59" spans="2:4" ht="17.25" customHeight="1">
      <c r="B59" s="213"/>
      <c r="D59" s="491"/>
    </row>
    <row r="60" spans="2:4" ht="17.25" customHeight="1">
      <c r="B60" s="213"/>
      <c r="D60" s="491"/>
    </row>
    <row r="61" spans="2:4" ht="17.25" customHeight="1">
      <c r="B61" s="213"/>
      <c r="D61" s="491"/>
    </row>
    <row r="62" spans="2:4" ht="17.25" customHeight="1">
      <c r="B62" s="213"/>
      <c r="D62" s="491"/>
    </row>
    <row r="63" spans="2:4" ht="17.25" customHeight="1">
      <c r="B63" s="213"/>
      <c r="D63" s="491"/>
    </row>
    <row r="64" spans="2:4" ht="17.25" customHeight="1">
      <c r="B64" s="213"/>
      <c r="D64" s="491"/>
    </row>
    <row r="65" spans="2:4" ht="17.25" customHeight="1">
      <c r="B65" s="213"/>
      <c r="D65" s="491"/>
    </row>
    <row r="66" spans="2:4" ht="17.25" customHeight="1">
      <c r="B66" s="213"/>
      <c r="D66" s="491"/>
    </row>
    <row r="67" spans="2:4" ht="17.25" customHeight="1">
      <c r="B67" s="213"/>
      <c r="D67" s="491"/>
    </row>
    <row r="68" spans="2:4" ht="17.25" customHeight="1">
      <c r="B68" s="213"/>
      <c r="D68" s="491"/>
    </row>
    <row r="69" spans="2:4" ht="17.25" customHeight="1">
      <c r="B69" s="213"/>
      <c r="D69" s="491"/>
    </row>
    <row r="70" spans="2:4" ht="17.25" customHeight="1">
      <c r="B70" s="213"/>
      <c r="D70" s="491"/>
    </row>
    <row r="71" spans="2:4" ht="17.25" customHeight="1">
      <c r="B71" s="213"/>
      <c r="D71" s="491"/>
    </row>
    <row r="72" spans="2:4" ht="17.25" customHeight="1">
      <c r="B72" s="213"/>
      <c r="D72" s="491"/>
    </row>
    <row r="73" spans="2:4" ht="17.25" customHeight="1">
      <c r="B73" s="213"/>
      <c r="D73" s="491"/>
    </row>
    <row r="74" spans="2:4" ht="17.25" customHeight="1">
      <c r="B74" s="213"/>
      <c r="D74" s="491"/>
    </row>
    <row r="75" spans="2:4" ht="17.25" customHeight="1">
      <c r="B75" s="213"/>
      <c r="D75" s="491"/>
    </row>
    <row r="76" spans="2:4" ht="17.25" customHeight="1">
      <c r="B76" s="213"/>
      <c r="D76" s="491"/>
    </row>
    <row r="77" spans="2:4" ht="17.25" customHeight="1">
      <c r="B77" s="213"/>
      <c r="D77" s="491"/>
    </row>
    <row r="78" spans="2:4" ht="17.25" customHeight="1">
      <c r="B78" s="213"/>
      <c r="D78" s="491"/>
    </row>
    <row r="79" spans="2:4" ht="17.25" customHeight="1">
      <c r="B79" s="213"/>
      <c r="D79" s="491"/>
    </row>
    <row r="80" spans="2:4" ht="17.25" customHeight="1">
      <c r="B80" s="213"/>
      <c r="D80" s="491"/>
    </row>
    <row r="81" spans="2:4" ht="17.25" customHeight="1">
      <c r="B81" s="213"/>
      <c r="D81" s="491"/>
    </row>
    <row r="82" spans="2:4" ht="17.25" customHeight="1">
      <c r="B82" s="213"/>
      <c r="D82" s="491"/>
    </row>
    <row r="83" spans="2:4" ht="17.25" customHeight="1">
      <c r="B83" s="213"/>
      <c r="D83" s="491"/>
    </row>
    <row r="84" spans="2:4" ht="17.25" customHeight="1">
      <c r="B84" s="213"/>
      <c r="D84" s="491"/>
    </row>
    <row r="85" spans="2:4" ht="17.25" customHeight="1">
      <c r="B85" s="213"/>
      <c r="D85" s="491"/>
    </row>
    <row r="86" spans="2:4" ht="17.25" customHeight="1">
      <c r="B86" s="213"/>
      <c r="D86" s="491"/>
    </row>
    <row r="87" spans="2:4" ht="17.25" customHeight="1">
      <c r="B87" s="213"/>
      <c r="D87" s="491"/>
    </row>
    <row r="88" spans="2:4" ht="17.25" customHeight="1">
      <c r="B88" s="213"/>
      <c r="D88" s="491"/>
    </row>
    <row r="89" spans="2:4" ht="17.25" customHeight="1">
      <c r="B89" s="213"/>
      <c r="D89" s="491"/>
    </row>
    <row r="90" spans="2:4" ht="17.25" customHeight="1">
      <c r="B90" s="213"/>
      <c r="D90" s="491"/>
    </row>
    <row r="91" spans="2:4" ht="17.25" customHeight="1">
      <c r="B91" s="213"/>
      <c r="D91" s="491"/>
    </row>
    <row r="92" spans="2:4" ht="17.25" customHeight="1">
      <c r="B92" s="213"/>
      <c r="D92" s="491"/>
    </row>
    <row r="93" spans="2:4" ht="17.25" customHeight="1">
      <c r="B93" s="213"/>
      <c r="D93" s="491"/>
    </row>
    <row r="94" spans="2:4" ht="17.25" customHeight="1">
      <c r="B94" s="213"/>
      <c r="D94" s="491"/>
    </row>
    <row r="95" spans="2:4" ht="17.25" customHeight="1">
      <c r="B95" s="213"/>
      <c r="D95" s="491"/>
    </row>
    <row r="96" spans="2:4" ht="17.25" customHeight="1">
      <c r="B96" s="213"/>
      <c r="D96" s="491"/>
    </row>
    <row r="97" spans="2:4" ht="17.25" customHeight="1">
      <c r="B97" s="213"/>
      <c r="D97" s="491"/>
    </row>
    <row r="98" spans="2:4" ht="17.25" customHeight="1">
      <c r="B98" s="213"/>
      <c r="D98" s="491"/>
    </row>
    <row r="99" ht="17.25" customHeight="1">
      <c r="B99" s="213"/>
    </row>
    <row r="100" ht="17.25" customHeight="1">
      <c r="B100" s="213"/>
    </row>
    <row r="101" ht="17.25" customHeight="1">
      <c r="B101" s="213"/>
    </row>
    <row r="102" ht="17.25" customHeight="1">
      <c r="B102" s="213"/>
    </row>
    <row r="103" ht="17.25" customHeight="1">
      <c r="B103" s="213"/>
    </row>
    <row r="104" ht="17.25" customHeight="1">
      <c r="B104" s="213"/>
    </row>
    <row r="105" ht="17.25" customHeight="1">
      <c r="B105" s="213"/>
    </row>
    <row r="106" ht="17.25" customHeight="1">
      <c r="B106" s="213"/>
    </row>
    <row r="107" ht="17.25" customHeight="1">
      <c r="B107" s="213"/>
    </row>
  </sheetData>
  <mergeCells count="6">
    <mergeCell ref="A5:E5"/>
    <mergeCell ref="H5:L5"/>
    <mergeCell ref="A2:E2"/>
    <mergeCell ref="H2:L2"/>
    <mergeCell ref="A4:E4"/>
    <mergeCell ref="H4:L4"/>
  </mergeCells>
  <printOptions/>
  <pageMargins left="0.75" right="0.19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workbookViewId="0" topLeftCell="G1">
      <selection activeCell="A7" sqref="A7"/>
    </sheetView>
  </sheetViews>
  <sheetFormatPr defaultColWidth="9.140625" defaultRowHeight="17.25" customHeight="1"/>
  <cols>
    <col min="1" max="1" width="40.57421875" style="5" hidden="1" customWidth="1"/>
    <col min="2" max="2" width="13.421875" style="5" hidden="1" customWidth="1"/>
    <col min="3" max="3" width="12.421875" style="5" hidden="1" customWidth="1"/>
    <col min="4" max="4" width="13.140625" style="5" hidden="1" customWidth="1"/>
    <col min="5" max="5" width="8.28125" style="224" hidden="1" customWidth="1"/>
    <col min="6" max="6" width="11.7109375" style="5" hidden="1" customWidth="1"/>
    <col min="7" max="7" width="40.00390625" style="5" customWidth="1"/>
    <col min="8" max="8" width="11.7109375" style="5" customWidth="1"/>
    <col min="9" max="9" width="12.421875" style="5" customWidth="1"/>
    <col min="10" max="10" width="13.140625" style="5" customWidth="1"/>
    <col min="11" max="11" width="8.28125" style="225" customWidth="1"/>
    <col min="12" max="12" width="11.7109375" style="5" customWidth="1"/>
  </cols>
  <sheetData>
    <row r="1" spans="6:12" ht="17.25" customHeight="1">
      <c r="F1" s="81" t="s">
        <v>32</v>
      </c>
      <c r="L1" s="81" t="s">
        <v>32</v>
      </c>
    </row>
    <row r="2" spans="1:12" ht="17.25" customHeight="1">
      <c r="A2" s="748" t="s">
        <v>33</v>
      </c>
      <c r="B2" s="748"/>
      <c r="C2" s="748"/>
      <c r="D2" s="748"/>
      <c r="E2" s="748"/>
      <c r="F2" s="748"/>
      <c r="G2" s="749" t="s">
        <v>34</v>
      </c>
      <c r="H2" s="749"/>
      <c r="I2" s="749"/>
      <c r="J2" s="749"/>
      <c r="K2" s="749"/>
      <c r="L2" s="749"/>
    </row>
    <row r="4" spans="1:12" ht="17.25" customHeight="1">
      <c r="A4" s="750" t="s">
        <v>35</v>
      </c>
      <c r="B4" s="750"/>
      <c r="C4" s="750"/>
      <c r="D4" s="750"/>
      <c r="E4" s="750"/>
      <c r="F4" s="750"/>
      <c r="G4" s="751" t="s">
        <v>35</v>
      </c>
      <c r="H4" s="751"/>
      <c r="I4" s="751"/>
      <c r="J4" s="751"/>
      <c r="K4" s="751"/>
      <c r="L4" s="751"/>
    </row>
    <row r="5" spans="1:12" ht="17.25" customHeight="1">
      <c r="A5" s="775" t="s">
        <v>793</v>
      </c>
      <c r="B5" s="775"/>
      <c r="C5" s="775"/>
      <c r="D5" s="775"/>
      <c r="E5" s="775"/>
      <c r="F5" s="775"/>
      <c r="G5" s="776" t="s">
        <v>36</v>
      </c>
      <c r="H5" s="776"/>
      <c r="I5" s="776"/>
      <c r="J5" s="776"/>
      <c r="K5" s="776"/>
      <c r="L5" s="776"/>
    </row>
    <row r="6" spans="1:12" ht="7.5" customHeight="1">
      <c r="A6" s="226"/>
      <c r="B6" s="226"/>
      <c r="C6" s="226"/>
      <c r="D6" s="226"/>
      <c r="E6" s="227"/>
      <c r="F6" s="226"/>
      <c r="G6" s="226"/>
      <c r="H6" s="226"/>
      <c r="I6" s="226"/>
      <c r="J6" s="226"/>
      <c r="K6" s="228"/>
      <c r="L6" s="226"/>
    </row>
    <row r="7" spans="6:12" ht="12.75">
      <c r="F7" s="89" t="s">
        <v>902</v>
      </c>
      <c r="L7" s="89" t="s">
        <v>37</v>
      </c>
    </row>
    <row r="8" spans="1:12" ht="47.25" customHeight="1">
      <c r="A8" s="130" t="s">
        <v>748</v>
      </c>
      <c r="B8" s="130" t="s">
        <v>749</v>
      </c>
      <c r="C8" s="130" t="s">
        <v>38</v>
      </c>
      <c r="D8" s="130" t="s">
        <v>751</v>
      </c>
      <c r="E8" s="229" t="s">
        <v>39</v>
      </c>
      <c r="F8" s="230" t="s">
        <v>40</v>
      </c>
      <c r="G8" s="130" t="s">
        <v>748</v>
      </c>
      <c r="H8" s="130" t="s">
        <v>749</v>
      </c>
      <c r="I8" s="130" t="s">
        <v>38</v>
      </c>
      <c r="J8" s="130" t="s">
        <v>751</v>
      </c>
      <c r="K8" s="231" t="s">
        <v>39</v>
      </c>
      <c r="L8" s="232" t="s">
        <v>797</v>
      </c>
    </row>
    <row r="9" spans="1:12" ht="12.75">
      <c r="A9" s="146">
        <v>1</v>
      </c>
      <c r="B9" s="147">
        <v>2</v>
      </c>
      <c r="C9" s="93">
        <v>3</v>
      </c>
      <c r="D9" s="93">
        <v>4</v>
      </c>
      <c r="E9" s="233">
        <v>5</v>
      </c>
      <c r="F9" s="146">
        <v>6</v>
      </c>
      <c r="G9" s="146">
        <v>1</v>
      </c>
      <c r="H9" s="147">
        <v>2</v>
      </c>
      <c r="I9" s="93">
        <v>3</v>
      </c>
      <c r="J9" s="93">
        <v>4</v>
      </c>
      <c r="K9" s="93">
        <v>5</v>
      </c>
      <c r="L9" s="146">
        <v>6</v>
      </c>
    </row>
    <row r="10" spans="1:12" ht="12.75" customHeight="1">
      <c r="A10" s="109" t="s">
        <v>41</v>
      </c>
      <c r="B10" s="105">
        <f>SUM(B20,B27,B39,B44,B50,B57,B69,B77,B89,B95,B102,B114,B169,B178,B184)</f>
        <v>725518701</v>
      </c>
      <c r="C10" s="105">
        <f>SUM(C20,C27,C39,C44,C50,C57,C69,C77,C89,C95,C102,C114,C169,C178,C184)</f>
        <v>165554804</v>
      </c>
      <c r="D10" s="105">
        <f>SUM(D20,D27,D39,D44,D50,D57,D69,D77,D89,D95,D102,D114,D169,D178,D184)</f>
        <v>164186676</v>
      </c>
      <c r="E10" s="234">
        <f>D10/B10*100</f>
        <v>22.630247266362332</v>
      </c>
      <c r="F10" s="105">
        <f>SUM(F20,F27,F39,F44,F50,F57,F69,F77,F89,F95,F102,F114,F169,F178,F184)</f>
        <v>55813054</v>
      </c>
      <c r="G10" s="109" t="s">
        <v>41</v>
      </c>
      <c r="H10" s="105">
        <f>ROUND(B10/1000,0)-1</f>
        <v>725518</v>
      </c>
      <c r="I10" s="105">
        <f>ROUND(C10/1000,0)</f>
        <v>165555</v>
      </c>
      <c r="J10" s="105">
        <f>SUM(J20,J27,J39,J44,J50,J57,J69,J77,J89,J95,J102,J114,J169,J178,J184)</f>
        <v>164186</v>
      </c>
      <c r="K10" s="235">
        <f>J10/H10*100</f>
        <v>22.63017595704035</v>
      </c>
      <c r="L10" s="236">
        <f>SUM(L20,L27,L39,L44,L50,L57,L69,L77,L89,L95,L102,L114,L169,L178,L184)</f>
        <v>55812</v>
      </c>
    </row>
    <row r="11" spans="1:12" ht="12.75" customHeight="1">
      <c r="A11" s="109" t="s">
        <v>907</v>
      </c>
      <c r="B11" s="105">
        <f>B12+B14</f>
        <v>765146600</v>
      </c>
      <c r="C11" s="105">
        <f>C12+C14</f>
        <v>188726519</v>
      </c>
      <c r="D11" s="105">
        <f>D12+D14</f>
        <v>172169653</v>
      </c>
      <c r="E11" s="234">
        <f aca="true" t="shared" si="0" ref="E11:E73">D11/B11*100</f>
        <v>22.5015249365285</v>
      </c>
      <c r="F11" s="105">
        <f>F12+F14</f>
        <v>54340988</v>
      </c>
      <c r="G11" s="118" t="s">
        <v>907</v>
      </c>
      <c r="H11" s="105">
        <f>H12+H14</f>
        <v>765146</v>
      </c>
      <c r="I11" s="105">
        <f>ROUND(C11/1000,0)</f>
        <v>188727</v>
      </c>
      <c r="J11" s="237">
        <f>J12+J14</f>
        <v>172170</v>
      </c>
      <c r="K11" s="238">
        <f aca="true" t="shared" si="1" ref="K11:K74">J11/H11*100</f>
        <v>22.50158793223777</v>
      </c>
      <c r="L11" s="105">
        <f>L12+L14</f>
        <v>54341</v>
      </c>
    </row>
    <row r="12" spans="1:12" ht="12.75" customHeight="1">
      <c r="A12" s="109" t="s">
        <v>42</v>
      </c>
      <c r="B12" s="239">
        <f>SUM(B23,B37,B42,B53,B61,B73,B83,B92,B98,B108,B119,B174,B182,B187)</f>
        <v>731908893</v>
      </c>
      <c r="C12" s="239">
        <f>SUM(C23,C37,C42,C53,C61,C73,C83,C92,C98,C108,C119,C174,C182,C187)</f>
        <v>181781675</v>
      </c>
      <c r="D12" s="239">
        <f>SUM(D23,D37,D42,D53,D61,D73,D83,D92,D98,D108,D119,D174,D182,D187)</f>
        <v>167405052</v>
      </c>
      <c r="E12" s="240">
        <f t="shared" si="0"/>
        <v>22.872389391776387</v>
      </c>
      <c r="F12" s="239">
        <f>SUM(F23,F37,F42,F53,F61,F73,F83,F92,F98,F108,F119,F174,F182,F187)</f>
        <v>53732571</v>
      </c>
      <c r="G12" s="109" t="s">
        <v>42</v>
      </c>
      <c r="H12" s="152">
        <f aca="true" t="shared" si="2" ref="H12:H17">ROUND(B12/1000,0)</f>
        <v>731909</v>
      </c>
      <c r="I12" s="236">
        <f>ROUND(C12/1000,0)</f>
        <v>181782</v>
      </c>
      <c r="J12" s="241">
        <f>SUM(J23,J37,J42,J53,J61,J73,J83,J92,J98,J108,J119,J174,J182,J187)</f>
        <v>167405</v>
      </c>
      <c r="K12" s="235">
        <f t="shared" si="1"/>
        <v>22.872378943283934</v>
      </c>
      <c r="L12" s="239">
        <f>SUM(L23,L37,L42,L53,L61,L73,L83,L92,L98,L108,L119,L174,L182,L187)</f>
        <v>53733</v>
      </c>
    </row>
    <row r="13" spans="1:12" ht="12.75" customHeight="1">
      <c r="A13" s="194" t="s">
        <v>43</v>
      </c>
      <c r="B13" s="239">
        <f>SUM(B54,B62,B84,B109,B120,B188)</f>
        <v>5473101</v>
      </c>
      <c r="C13" s="239">
        <f>SUM(C54,C62,C84,C109,C120,C188)</f>
        <v>0</v>
      </c>
      <c r="D13" s="239">
        <f>SUM(D54,D62,D84,D109,D120,D188)</f>
        <v>801057</v>
      </c>
      <c r="E13" s="240">
        <f t="shared" si="0"/>
        <v>14.636254657094764</v>
      </c>
      <c r="F13" s="239">
        <f>SUM(F54,F62,F84,F109,F120,F188)</f>
        <v>92138</v>
      </c>
      <c r="G13" s="194" t="s">
        <v>43</v>
      </c>
      <c r="H13" s="152">
        <f t="shared" si="2"/>
        <v>5473</v>
      </c>
      <c r="I13" s="236"/>
      <c r="J13" s="241">
        <f>SUM(J54,J62,J84,J109,J120,J188)</f>
        <v>801</v>
      </c>
      <c r="K13" s="235">
        <f t="shared" si="1"/>
        <v>14.63548328156404</v>
      </c>
      <c r="L13" s="239">
        <f>SUM(L54,L62,L84,L109,L120,L188)</f>
        <v>92</v>
      </c>
    </row>
    <row r="14" spans="1:12" ht="12.75" customHeight="1">
      <c r="A14" s="109" t="s">
        <v>44</v>
      </c>
      <c r="B14" s="239">
        <f>SUM(B24,B55,B63,B74,B85,B93,B99,B110,B121,B175,B189)</f>
        <v>33237707</v>
      </c>
      <c r="C14" s="239">
        <f>SUM(C24,C55,C63,C74,C85,C93,C99,C110,C121,C175,C189)</f>
        <v>6944844</v>
      </c>
      <c r="D14" s="239">
        <f>SUM(D24,D55,D63,D74,D85,D93,D99,D110,D121,D175,D189)</f>
        <v>4764601</v>
      </c>
      <c r="E14" s="240">
        <f t="shared" si="0"/>
        <v>14.334926894926896</v>
      </c>
      <c r="F14" s="239">
        <f>SUM(F24,F55,F63,F74,F85,F93,F99,F110,F121,F175,F189)</f>
        <v>608417</v>
      </c>
      <c r="G14" s="109" t="s">
        <v>44</v>
      </c>
      <c r="H14" s="152">
        <f>ROUND(B14/1000,0)-1</f>
        <v>33237</v>
      </c>
      <c r="I14" s="236">
        <f>ROUND(C14/1000,0)</f>
        <v>6945</v>
      </c>
      <c r="J14" s="241">
        <f>SUM(J24,J55,J63,J74,J85,J93,J99,J110,J121,J175,J189)</f>
        <v>4765</v>
      </c>
      <c r="K14" s="235">
        <f t="shared" si="1"/>
        <v>14.336432289316123</v>
      </c>
      <c r="L14" s="239">
        <f>SUM(L24,L55,L63,L74,L85,L93,L99,L110,L121,L175,L189)</f>
        <v>608</v>
      </c>
    </row>
    <row r="15" spans="1:12" ht="12.75" customHeight="1">
      <c r="A15" s="109" t="s">
        <v>45</v>
      </c>
      <c r="B15" s="105">
        <f>SUM(B64)</f>
        <v>6699203</v>
      </c>
      <c r="C15" s="105">
        <f>SUM(C64)</f>
        <v>1366732</v>
      </c>
      <c r="D15" s="105">
        <f>SUM(D64)</f>
        <v>1973327</v>
      </c>
      <c r="E15" s="234">
        <f t="shared" si="0"/>
        <v>29.456145753457534</v>
      </c>
      <c r="F15" s="105">
        <f>SUM(F64)</f>
        <v>848792</v>
      </c>
      <c r="G15" s="118" t="s">
        <v>45</v>
      </c>
      <c r="H15" s="105">
        <f t="shared" si="2"/>
        <v>6699</v>
      </c>
      <c r="I15" s="105">
        <f>ROUND(C15/1000,0)</f>
        <v>1367</v>
      </c>
      <c r="J15" s="237">
        <f>SUM(J64)</f>
        <v>1973</v>
      </c>
      <c r="K15" s="238">
        <f t="shared" si="1"/>
        <v>29.452157038363936</v>
      </c>
      <c r="L15" s="105">
        <f>SUM(L64)</f>
        <v>848</v>
      </c>
    </row>
    <row r="16" spans="1:12" ht="12.75" customHeight="1">
      <c r="A16" s="109" t="s">
        <v>46</v>
      </c>
      <c r="B16" s="105">
        <f>B10-B11-B15</f>
        <v>-46327102</v>
      </c>
      <c r="C16" s="105">
        <f>C10-C11-C15</f>
        <v>-24538447</v>
      </c>
      <c r="D16" s="105">
        <f>D10-D11-D15</f>
        <v>-9956304</v>
      </c>
      <c r="E16" s="234">
        <f t="shared" si="0"/>
        <v>21.49131624939544</v>
      </c>
      <c r="F16" s="105">
        <f>F10-F11-F15</f>
        <v>623274</v>
      </c>
      <c r="G16" s="118" t="s">
        <v>46</v>
      </c>
      <c r="H16" s="105">
        <f t="shared" si="2"/>
        <v>-46327</v>
      </c>
      <c r="I16" s="105">
        <f>ROUND(C16/1000,0)</f>
        <v>-24538</v>
      </c>
      <c r="J16" s="105">
        <f>J10-J11-J15</f>
        <v>-9957</v>
      </c>
      <c r="K16" s="238">
        <f t="shared" si="1"/>
        <v>21.492865931314352</v>
      </c>
      <c r="L16" s="105">
        <f>L10-L11-L15</f>
        <v>623</v>
      </c>
    </row>
    <row r="17" spans="1:12" ht="12.75" customHeight="1">
      <c r="A17" s="101" t="s">
        <v>47</v>
      </c>
      <c r="B17" s="105">
        <f>SUM(B66,B87,B112,B123,B191)</f>
        <v>48698241</v>
      </c>
      <c r="C17" s="105">
        <f>SUM(C66,C87,C112,C123,C191)</f>
        <v>24474015</v>
      </c>
      <c r="D17" s="105">
        <f>SUM(D66,D87,D112,D123,D191)</f>
        <v>14653149</v>
      </c>
      <c r="E17" s="234">
        <f t="shared" si="0"/>
        <v>30.089688455071713</v>
      </c>
      <c r="F17" s="105">
        <f>SUM(F66,F87,F112,F123,F191)</f>
        <v>-652205</v>
      </c>
      <c r="G17" s="117" t="s">
        <v>47</v>
      </c>
      <c r="H17" s="105">
        <f t="shared" si="2"/>
        <v>48698</v>
      </c>
      <c r="I17" s="105">
        <f>ROUND(C17/1000,0)</f>
        <v>24474</v>
      </c>
      <c r="J17" s="237">
        <f>SUM(J66,J87,J112,J123,J191)</f>
        <v>14653</v>
      </c>
      <c r="K17" s="238">
        <f t="shared" si="1"/>
        <v>30.089531397593326</v>
      </c>
      <c r="L17" s="105">
        <f>SUM(L66,L87,L112,L123,L191)</f>
        <v>-652</v>
      </c>
    </row>
    <row r="18" spans="1:12" ht="20.25" customHeight="1">
      <c r="A18" s="118" t="s">
        <v>767</v>
      </c>
      <c r="B18" s="236"/>
      <c r="C18" s="236"/>
      <c r="D18" s="236"/>
      <c r="E18" s="240"/>
      <c r="F18" s="236"/>
      <c r="G18" s="118" t="s">
        <v>767</v>
      </c>
      <c r="H18" s="236"/>
      <c r="I18" s="236"/>
      <c r="J18" s="242"/>
      <c r="K18" s="235"/>
      <c r="L18" s="236"/>
    </row>
    <row r="19" spans="1:12" ht="12.75" customHeight="1">
      <c r="A19" s="243" t="s">
        <v>48</v>
      </c>
      <c r="B19" s="236"/>
      <c r="C19" s="236"/>
      <c r="D19" s="236"/>
      <c r="E19" s="240"/>
      <c r="F19" s="236"/>
      <c r="G19" s="243" t="s">
        <v>48</v>
      </c>
      <c r="H19" s="236"/>
      <c r="I19" s="236"/>
      <c r="J19" s="242"/>
      <c r="K19" s="235"/>
      <c r="L19" s="236"/>
    </row>
    <row r="20" spans="1:12" ht="12.75" customHeight="1">
      <c r="A20" s="109" t="s">
        <v>879</v>
      </c>
      <c r="B20" s="239">
        <f>B21</f>
        <v>2874300</v>
      </c>
      <c r="C20" s="241">
        <v>737300</v>
      </c>
      <c r="D20" s="239">
        <f>D21</f>
        <v>523431</v>
      </c>
      <c r="E20" s="240">
        <f t="shared" si="0"/>
        <v>18.210729568938525</v>
      </c>
      <c r="F20" s="236">
        <f>D20-'[6]Februāris'!D20</f>
        <v>171860</v>
      </c>
      <c r="G20" s="109" t="s">
        <v>879</v>
      </c>
      <c r="H20" s="239">
        <f>ROUND(B20/1000,0)</f>
        <v>2874</v>
      </c>
      <c r="I20" s="239">
        <f>ROUND(C20/1000,0)</f>
        <v>737</v>
      </c>
      <c r="J20" s="241">
        <f>J21</f>
        <v>523</v>
      </c>
      <c r="K20" s="235">
        <f t="shared" si="1"/>
        <v>18.197633959638136</v>
      </c>
      <c r="L20" s="236">
        <f>L21</f>
        <v>171</v>
      </c>
    </row>
    <row r="21" spans="1:12" ht="12.75" customHeight="1">
      <c r="A21" s="109" t="s">
        <v>49</v>
      </c>
      <c r="B21" s="239">
        <v>2874300</v>
      </c>
      <c r="C21" s="241"/>
      <c r="D21" s="241">
        <f>'[5]Marts'!$K$6</f>
        <v>523431</v>
      </c>
      <c r="E21" s="240">
        <f t="shared" si="0"/>
        <v>18.210729568938525</v>
      </c>
      <c r="F21" s="236">
        <f>D21-'[6]Februāris'!D21</f>
        <v>171860</v>
      </c>
      <c r="G21" s="109" t="s">
        <v>49</v>
      </c>
      <c r="H21" s="239">
        <f aca="true" t="shared" si="3" ref="H21:H84">ROUND(B21/1000,0)</f>
        <v>2874</v>
      </c>
      <c r="I21" s="239"/>
      <c r="J21" s="241">
        <f>ROUND(D21/1000,0)</f>
        <v>523</v>
      </c>
      <c r="K21" s="235">
        <f t="shared" si="1"/>
        <v>18.197633959638136</v>
      </c>
      <c r="L21" s="236">
        <f>J21-'[6]Februāris'!J21</f>
        <v>171</v>
      </c>
    </row>
    <row r="22" spans="1:12" ht="12.75" customHeight="1">
      <c r="A22" s="109" t="s">
        <v>50</v>
      </c>
      <c r="B22" s="236">
        <f>B23+B24</f>
        <v>2874300</v>
      </c>
      <c r="C22" s="236">
        <f>C23+C24</f>
        <v>737300</v>
      </c>
      <c r="D22" s="236">
        <f>D23+D24</f>
        <v>494137</v>
      </c>
      <c r="E22" s="240">
        <f t="shared" si="0"/>
        <v>17.191559684096998</v>
      </c>
      <c r="F22" s="236">
        <f>D22-'[6]Februāris'!D22</f>
        <v>148432</v>
      </c>
      <c r="G22" s="109" t="s">
        <v>50</v>
      </c>
      <c r="H22" s="239">
        <f t="shared" si="3"/>
        <v>2874</v>
      </c>
      <c r="I22" s="239">
        <f>SUM(I23:I24)</f>
        <v>737</v>
      </c>
      <c r="J22" s="241">
        <f>SUM(J23:J24)</f>
        <v>494</v>
      </c>
      <c r="K22" s="235">
        <f t="shared" si="1"/>
        <v>17.18858733472512</v>
      </c>
      <c r="L22" s="236">
        <f>J22-'[6]Februāris'!J22</f>
        <v>148</v>
      </c>
    </row>
    <row r="23" spans="1:12" ht="12.75" customHeight="1">
      <c r="A23" s="109" t="s">
        <v>51</v>
      </c>
      <c r="B23" s="239">
        <v>2856700</v>
      </c>
      <c r="C23" s="241">
        <v>719700</v>
      </c>
      <c r="D23" s="241">
        <f>'[5]Marts'!$K$8</f>
        <v>489374</v>
      </c>
      <c r="E23" s="240">
        <f t="shared" si="0"/>
        <v>17.130745265516158</v>
      </c>
      <c r="F23" s="236">
        <f>D23-'[6]Februāris'!D23</f>
        <v>147692</v>
      </c>
      <c r="G23" s="109" t="s">
        <v>51</v>
      </c>
      <c r="H23" s="239">
        <f t="shared" si="3"/>
        <v>2857</v>
      </c>
      <c r="I23" s="239">
        <f>ROUND(C23/1000,0)</f>
        <v>720</v>
      </c>
      <c r="J23" s="241">
        <f>ROUND(D23/1000,0)</f>
        <v>489</v>
      </c>
      <c r="K23" s="235">
        <f t="shared" si="1"/>
        <v>17.115855792789638</v>
      </c>
      <c r="L23" s="236">
        <f>J23-'[6]Februāris'!J23</f>
        <v>147</v>
      </c>
    </row>
    <row r="24" spans="1:12" ht="12.75" customHeight="1">
      <c r="A24" s="109" t="s">
        <v>44</v>
      </c>
      <c r="B24" s="239">
        <v>17600</v>
      </c>
      <c r="C24" s="241">
        <v>17600</v>
      </c>
      <c r="D24" s="241">
        <f>'[5]Marts'!$K$31</f>
        <v>4763</v>
      </c>
      <c r="E24" s="240">
        <f t="shared" si="0"/>
        <v>27.0625</v>
      </c>
      <c r="F24" s="236">
        <f>D24-'[6]Februāris'!D24</f>
        <v>740</v>
      </c>
      <c r="G24" s="109" t="s">
        <v>44</v>
      </c>
      <c r="H24" s="239">
        <f>ROUND(B24/1000,0)</f>
        <v>18</v>
      </c>
      <c r="I24" s="239">
        <f>ROUND(C24/1000,0)-1</f>
        <v>17</v>
      </c>
      <c r="J24" s="241">
        <f>ROUND(D24/1000,0)</f>
        <v>5</v>
      </c>
      <c r="K24" s="235">
        <f t="shared" si="1"/>
        <v>27.77777777777778</v>
      </c>
      <c r="L24" s="236">
        <f>J24-'[6]Februāris'!J24</f>
        <v>1</v>
      </c>
    </row>
    <row r="25" spans="1:12" ht="12.75" customHeight="1">
      <c r="A25" s="118" t="s">
        <v>768</v>
      </c>
      <c r="B25" s="236"/>
      <c r="C25" s="236"/>
      <c r="D25" s="236"/>
      <c r="E25" s="240"/>
      <c r="F25" s="236"/>
      <c r="G25" s="118" t="s">
        <v>768</v>
      </c>
      <c r="H25" s="239"/>
      <c r="I25" s="239"/>
      <c r="J25" s="241"/>
      <c r="K25" s="235"/>
      <c r="L25" s="236"/>
    </row>
    <row r="26" spans="1:12" ht="24" customHeight="1">
      <c r="A26" s="96" t="s">
        <v>52</v>
      </c>
      <c r="B26" s="236"/>
      <c r="C26" s="236"/>
      <c r="D26" s="236"/>
      <c r="E26" s="240"/>
      <c r="F26" s="236"/>
      <c r="G26" s="119" t="s">
        <v>52</v>
      </c>
      <c r="H26" s="239"/>
      <c r="I26" s="239"/>
      <c r="J26" s="241"/>
      <c r="K26" s="235"/>
      <c r="L26" s="236"/>
    </row>
    <row r="27" spans="1:12" ht="12.75" customHeight="1">
      <c r="A27" s="109" t="s">
        <v>879</v>
      </c>
      <c r="B27" s="236">
        <f>B28+B33+B34+B35</f>
        <v>2820000</v>
      </c>
      <c r="C27" s="242">
        <v>683350</v>
      </c>
      <c r="D27" s="236">
        <f>D28+D33+D34+D35</f>
        <v>712671</v>
      </c>
      <c r="E27" s="240">
        <f t="shared" si="0"/>
        <v>25.272021276595748</v>
      </c>
      <c r="F27" s="236">
        <f>D27-'[6]Februāris'!D27</f>
        <v>242611</v>
      </c>
      <c r="G27" s="109" t="s">
        <v>879</v>
      </c>
      <c r="H27" s="239">
        <f t="shared" si="3"/>
        <v>2820</v>
      </c>
      <c r="I27" s="239">
        <f>ROUND(C27/1000,0)</f>
        <v>683</v>
      </c>
      <c r="J27" s="236">
        <f>J28+J33+J34+J35</f>
        <v>713</v>
      </c>
      <c r="K27" s="235">
        <f t="shared" si="1"/>
        <v>25.28368794326241</v>
      </c>
      <c r="L27" s="236">
        <f>J27-'[6]Februāris'!J27</f>
        <v>243</v>
      </c>
    </row>
    <row r="28" spans="1:12" ht="12.75" customHeight="1">
      <c r="A28" s="101" t="s">
        <v>53</v>
      </c>
      <c r="B28" s="239">
        <f>SUM(B29:B32)</f>
        <v>2555000</v>
      </c>
      <c r="C28" s="241"/>
      <c r="D28" s="239">
        <f>SUM(D29:D32)</f>
        <v>530937</v>
      </c>
      <c r="E28" s="240">
        <f t="shared" si="0"/>
        <v>20.78031311154599</v>
      </c>
      <c r="F28" s="236">
        <f>D28-'[6]Februāris'!D28</f>
        <v>128188</v>
      </c>
      <c r="G28" s="101" t="s">
        <v>53</v>
      </c>
      <c r="H28" s="239">
        <f t="shared" si="3"/>
        <v>2555</v>
      </c>
      <c r="I28" s="239"/>
      <c r="J28" s="241">
        <f>SUM(J29:J32)</f>
        <v>531</v>
      </c>
      <c r="K28" s="235">
        <f t="shared" si="1"/>
        <v>20.78277886497065</v>
      </c>
      <c r="L28" s="236">
        <f>J28-'[6]Februāris'!J28</f>
        <v>128</v>
      </c>
    </row>
    <row r="29" spans="1:12" ht="51">
      <c r="A29" s="181" t="s">
        <v>54</v>
      </c>
      <c r="B29" s="239">
        <v>2000000</v>
      </c>
      <c r="C29" s="241"/>
      <c r="D29" s="241">
        <v>399163</v>
      </c>
      <c r="E29" s="240">
        <f t="shared" si="0"/>
        <v>19.95815</v>
      </c>
      <c r="F29" s="236">
        <f>D29-'[6]Februāris'!D29</f>
        <v>112034</v>
      </c>
      <c r="G29" s="181" t="s">
        <v>54</v>
      </c>
      <c r="H29" s="239">
        <f t="shared" si="3"/>
        <v>2000</v>
      </c>
      <c r="I29" s="239"/>
      <c r="J29" s="241">
        <f aca="true" t="shared" si="4" ref="J29:J35">ROUND(D29/1000,0)</f>
        <v>399</v>
      </c>
      <c r="K29" s="235">
        <f t="shared" si="1"/>
        <v>19.950000000000003</v>
      </c>
      <c r="L29" s="236">
        <f>J29-'[6]Februāris'!J29</f>
        <v>112</v>
      </c>
    </row>
    <row r="30" spans="1:12" ht="38.25">
      <c r="A30" s="181" t="s">
        <v>55</v>
      </c>
      <c r="B30" s="239">
        <v>240000</v>
      </c>
      <c r="C30" s="241"/>
      <c r="D30" s="241">
        <v>51105</v>
      </c>
      <c r="E30" s="240">
        <f t="shared" si="0"/>
        <v>21.29375</v>
      </c>
      <c r="F30" s="236">
        <f>D30-'[6]Februāris'!D30</f>
        <v>516</v>
      </c>
      <c r="G30" s="181" t="s">
        <v>55</v>
      </c>
      <c r="H30" s="239">
        <f t="shared" si="3"/>
        <v>240</v>
      </c>
      <c r="I30" s="239"/>
      <c r="J30" s="241">
        <f t="shared" si="4"/>
        <v>51</v>
      </c>
      <c r="K30" s="235">
        <f t="shared" si="1"/>
        <v>21.25</v>
      </c>
      <c r="L30" s="236"/>
    </row>
    <row r="31" spans="1:12" ht="25.5" customHeight="1">
      <c r="A31" s="181" t="s">
        <v>56</v>
      </c>
      <c r="B31" s="239">
        <v>145000</v>
      </c>
      <c r="C31" s="241"/>
      <c r="D31" s="241">
        <v>31096</v>
      </c>
      <c r="E31" s="240">
        <f t="shared" si="0"/>
        <v>21.44551724137931</v>
      </c>
      <c r="F31" s="236">
        <f>D31-'[6]Februāris'!D31</f>
        <v>310</v>
      </c>
      <c r="G31" s="181" t="s">
        <v>56</v>
      </c>
      <c r="H31" s="239">
        <f t="shared" si="3"/>
        <v>145</v>
      </c>
      <c r="I31" s="239"/>
      <c r="J31" s="241">
        <f t="shared" si="4"/>
        <v>31</v>
      </c>
      <c r="K31" s="235">
        <f t="shared" si="1"/>
        <v>21.379310344827587</v>
      </c>
      <c r="L31" s="236"/>
    </row>
    <row r="32" spans="1:12" ht="38.25">
      <c r="A32" s="181" t="s">
        <v>57</v>
      </c>
      <c r="B32" s="239">
        <v>170000</v>
      </c>
      <c r="C32" s="241"/>
      <c r="D32" s="241">
        <v>49573</v>
      </c>
      <c r="E32" s="240">
        <f t="shared" si="0"/>
        <v>29.160588235294117</v>
      </c>
      <c r="F32" s="236">
        <f>D32-'[6]Februāris'!D32</f>
        <v>15328</v>
      </c>
      <c r="G32" s="181" t="s">
        <v>57</v>
      </c>
      <c r="H32" s="239">
        <f t="shared" si="3"/>
        <v>170</v>
      </c>
      <c r="I32" s="239"/>
      <c r="J32" s="241">
        <f t="shared" si="4"/>
        <v>50</v>
      </c>
      <c r="K32" s="235">
        <f t="shared" si="1"/>
        <v>29.411764705882355</v>
      </c>
      <c r="L32" s="236">
        <f>J32-'[6]Februāris'!J32</f>
        <v>16</v>
      </c>
    </row>
    <row r="33" spans="1:12" ht="12.75" customHeight="1">
      <c r="A33" s="101" t="s">
        <v>58</v>
      </c>
      <c r="B33" s="239">
        <v>90000</v>
      </c>
      <c r="C33" s="241"/>
      <c r="D33" s="241">
        <v>59519</v>
      </c>
      <c r="E33" s="240">
        <f t="shared" si="0"/>
        <v>66.13222222222223</v>
      </c>
      <c r="F33" s="236">
        <f>D33-'[6]Februāris'!D33</f>
        <v>59519</v>
      </c>
      <c r="G33" s="101" t="s">
        <v>58</v>
      </c>
      <c r="H33" s="239">
        <f t="shared" si="3"/>
        <v>90</v>
      </c>
      <c r="I33" s="239"/>
      <c r="J33" s="241">
        <f t="shared" si="4"/>
        <v>60</v>
      </c>
      <c r="K33" s="235">
        <f t="shared" si="1"/>
        <v>66.66666666666666</v>
      </c>
      <c r="L33" s="236">
        <f>J33-'[6]Februāris'!J33</f>
        <v>60</v>
      </c>
    </row>
    <row r="34" spans="1:12" ht="12.75" customHeight="1">
      <c r="A34" s="101" t="s">
        <v>59</v>
      </c>
      <c r="B34" s="239">
        <v>170000</v>
      </c>
      <c r="C34" s="241"/>
      <c r="D34" s="241">
        <v>52176</v>
      </c>
      <c r="E34" s="240">
        <f t="shared" si="0"/>
        <v>30.691764705882353</v>
      </c>
      <c r="F34" s="236">
        <f>D34-'[6]Februāris'!D34</f>
        <v>16658</v>
      </c>
      <c r="G34" s="101" t="s">
        <v>59</v>
      </c>
      <c r="H34" s="239">
        <f t="shared" si="3"/>
        <v>170</v>
      </c>
      <c r="I34" s="239"/>
      <c r="J34" s="241">
        <f t="shared" si="4"/>
        <v>52</v>
      </c>
      <c r="K34" s="235">
        <f t="shared" si="1"/>
        <v>30.58823529411765</v>
      </c>
      <c r="L34" s="236">
        <f>J34-'[6]Februāris'!J34</f>
        <v>17</v>
      </c>
    </row>
    <row r="35" spans="1:12" ht="12.75" customHeight="1">
      <c r="A35" s="244" t="s">
        <v>60</v>
      </c>
      <c r="B35" s="239">
        <v>5000</v>
      </c>
      <c r="C35" s="241"/>
      <c r="D35" s="241">
        <f>70039</f>
        <v>70039</v>
      </c>
      <c r="E35" s="240">
        <f t="shared" si="0"/>
        <v>1400.78</v>
      </c>
      <c r="F35" s="236">
        <f>D35-'[6]Februāris'!D35</f>
        <v>38246</v>
      </c>
      <c r="G35" s="244" t="s">
        <v>60</v>
      </c>
      <c r="H35" s="239">
        <f t="shared" si="3"/>
        <v>5</v>
      </c>
      <c r="I35" s="239"/>
      <c r="J35" s="241">
        <f t="shared" si="4"/>
        <v>70</v>
      </c>
      <c r="K35" s="235"/>
      <c r="L35" s="236">
        <f>J35-'[6]Februāris'!J35</f>
        <v>38</v>
      </c>
    </row>
    <row r="36" spans="1:12" ht="12.75" customHeight="1">
      <c r="A36" s="109" t="s">
        <v>50</v>
      </c>
      <c r="B36" s="236">
        <f>B37</f>
        <v>1205000</v>
      </c>
      <c r="C36" s="236">
        <f>C37</f>
        <v>349240</v>
      </c>
      <c r="D36" s="236">
        <f>D37</f>
        <v>216809</v>
      </c>
      <c r="E36" s="240">
        <f>D36/B36*100</f>
        <v>17.992448132780083</v>
      </c>
      <c r="F36" s="236">
        <f>D36-'[6]Februāris'!D36</f>
        <v>111440</v>
      </c>
      <c r="G36" s="109" t="s">
        <v>50</v>
      </c>
      <c r="H36" s="239">
        <f t="shared" si="3"/>
        <v>1205</v>
      </c>
      <c r="I36" s="239">
        <f>ROUND(C36/1000,0)</f>
        <v>349</v>
      </c>
      <c r="J36" s="241">
        <f>SUM(J37)</f>
        <v>217</v>
      </c>
      <c r="K36" s="235">
        <f t="shared" si="1"/>
        <v>18.008298755186722</v>
      </c>
      <c r="L36" s="236">
        <f>J36-'[6]Februāris'!J36</f>
        <v>112</v>
      </c>
    </row>
    <row r="37" spans="1:12" ht="12.75" customHeight="1">
      <c r="A37" s="109" t="s">
        <v>51</v>
      </c>
      <c r="B37" s="239">
        <v>1205000</v>
      </c>
      <c r="C37" s="241">
        <v>349240</v>
      </c>
      <c r="D37" s="241">
        <f>'[5]Marts'!$W$8</f>
        <v>216809</v>
      </c>
      <c r="E37" s="240">
        <f t="shared" si="0"/>
        <v>17.992448132780083</v>
      </c>
      <c r="F37" s="236">
        <f>D37-'[6]Februāris'!D37</f>
        <v>111440</v>
      </c>
      <c r="G37" s="109" t="s">
        <v>51</v>
      </c>
      <c r="H37" s="239">
        <f t="shared" si="3"/>
        <v>1205</v>
      </c>
      <c r="I37" s="239">
        <f>ROUND(C37/1000,0)</f>
        <v>349</v>
      </c>
      <c r="J37" s="241">
        <f>ROUND(D37/1000,0)</f>
        <v>217</v>
      </c>
      <c r="K37" s="235">
        <f t="shared" si="1"/>
        <v>18.008298755186722</v>
      </c>
      <c r="L37" s="236">
        <f>J37-'[6]Februāris'!J37</f>
        <v>112</v>
      </c>
    </row>
    <row r="38" spans="1:12" ht="24" customHeight="1">
      <c r="A38" s="96" t="s">
        <v>61</v>
      </c>
      <c r="B38" s="245"/>
      <c r="C38" s="245"/>
      <c r="D38" s="245"/>
      <c r="E38" s="240"/>
      <c r="F38" s="236"/>
      <c r="G38" s="96" t="s">
        <v>61</v>
      </c>
      <c r="H38" s="239"/>
      <c r="I38" s="239"/>
      <c r="J38" s="241"/>
      <c r="K38" s="235"/>
      <c r="L38" s="236"/>
    </row>
    <row r="39" spans="1:12" ht="12.75" customHeight="1">
      <c r="A39" s="109" t="s">
        <v>879</v>
      </c>
      <c r="B39" s="236">
        <f>B40</f>
        <v>500000</v>
      </c>
      <c r="C39" s="242">
        <v>250000</v>
      </c>
      <c r="D39" s="236">
        <f>D40</f>
        <v>388027</v>
      </c>
      <c r="E39" s="240">
        <f t="shared" si="0"/>
        <v>77.6054</v>
      </c>
      <c r="F39" s="236">
        <f>D39-'[6]Februāris'!D39</f>
        <v>18500</v>
      </c>
      <c r="G39" s="109" t="s">
        <v>879</v>
      </c>
      <c r="H39" s="239">
        <f t="shared" si="3"/>
        <v>500</v>
      </c>
      <c r="I39" s="239">
        <f>ROUND(C39/1000,0)</f>
        <v>250</v>
      </c>
      <c r="J39" s="241">
        <f>J40</f>
        <v>388</v>
      </c>
      <c r="K39" s="235">
        <f t="shared" si="1"/>
        <v>77.60000000000001</v>
      </c>
      <c r="L39" s="236">
        <f>J39-'[6]Februāris'!J39</f>
        <v>19</v>
      </c>
    </row>
    <row r="40" spans="1:12" ht="12.75" customHeight="1">
      <c r="A40" s="246" t="s">
        <v>62</v>
      </c>
      <c r="B40" s="239">
        <v>500000</v>
      </c>
      <c r="C40" s="241"/>
      <c r="D40" s="241">
        <f>'[5]Marts'!$X$6</f>
        <v>388027</v>
      </c>
      <c r="E40" s="240">
        <f t="shared" si="0"/>
        <v>77.6054</v>
      </c>
      <c r="F40" s="236">
        <f>D40-'[6]Februāris'!D40</f>
        <v>18500</v>
      </c>
      <c r="G40" s="246" t="s">
        <v>62</v>
      </c>
      <c r="H40" s="239">
        <f t="shared" si="3"/>
        <v>500</v>
      </c>
      <c r="I40" s="239"/>
      <c r="J40" s="241">
        <f>ROUND(D40/1000,0)</f>
        <v>388</v>
      </c>
      <c r="K40" s="235">
        <f t="shared" si="1"/>
        <v>77.60000000000001</v>
      </c>
      <c r="L40" s="236">
        <f>J40-'[6]Februāris'!J40</f>
        <v>19</v>
      </c>
    </row>
    <row r="41" spans="1:12" ht="12.75" customHeight="1">
      <c r="A41" s="109" t="s">
        <v>50</v>
      </c>
      <c r="B41" s="236">
        <f>B42</f>
        <v>31300</v>
      </c>
      <c r="C41" s="236">
        <f>C42</f>
        <v>14050</v>
      </c>
      <c r="D41" s="236">
        <f>D42</f>
        <v>9905</v>
      </c>
      <c r="E41" s="240">
        <f t="shared" si="0"/>
        <v>31.645367412140573</v>
      </c>
      <c r="F41" s="236">
        <f>D41-'[6]Februāris'!D41</f>
        <v>4412</v>
      </c>
      <c r="G41" s="109" t="s">
        <v>50</v>
      </c>
      <c r="H41" s="239">
        <f t="shared" si="3"/>
        <v>31</v>
      </c>
      <c r="I41" s="239">
        <f>ROUND(C41/1000,0)</f>
        <v>14</v>
      </c>
      <c r="J41" s="241">
        <f>J42</f>
        <v>10</v>
      </c>
      <c r="K41" s="235">
        <f t="shared" si="1"/>
        <v>32.25806451612903</v>
      </c>
      <c r="L41" s="236">
        <f>J41-'[6]Februāris'!J41</f>
        <v>5</v>
      </c>
    </row>
    <row r="42" spans="1:12" ht="12.75" customHeight="1">
      <c r="A42" s="109" t="s">
        <v>63</v>
      </c>
      <c r="B42" s="239">
        <v>31300</v>
      </c>
      <c r="C42" s="241">
        <v>14050</v>
      </c>
      <c r="D42" s="241">
        <f>'[5]Marts'!$X$7</f>
        <v>9905</v>
      </c>
      <c r="E42" s="240">
        <f t="shared" si="0"/>
        <v>31.645367412140573</v>
      </c>
      <c r="F42" s="236">
        <f>D42-'[6]Februāris'!D42</f>
        <v>4412</v>
      </c>
      <c r="G42" s="109" t="s">
        <v>63</v>
      </c>
      <c r="H42" s="239">
        <f t="shared" si="3"/>
        <v>31</v>
      </c>
      <c r="I42" s="239">
        <f>ROUND(C42/1000,0)</f>
        <v>14</v>
      </c>
      <c r="J42" s="241">
        <f>ROUND(D42/1000,0)</f>
        <v>10</v>
      </c>
      <c r="K42" s="235">
        <f t="shared" si="1"/>
        <v>32.25806451612903</v>
      </c>
      <c r="L42" s="236">
        <f>J42-'[6]Februāris'!J42</f>
        <v>5</v>
      </c>
    </row>
    <row r="43" spans="1:12" ht="12.75" customHeight="1">
      <c r="A43" s="96" t="s">
        <v>64</v>
      </c>
      <c r="B43" s="239"/>
      <c r="C43" s="239"/>
      <c r="D43" s="239"/>
      <c r="E43" s="240"/>
      <c r="F43" s="236">
        <f>D43-'[6]Februāris'!D43</f>
        <v>0</v>
      </c>
      <c r="G43" s="96" t="s">
        <v>64</v>
      </c>
      <c r="H43" s="239"/>
      <c r="I43" s="239"/>
      <c r="J43" s="241"/>
      <c r="K43" s="235"/>
      <c r="L43" s="236"/>
    </row>
    <row r="44" spans="1:12" ht="12.75" customHeight="1">
      <c r="A44" s="109" t="s">
        <v>879</v>
      </c>
      <c r="B44" s="239">
        <f>B45</f>
        <v>75000</v>
      </c>
      <c r="C44" s="241">
        <v>37500</v>
      </c>
      <c r="D44" s="239">
        <v>49168</v>
      </c>
      <c r="E44" s="240">
        <f t="shared" si="0"/>
        <v>65.55733333333333</v>
      </c>
      <c r="F44" s="236">
        <f>D44-'[6]Februāris'!D44</f>
        <v>1516</v>
      </c>
      <c r="G44" s="109" t="s">
        <v>879</v>
      </c>
      <c r="H44" s="239">
        <f t="shared" si="3"/>
        <v>75</v>
      </c>
      <c r="I44" s="239">
        <f>ROUND(C44/1000,0)</f>
        <v>38</v>
      </c>
      <c r="J44" s="241">
        <f>ROUND(D44/1000,0)</f>
        <v>49</v>
      </c>
      <c r="K44" s="235">
        <f t="shared" si="1"/>
        <v>65.33333333333333</v>
      </c>
      <c r="L44" s="236">
        <f>J44-'[6]Februāris'!J44</f>
        <v>1</v>
      </c>
    </row>
    <row r="45" spans="1:12" ht="12.75" customHeight="1">
      <c r="A45" s="101" t="s">
        <v>53</v>
      </c>
      <c r="B45" s="239">
        <f>SUM(B46:B47)</f>
        <v>75000</v>
      </c>
      <c r="C45" s="241"/>
      <c r="D45" s="241">
        <f>D46+D47</f>
        <v>49168</v>
      </c>
      <c r="E45" s="240">
        <f t="shared" si="0"/>
        <v>65.55733333333333</v>
      </c>
      <c r="F45" s="236">
        <f>D45-'[6]Februāris'!D45</f>
        <v>1516</v>
      </c>
      <c r="G45" s="101" t="s">
        <v>53</v>
      </c>
      <c r="H45" s="239">
        <f t="shared" si="3"/>
        <v>75</v>
      </c>
      <c r="I45" s="239"/>
      <c r="J45" s="241">
        <f>ROUND(D45/1000,0)</f>
        <v>49</v>
      </c>
      <c r="K45" s="235">
        <f t="shared" si="1"/>
        <v>65.33333333333333</v>
      </c>
      <c r="L45" s="236">
        <f>J45-'[6]Februāris'!J45</f>
        <v>1</v>
      </c>
    </row>
    <row r="46" spans="1:12" ht="12.75">
      <c r="A46" s="181" t="s">
        <v>65</v>
      </c>
      <c r="B46" s="239">
        <v>15000</v>
      </c>
      <c r="C46" s="241"/>
      <c r="D46" s="241">
        <v>4975</v>
      </c>
      <c r="E46" s="240">
        <f t="shared" si="0"/>
        <v>33.166666666666664</v>
      </c>
      <c r="F46" s="236">
        <f>D46-'[6]Februāris'!D46</f>
        <v>0</v>
      </c>
      <c r="G46" s="181" t="s">
        <v>65</v>
      </c>
      <c r="H46" s="239">
        <f t="shared" si="3"/>
        <v>15</v>
      </c>
      <c r="I46" s="239"/>
      <c r="J46" s="241">
        <f>ROUND(D46/1000,0)</f>
        <v>5</v>
      </c>
      <c r="K46" s="235">
        <f t="shared" si="1"/>
        <v>33.33333333333333</v>
      </c>
      <c r="L46" s="236">
        <f>J46-'[6]Februāris'!J46</f>
        <v>0</v>
      </c>
    </row>
    <row r="47" spans="1:12" ht="12.75">
      <c r="A47" s="181" t="s">
        <v>66</v>
      </c>
      <c r="B47" s="239">
        <v>60000</v>
      </c>
      <c r="C47" s="241"/>
      <c r="D47" s="241">
        <v>44193</v>
      </c>
      <c r="E47" s="240">
        <f t="shared" si="0"/>
        <v>73.655</v>
      </c>
      <c r="F47" s="236">
        <f>D47-'[6]Februāris'!D47</f>
        <v>1516</v>
      </c>
      <c r="G47" s="181" t="s">
        <v>66</v>
      </c>
      <c r="H47" s="239">
        <f t="shared" si="3"/>
        <v>60</v>
      </c>
      <c r="I47" s="239"/>
      <c r="J47" s="241">
        <f>ROUND(D47/1000,0)</f>
        <v>44</v>
      </c>
      <c r="K47" s="235">
        <f t="shared" si="1"/>
        <v>73.33333333333333</v>
      </c>
      <c r="L47" s="236">
        <f>J47-'[6]Februāris'!J47</f>
        <v>1</v>
      </c>
    </row>
    <row r="48" spans="1:12" ht="12.75" customHeight="1">
      <c r="A48" s="118" t="s">
        <v>770</v>
      </c>
      <c r="B48" s="236"/>
      <c r="C48" s="236"/>
      <c r="D48" s="236"/>
      <c r="E48" s="240"/>
      <c r="F48" s="236"/>
      <c r="G48" s="118" t="s">
        <v>770</v>
      </c>
      <c r="H48" s="239"/>
      <c r="I48" s="239"/>
      <c r="J48" s="241"/>
      <c r="K48" s="235"/>
      <c r="L48" s="236"/>
    </row>
    <row r="49" spans="1:12" ht="12.75" customHeight="1">
      <c r="A49" s="142" t="s">
        <v>67</v>
      </c>
      <c r="B49" s="236"/>
      <c r="C49" s="236"/>
      <c r="D49" s="236"/>
      <c r="E49" s="240"/>
      <c r="F49" s="236"/>
      <c r="G49" s="142" t="s">
        <v>67</v>
      </c>
      <c r="H49" s="239"/>
      <c r="I49" s="239"/>
      <c r="J49" s="241"/>
      <c r="K49" s="235"/>
      <c r="L49" s="236"/>
    </row>
    <row r="50" spans="1:12" ht="12.75" customHeight="1">
      <c r="A50" s="109" t="s">
        <v>879</v>
      </c>
      <c r="B50" s="236">
        <f>B51</f>
        <v>1508663</v>
      </c>
      <c r="C50" s="242">
        <v>653500</v>
      </c>
      <c r="D50" s="236">
        <f>D51</f>
        <v>653500</v>
      </c>
      <c r="E50" s="240">
        <f t="shared" si="0"/>
        <v>43.31649944354704</v>
      </c>
      <c r="F50" s="236">
        <f>D50-'[6]Februāris'!D50</f>
        <v>225500</v>
      </c>
      <c r="G50" s="109" t="s">
        <v>879</v>
      </c>
      <c r="H50" s="239">
        <f t="shared" si="3"/>
        <v>1509</v>
      </c>
      <c r="I50" s="239">
        <f>ROUND(C50/1000,0)</f>
        <v>654</v>
      </c>
      <c r="J50" s="241">
        <f>J51</f>
        <v>654</v>
      </c>
      <c r="K50" s="235">
        <f t="shared" si="1"/>
        <v>43.33996023856859</v>
      </c>
      <c r="L50" s="236">
        <f>J50-'[6]Februāris'!J50</f>
        <v>226</v>
      </c>
    </row>
    <row r="51" spans="1:12" ht="12.75" customHeight="1">
      <c r="A51" s="101" t="s">
        <v>68</v>
      </c>
      <c r="B51" s="239">
        <v>1508663</v>
      </c>
      <c r="C51" s="241"/>
      <c r="D51" s="241">
        <f>'[5]Marts'!$N$6</f>
        <v>653500</v>
      </c>
      <c r="E51" s="240">
        <f t="shared" si="0"/>
        <v>43.31649944354704</v>
      </c>
      <c r="F51" s="236">
        <f>D51-'[6]Februāris'!D51</f>
        <v>225500</v>
      </c>
      <c r="G51" s="101" t="s">
        <v>68</v>
      </c>
      <c r="H51" s="239">
        <f t="shared" si="3"/>
        <v>1509</v>
      </c>
      <c r="I51" s="239"/>
      <c r="J51" s="241">
        <f>ROUND(D51/1000,0)</f>
        <v>654</v>
      </c>
      <c r="K51" s="235">
        <f t="shared" si="1"/>
        <v>43.33996023856859</v>
      </c>
      <c r="L51" s="236">
        <f>J51-'[6]Februāris'!J51</f>
        <v>226</v>
      </c>
    </row>
    <row r="52" spans="1:12" ht="12.75" customHeight="1">
      <c r="A52" s="109" t="s">
        <v>50</v>
      </c>
      <c r="B52" s="236">
        <f>SUM(B53+B55)</f>
        <v>1508663</v>
      </c>
      <c r="C52" s="236">
        <f>SUM(C53+C55)</f>
        <v>653500</v>
      </c>
      <c r="D52" s="236">
        <f>SUM(D53+D55)</f>
        <v>648607</v>
      </c>
      <c r="E52" s="240">
        <f t="shared" si="0"/>
        <v>42.99217253952672</v>
      </c>
      <c r="F52" s="236">
        <f>D52-'[6]Februāris'!D52</f>
        <v>229049</v>
      </c>
      <c r="G52" s="109" t="s">
        <v>50</v>
      </c>
      <c r="H52" s="239">
        <f t="shared" si="3"/>
        <v>1509</v>
      </c>
      <c r="I52" s="239">
        <f>SUM(I53,I55)</f>
        <v>654</v>
      </c>
      <c r="J52" s="241">
        <f>J53+J55</f>
        <v>649</v>
      </c>
      <c r="K52" s="235">
        <f t="shared" si="1"/>
        <v>43.00861497680583</v>
      </c>
      <c r="L52" s="236">
        <f>J52-'[6]Februāris'!J52</f>
        <v>229</v>
      </c>
    </row>
    <row r="53" spans="1:12" ht="12.75" customHeight="1">
      <c r="A53" s="109" t="s">
        <v>69</v>
      </c>
      <c r="B53" s="239">
        <v>1333663</v>
      </c>
      <c r="C53" s="241">
        <v>545500</v>
      </c>
      <c r="D53" s="241">
        <f>'[5]Marts'!$N$8</f>
        <v>540642</v>
      </c>
      <c r="E53" s="240">
        <f t="shared" si="0"/>
        <v>40.53812694811208</v>
      </c>
      <c r="F53" s="236">
        <f>D53-'[6]Februāris'!D53</f>
        <v>171084</v>
      </c>
      <c r="G53" s="109" t="s">
        <v>69</v>
      </c>
      <c r="H53" s="239">
        <f t="shared" si="3"/>
        <v>1334</v>
      </c>
      <c r="I53" s="239">
        <f>ROUND(C53/1000,0)</f>
        <v>546</v>
      </c>
      <c r="J53" s="241">
        <f>ROUND(D53/1000,0)</f>
        <v>541</v>
      </c>
      <c r="K53" s="235">
        <f t="shared" si="1"/>
        <v>40.55472263868066</v>
      </c>
      <c r="L53" s="236">
        <f>J53-'[6]Februāris'!J53</f>
        <v>171</v>
      </c>
    </row>
    <row r="54" spans="1:12" ht="12.75" customHeight="1">
      <c r="A54" s="194" t="s">
        <v>70</v>
      </c>
      <c r="B54" s="239">
        <v>300000</v>
      </c>
      <c r="C54" s="241"/>
      <c r="D54" s="241">
        <f>'[5]Marts'!$N$15</f>
        <v>200000</v>
      </c>
      <c r="E54" s="240">
        <f t="shared" si="0"/>
        <v>66.66666666666666</v>
      </c>
      <c r="F54" s="236">
        <f>D54-'[6]Februāris'!D54</f>
        <v>0</v>
      </c>
      <c r="G54" s="194" t="s">
        <v>70</v>
      </c>
      <c r="H54" s="239">
        <f t="shared" si="3"/>
        <v>300</v>
      </c>
      <c r="I54" s="239"/>
      <c r="J54" s="241">
        <f>ROUND(D54/1000,0)</f>
        <v>200</v>
      </c>
      <c r="K54" s="235">
        <f t="shared" si="1"/>
        <v>66.66666666666666</v>
      </c>
      <c r="L54" s="236"/>
    </row>
    <row r="55" spans="1:12" ht="12.75" customHeight="1">
      <c r="A55" s="109" t="s">
        <v>71</v>
      </c>
      <c r="B55" s="239">
        <v>175000</v>
      </c>
      <c r="C55" s="241">
        <v>108000</v>
      </c>
      <c r="D55" s="241">
        <f>'[5]Marts'!$N$30</f>
        <v>107965</v>
      </c>
      <c r="E55" s="240">
        <f t="shared" si="0"/>
        <v>61.69428571428571</v>
      </c>
      <c r="F55" s="236">
        <f>D55-'[6]Februāris'!D55</f>
        <v>57965</v>
      </c>
      <c r="G55" s="109" t="s">
        <v>71</v>
      </c>
      <c r="H55" s="239">
        <f t="shared" si="3"/>
        <v>175</v>
      </c>
      <c r="I55" s="239">
        <f>ROUND(C55/1000,0)</f>
        <v>108</v>
      </c>
      <c r="J55" s="241">
        <f>ROUND(D55/1000,0)</f>
        <v>108</v>
      </c>
      <c r="K55" s="235">
        <f t="shared" si="1"/>
        <v>61.71428571428571</v>
      </c>
      <c r="L55" s="236">
        <f>J55-'[6]Februāris'!J55</f>
        <v>58</v>
      </c>
    </row>
    <row r="56" spans="1:12" ht="12.75" customHeight="1">
      <c r="A56" s="96" t="s">
        <v>72</v>
      </c>
      <c r="B56" s="236"/>
      <c r="C56" s="236"/>
      <c r="D56" s="236"/>
      <c r="E56" s="240"/>
      <c r="F56" s="236"/>
      <c r="G56" s="96" t="s">
        <v>72</v>
      </c>
      <c r="H56" s="239"/>
      <c r="I56" s="239"/>
      <c r="J56" s="241"/>
      <c r="K56" s="235"/>
      <c r="L56" s="236"/>
    </row>
    <row r="57" spans="1:12" ht="12.75" customHeight="1">
      <c r="A57" s="109" t="s">
        <v>879</v>
      </c>
      <c r="B57" s="236">
        <f>B58</f>
        <v>1181502</v>
      </c>
      <c r="C57" s="242">
        <v>304352</v>
      </c>
      <c r="D57" s="236">
        <f>D58+D59</f>
        <v>304352</v>
      </c>
      <c r="E57" s="240">
        <f t="shared" si="0"/>
        <v>25.759753263219192</v>
      </c>
      <c r="F57" s="236">
        <f>D57-'[6]Februāris'!D57</f>
        <v>8631</v>
      </c>
      <c r="G57" s="109" t="s">
        <v>879</v>
      </c>
      <c r="H57" s="239">
        <f t="shared" si="3"/>
        <v>1182</v>
      </c>
      <c r="I57" s="239">
        <f>ROUND(C57/1000,0)</f>
        <v>304</v>
      </c>
      <c r="J57" s="241">
        <f>J58</f>
        <v>304</v>
      </c>
      <c r="K57" s="235">
        <f t="shared" si="1"/>
        <v>25.719120135363788</v>
      </c>
      <c r="L57" s="236">
        <f>L58</f>
        <v>8</v>
      </c>
    </row>
    <row r="58" spans="1:12" ht="12.75" customHeight="1">
      <c r="A58" s="101" t="s">
        <v>68</v>
      </c>
      <c r="B58" s="239">
        <v>1181502</v>
      </c>
      <c r="C58" s="241"/>
      <c r="D58" s="241">
        <f>21869+2160+280323</f>
        <v>304352</v>
      </c>
      <c r="E58" s="240">
        <f t="shared" si="0"/>
        <v>25.759753263219192</v>
      </c>
      <c r="F58" s="236">
        <f>D58-'[6]Februāris'!D58</f>
        <v>8851</v>
      </c>
      <c r="G58" s="101" t="s">
        <v>68</v>
      </c>
      <c r="H58" s="239">
        <f t="shared" si="3"/>
        <v>1182</v>
      </c>
      <c r="I58" s="239"/>
      <c r="J58" s="241">
        <f>ROUND(D58/1000,0)</f>
        <v>304</v>
      </c>
      <c r="K58" s="235">
        <f t="shared" si="1"/>
        <v>25.719120135363788</v>
      </c>
      <c r="L58" s="236">
        <f>J58-'[6]Februāris'!J58</f>
        <v>8</v>
      </c>
    </row>
    <row r="59" spans="1:12" ht="12.75" customHeight="1">
      <c r="A59" s="101" t="s">
        <v>73</v>
      </c>
      <c r="B59" s="239"/>
      <c r="C59" s="241"/>
      <c r="D59" s="241"/>
      <c r="E59" s="240"/>
      <c r="F59" s="236"/>
      <c r="G59" s="101" t="s">
        <v>74</v>
      </c>
      <c r="H59" s="239"/>
      <c r="I59" s="239"/>
      <c r="J59" s="241">
        <f>ROUND(D59/1000,0)</f>
        <v>0</v>
      </c>
      <c r="K59" s="235"/>
      <c r="L59" s="236"/>
    </row>
    <row r="60" spans="1:12" ht="12.75" customHeight="1">
      <c r="A60" s="109" t="s">
        <v>50</v>
      </c>
      <c r="B60" s="236">
        <f>B61+B63</f>
        <v>1238299</v>
      </c>
      <c r="C60" s="236">
        <f>C61+C63</f>
        <v>327415</v>
      </c>
      <c r="D60" s="236">
        <f>D61+D63</f>
        <v>275950</v>
      </c>
      <c r="E60" s="240">
        <f t="shared" si="0"/>
        <v>22.28460169958952</v>
      </c>
      <c r="F60" s="236">
        <f>D60-'[6]Februāris'!D60</f>
        <v>21446</v>
      </c>
      <c r="G60" s="109" t="s">
        <v>50</v>
      </c>
      <c r="H60" s="239">
        <f t="shared" si="3"/>
        <v>1238</v>
      </c>
      <c r="I60" s="239">
        <f>SUM(I61,I63)</f>
        <v>327</v>
      </c>
      <c r="J60" s="241">
        <f>J61+J63</f>
        <v>276</v>
      </c>
      <c r="K60" s="235">
        <f t="shared" si="1"/>
        <v>22.294022617124394</v>
      </c>
      <c r="L60" s="236">
        <f>J60-'[6]Februāris'!J60</f>
        <v>21</v>
      </c>
    </row>
    <row r="61" spans="1:12" ht="12.75" customHeight="1">
      <c r="A61" s="109" t="s">
        <v>69</v>
      </c>
      <c r="B61" s="239">
        <v>1235299</v>
      </c>
      <c r="C61" s="241">
        <v>326715</v>
      </c>
      <c r="D61" s="241">
        <f>'[5]Marts'!$O$8</f>
        <v>275950</v>
      </c>
      <c r="E61" s="240">
        <f t="shared" si="0"/>
        <v>22.338721232673223</v>
      </c>
      <c r="F61" s="236">
        <f>D61-'[6]Februāris'!D61</f>
        <v>21446</v>
      </c>
      <c r="G61" s="109" t="s">
        <v>69</v>
      </c>
      <c r="H61" s="239">
        <f t="shared" si="3"/>
        <v>1235</v>
      </c>
      <c r="I61" s="239">
        <f>ROUND(C61/1000,0)</f>
        <v>327</v>
      </c>
      <c r="J61" s="241">
        <f>ROUND(D61/1000,0)</f>
        <v>276</v>
      </c>
      <c r="K61" s="235">
        <f t="shared" si="1"/>
        <v>22.34817813765182</v>
      </c>
      <c r="L61" s="236">
        <f>J61-'[6]Februāris'!J61</f>
        <v>21</v>
      </c>
    </row>
    <row r="62" spans="1:12" ht="12.75" customHeight="1">
      <c r="A62" s="194" t="s">
        <v>70</v>
      </c>
      <c r="B62" s="239">
        <f>115807+13080</f>
        <v>128887</v>
      </c>
      <c r="C62" s="241"/>
      <c r="D62" s="241">
        <v>8761</v>
      </c>
      <c r="E62" s="240">
        <f t="shared" si="0"/>
        <v>6.797427203674538</v>
      </c>
      <c r="F62" s="236">
        <f>D62-'[6]Februāris'!D62</f>
        <v>2161</v>
      </c>
      <c r="G62" s="194" t="s">
        <v>70</v>
      </c>
      <c r="H62" s="239">
        <f t="shared" si="3"/>
        <v>129</v>
      </c>
      <c r="I62" s="239"/>
      <c r="J62" s="241">
        <f>ROUND(D62/1000,0)</f>
        <v>9</v>
      </c>
      <c r="K62" s="235">
        <f t="shared" si="1"/>
        <v>6.976744186046512</v>
      </c>
      <c r="L62" s="236">
        <f>J62-'[6]Februāris'!J62</f>
        <v>2</v>
      </c>
    </row>
    <row r="63" spans="1:12" ht="12.75" customHeight="1">
      <c r="A63" s="109" t="s">
        <v>71</v>
      </c>
      <c r="B63" s="239">
        <v>3000</v>
      </c>
      <c r="C63" s="241">
        <v>700</v>
      </c>
      <c r="D63" s="241"/>
      <c r="E63" s="240"/>
      <c r="F63" s="236">
        <f>D63-'[6]Februāris'!D63</f>
        <v>0</v>
      </c>
      <c r="G63" s="109" t="s">
        <v>71</v>
      </c>
      <c r="H63" s="239">
        <f t="shared" si="3"/>
        <v>3</v>
      </c>
      <c r="I63" s="239"/>
      <c r="J63" s="241"/>
      <c r="K63" s="235"/>
      <c r="L63" s="236"/>
    </row>
    <row r="64" spans="1:12" ht="12.75" customHeight="1">
      <c r="A64" s="109" t="s">
        <v>45</v>
      </c>
      <c r="B64" s="239">
        <v>6699203</v>
      </c>
      <c r="C64" s="241">
        <f>538100+848100-18034-1434</f>
        <v>1366732</v>
      </c>
      <c r="D64" s="241">
        <f>'[5]Marts'!$O$33</f>
        <v>1973327</v>
      </c>
      <c r="E64" s="240">
        <f t="shared" si="0"/>
        <v>29.456145753457534</v>
      </c>
      <c r="F64" s="236">
        <f>D64-'[6]Februāris'!D64</f>
        <v>848792</v>
      </c>
      <c r="G64" s="109" t="s">
        <v>45</v>
      </c>
      <c r="H64" s="239">
        <f t="shared" si="3"/>
        <v>6699</v>
      </c>
      <c r="I64" s="239">
        <f>ROUND(C64/1000,0)</f>
        <v>1367</v>
      </c>
      <c r="J64" s="241">
        <f>ROUND(D64/1000,0)</f>
        <v>1973</v>
      </c>
      <c r="K64" s="235">
        <f t="shared" si="1"/>
        <v>29.452157038363936</v>
      </c>
      <c r="L64" s="112">
        <f>J64-'[6]Februāris'!J64</f>
        <v>848</v>
      </c>
    </row>
    <row r="65" spans="1:12" ht="12.75" customHeight="1">
      <c r="A65" s="109" t="s">
        <v>46</v>
      </c>
      <c r="B65" s="239">
        <f>B57-B60-B64</f>
        <v>-6756000</v>
      </c>
      <c r="C65" s="241">
        <f>C57-C60</f>
        <v>-23063</v>
      </c>
      <c r="D65" s="239">
        <f>D57-D60-D64</f>
        <v>-1944925</v>
      </c>
      <c r="E65" s="240">
        <f t="shared" si="0"/>
        <v>28.788114268798104</v>
      </c>
      <c r="F65" s="236">
        <f>D65-'[6]Februāris'!D65</f>
        <v>-861607</v>
      </c>
      <c r="G65" s="109" t="s">
        <v>46</v>
      </c>
      <c r="H65" s="239">
        <f t="shared" si="3"/>
        <v>-6756</v>
      </c>
      <c r="I65" s="239"/>
      <c r="J65" s="241">
        <f>J57-J60-J64</f>
        <v>-1945</v>
      </c>
      <c r="K65" s="235"/>
      <c r="L65" s="236">
        <f>J65-'[6]Februāris'!J65</f>
        <v>-861</v>
      </c>
    </row>
    <row r="66" spans="1:12" ht="12.75" customHeight="1">
      <c r="A66" s="109" t="s">
        <v>75</v>
      </c>
      <c r="B66" s="239">
        <v>6756000</v>
      </c>
      <c r="C66" s="241">
        <f>538100+848100+1058100</f>
        <v>2444300</v>
      </c>
      <c r="D66" s="241">
        <v>2043155</v>
      </c>
      <c r="E66" s="240">
        <f t="shared" si="0"/>
        <v>30.24208111308467</v>
      </c>
      <c r="F66" s="236">
        <f>D66-'[6]Februāris'!D66</f>
        <v>908087</v>
      </c>
      <c r="G66" s="109" t="s">
        <v>75</v>
      </c>
      <c r="H66" s="239">
        <f t="shared" si="3"/>
        <v>6756</v>
      </c>
      <c r="I66" s="239">
        <f>ROUND(C66/1000,0)</f>
        <v>2444</v>
      </c>
      <c r="J66" s="241">
        <f>ROUND(D66/1000,0)</f>
        <v>2043</v>
      </c>
      <c r="K66" s="235">
        <f t="shared" si="1"/>
        <v>30.239786856127886</v>
      </c>
      <c r="L66" s="236">
        <f>J66-'[6]Februāris'!J66</f>
        <v>908</v>
      </c>
    </row>
    <row r="67" spans="1:12" ht="12.75" customHeight="1">
      <c r="A67" s="117" t="s">
        <v>771</v>
      </c>
      <c r="B67" s="236"/>
      <c r="C67" s="236"/>
      <c r="D67" s="236"/>
      <c r="E67" s="240"/>
      <c r="F67" s="236">
        <f>D67-'[6]Februāris'!D67</f>
        <v>0</v>
      </c>
      <c r="G67" s="117" t="s">
        <v>771</v>
      </c>
      <c r="H67" s="239"/>
      <c r="I67" s="239"/>
      <c r="J67" s="241"/>
      <c r="K67" s="235"/>
      <c r="L67" s="236"/>
    </row>
    <row r="68" spans="1:12" ht="12.75" customHeight="1">
      <c r="A68" s="142" t="s">
        <v>76</v>
      </c>
      <c r="B68" s="236"/>
      <c r="C68" s="236"/>
      <c r="D68" s="236"/>
      <c r="E68" s="240"/>
      <c r="F68" s="236">
        <f>D68-'[6]Februāris'!D68</f>
        <v>0</v>
      </c>
      <c r="G68" s="142" t="s">
        <v>76</v>
      </c>
      <c r="H68" s="239"/>
      <c r="I68" s="239"/>
      <c r="J68" s="241"/>
      <c r="K68" s="235"/>
      <c r="L68" s="236"/>
    </row>
    <row r="69" spans="1:12" ht="12.75" customHeight="1">
      <c r="A69" s="109" t="s">
        <v>879</v>
      </c>
      <c r="B69" s="236">
        <f>SUM(B70:B71)</f>
        <v>500000</v>
      </c>
      <c r="C69" s="242">
        <v>150000</v>
      </c>
      <c r="D69" s="236">
        <f>SUM(D70:D71)</f>
        <v>214530</v>
      </c>
      <c r="E69" s="240">
        <f t="shared" si="0"/>
        <v>42.906</v>
      </c>
      <c r="F69" s="236">
        <f>D69-'[6]Februāris'!D69</f>
        <v>46204</v>
      </c>
      <c r="G69" s="109" t="s">
        <v>879</v>
      </c>
      <c r="H69" s="239">
        <f t="shared" si="3"/>
        <v>500</v>
      </c>
      <c r="I69" s="239">
        <f>ROUND(C69/1000,0)</f>
        <v>150</v>
      </c>
      <c r="J69" s="241">
        <f>SUM(J70:J71)</f>
        <v>214</v>
      </c>
      <c r="K69" s="235">
        <f t="shared" si="1"/>
        <v>42.8</v>
      </c>
      <c r="L69" s="236">
        <f>J69-'[6]Februāris'!J69</f>
        <v>46</v>
      </c>
    </row>
    <row r="70" spans="1:12" ht="12.75" customHeight="1">
      <c r="A70" s="101" t="s">
        <v>77</v>
      </c>
      <c r="B70" s="239">
        <v>300000</v>
      </c>
      <c r="C70" s="241"/>
      <c r="D70" s="241">
        <v>98161</v>
      </c>
      <c r="E70" s="240">
        <f t="shared" si="0"/>
        <v>32.720333333333336</v>
      </c>
      <c r="F70" s="236">
        <f>D70-'[6]Februāris'!D70</f>
        <v>38962</v>
      </c>
      <c r="G70" s="101" t="s">
        <v>77</v>
      </c>
      <c r="H70" s="239">
        <f t="shared" si="3"/>
        <v>300</v>
      </c>
      <c r="I70" s="239"/>
      <c r="J70" s="241">
        <f>ROUND(D70/1000,0)</f>
        <v>98</v>
      </c>
      <c r="K70" s="235">
        <f t="shared" si="1"/>
        <v>32.666666666666664</v>
      </c>
      <c r="L70" s="236">
        <f>J70-'[6]Februāris'!J70</f>
        <v>39</v>
      </c>
    </row>
    <row r="71" spans="1:12" ht="12.75" customHeight="1">
      <c r="A71" s="101" t="s">
        <v>78</v>
      </c>
      <c r="B71" s="239">
        <v>200000</v>
      </c>
      <c r="C71" s="241"/>
      <c r="D71" s="241">
        <f>6168+109127+1073+1</f>
        <v>116369</v>
      </c>
      <c r="E71" s="240">
        <f t="shared" si="0"/>
        <v>58.18449999999999</v>
      </c>
      <c r="F71" s="236">
        <f>D71-'[6]Februāris'!D71</f>
        <v>7242</v>
      </c>
      <c r="G71" s="101" t="s">
        <v>78</v>
      </c>
      <c r="H71" s="239">
        <f t="shared" si="3"/>
        <v>200</v>
      </c>
      <c r="I71" s="239"/>
      <c r="J71" s="241">
        <f>ROUND(D71/1000,0)</f>
        <v>116</v>
      </c>
      <c r="K71" s="235">
        <f t="shared" si="1"/>
        <v>57.99999999999999</v>
      </c>
      <c r="L71" s="236">
        <f>J71-'[6]Februāris'!J71</f>
        <v>7</v>
      </c>
    </row>
    <row r="72" spans="1:12" ht="12.75" customHeight="1">
      <c r="A72" s="109" t="s">
        <v>50</v>
      </c>
      <c r="B72" s="236">
        <f>SUM(B73:B74)</f>
        <v>500000</v>
      </c>
      <c r="C72" s="236">
        <f>SUM(C73:C74)</f>
        <v>150000</v>
      </c>
      <c r="D72" s="236">
        <f>SUM(D73:D74)</f>
        <v>65030</v>
      </c>
      <c r="E72" s="240">
        <f t="shared" si="0"/>
        <v>13.006</v>
      </c>
      <c r="F72" s="236">
        <f>D72-'[6]Februāris'!D72</f>
        <v>31381</v>
      </c>
      <c r="G72" s="109" t="s">
        <v>50</v>
      </c>
      <c r="H72" s="239">
        <f t="shared" si="3"/>
        <v>500</v>
      </c>
      <c r="I72" s="239">
        <f>SUM(I73:I74)</f>
        <v>150</v>
      </c>
      <c r="J72" s="241">
        <f>SUM(J73:J74)</f>
        <v>65</v>
      </c>
      <c r="K72" s="235">
        <f t="shared" si="1"/>
        <v>13</v>
      </c>
      <c r="L72" s="236">
        <f>J72-'[6]Februāris'!J72</f>
        <v>31</v>
      </c>
    </row>
    <row r="73" spans="1:12" ht="12.75" customHeight="1">
      <c r="A73" s="109" t="s">
        <v>51</v>
      </c>
      <c r="B73" s="239">
        <v>413000</v>
      </c>
      <c r="C73" s="241">
        <v>144000</v>
      </c>
      <c r="D73" s="241">
        <f>'[5]Marts'!$L$8</f>
        <v>59301</v>
      </c>
      <c r="E73" s="240">
        <f t="shared" si="0"/>
        <v>14.358595641646488</v>
      </c>
      <c r="F73" s="236">
        <f>D73-'[6]Februāris'!D73</f>
        <v>25652</v>
      </c>
      <c r="G73" s="109" t="s">
        <v>51</v>
      </c>
      <c r="H73" s="239">
        <f t="shared" si="3"/>
        <v>413</v>
      </c>
      <c r="I73" s="239">
        <f>ROUND(C73/1000,0)</f>
        <v>144</v>
      </c>
      <c r="J73" s="241">
        <f>ROUND(D73/1000,0)</f>
        <v>59</v>
      </c>
      <c r="K73" s="235">
        <f t="shared" si="1"/>
        <v>14.285714285714285</v>
      </c>
      <c r="L73" s="236">
        <f>J73-'[6]Februāris'!J73</f>
        <v>25</v>
      </c>
    </row>
    <row r="74" spans="1:12" ht="12.75" customHeight="1">
      <c r="A74" s="109" t="s">
        <v>44</v>
      </c>
      <c r="B74" s="239">
        <v>87000</v>
      </c>
      <c r="C74" s="241">
        <v>6000</v>
      </c>
      <c r="D74" s="241">
        <f>'[5]Marts'!$L$30</f>
        <v>5729</v>
      </c>
      <c r="E74" s="240"/>
      <c r="F74" s="236">
        <f>D74-'[6]Februāris'!D74</f>
        <v>5729</v>
      </c>
      <c r="G74" s="109" t="s">
        <v>44</v>
      </c>
      <c r="H74" s="239">
        <f t="shared" si="3"/>
        <v>87</v>
      </c>
      <c r="I74" s="239">
        <f>ROUND(C74/1000,0)</f>
        <v>6</v>
      </c>
      <c r="J74" s="241">
        <f>ROUND(D74/1000,0)</f>
        <v>6</v>
      </c>
      <c r="K74" s="235">
        <f t="shared" si="1"/>
        <v>6.896551724137931</v>
      </c>
      <c r="L74" s="236">
        <f>J74-'[6]Februāris'!J74</f>
        <v>6</v>
      </c>
    </row>
    <row r="75" spans="1:12" ht="12.75" customHeight="1">
      <c r="A75" s="118" t="s">
        <v>772</v>
      </c>
      <c r="B75" s="239"/>
      <c r="C75" s="239"/>
      <c r="D75" s="239"/>
      <c r="E75" s="240"/>
      <c r="F75" s="236">
        <f>D75-'[6]Februāris'!D75</f>
        <v>0</v>
      </c>
      <c r="G75" s="118" t="s">
        <v>772</v>
      </c>
      <c r="H75" s="239"/>
      <c r="I75" s="239"/>
      <c r="J75" s="241"/>
      <c r="K75" s="235"/>
      <c r="L75" s="236"/>
    </row>
    <row r="76" spans="1:12" ht="12.75" customHeight="1">
      <c r="A76" s="142" t="s">
        <v>79</v>
      </c>
      <c r="B76" s="236"/>
      <c r="C76" s="236"/>
      <c r="D76" s="236"/>
      <c r="E76" s="240"/>
      <c r="F76" s="236">
        <f>D76-'[6]Februāris'!D76</f>
        <v>0</v>
      </c>
      <c r="G76" s="142" t="s">
        <v>79</v>
      </c>
      <c r="H76" s="239"/>
      <c r="I76" s="239"/>
      <c r="J76" s="241"/>
      <c r="K76" s="235"/>
      <c r="L76" s="236"/>
    </row>
    <row r="77" spans="1:12" ht="12.75" customHeight="1">
      <c r="A77" s="109" t="s">
        <v>879</v>
      </c>
      <c r="B77" s="236">
        <f>SUM(B78:B81)</f>
        <v>59956437</v>
      </c>
      <c r="C77" s="242">
        <v>14101548</v>
      </c>
      <c r="D77" s="236">
        <f>SUM(D78:D81)</f>
        <v>11882413</v>
      </c>
      <c r="E77" s="240">
        <f aca="true" t="shared" si="5" ref="E77:E140">D77/B77*100</f>
        <v>19.81841082384532</v>
      </c>
      <c r="F77" s="236">
        <f>D77-'[6]Februāris'!D77</f>
        <v>3635072</v>
      </c>
      <c r="G77" s="109" t="s">
        <v>879</v>
      </c>
      <c r="H77" s="239">
        <f t="shared" si="3"/>
        <v>59956</v>
      </c>
      <c r="I77" s="239">
        <f>ROUND(C77/1000,0)</f>
        <v>14102</v>
      </c>
      <c r="J77" s="241">
        <f>SUM(J78:J81)</f>
        <v>11882</v>
      </c>
      <c r="K77" s="235">
        <f aca="true" t="shared" si="6" ref="K77:K139">J77/H77*100</f>
        <v>19.81786643538595</v>
      </c>
      <c r="L77" s="236">
        <f>J77-'[6]Februāris'!J77</f>
        <v>3635</v>
      </c>
    </row>
    <row r="78" spans="1:12" ht="12.75" customHeight="1">
      <c r="A78" s="109" t="s">
        <v>80</v>
      </c>
      <c r="B78" s="239">
        <v>8300000</v>
      </c>
      <c r="C78" s="241"/>
      <c r="D78" s="241">
        <v>2293151</v>
      </c>
      <c r="E78" s="240">
        <f>D78/B78*100</f>
        <v>27.62832530120482</v>
      </c>
      <c r="F78" s="236">
        <f>D78-'[6]Februāris'!D78</f>
        <v>804521</v>
      </c>
      <c r="G78" s="109" t="s">
        <v>80</v>
      </c>
      <c r="H78" s="239">
        <f t="shared" si="3"/>
        <v>8300</v>
      </c>
      <c r="I78" s="239"/>
      <c r="J78" s="241">
        <f>ROUND(D78/1000,0)</f>
        <v>2293</v>
      </c>
      <c r="K78" s="235">
        <f t="shared" si="6"/>
        <v>27.626506024096386</v>
      </c>
      <c r="L78" s="236">
        <f>J78-'[6]Februāris'!J78</f>
        <v>804</v>
      </c>
    </row>
    <row r="79" spans="1:12" ht="12.75" customHeight="1">
      <c r="A79" s="109" t="s">
        <v>81</v>
      </c>
      <c r="B79" s="239">
        <v>49067000</v>
      </c>
      <c r="C79" s="241"/>
      <c r="D79" s="241">
        <v>9006605</v>
      </c>
      <c r="E79" s="240">
        <f t="shared" si="5"/>
        <v>18.35572788228341</v>
      </c>
      <c r="F79" s="236">
        <f>D79-'[6]Februāris'!D79</f>
        <v>2768736</v>
      </c>
      <c r="G79" s="109" t="s">
        <v>81</v>
      </c>
      <c r="H79" s="239">
        <f t="shared" si="3"/>
        <v>49067</v>
      </c>
      <c r="I79" s="239"/>
      <c r="J79" s="241">
        <f>ROUND(D79/1000,0)</f>
        <v>9007</v>
      </c>
      <c r="K79" s="235">
        <f t="shared" si="6"/>
        <v>18.356532903988423</v>
      </c>
      <c r="L79" s="236">
        <f>J79-'[6]Februāris'!J79</f>
        <v>2769</v>
      </c>
    </row>
    <row r="80" spans="1:12" ht="12.75" customHeight="1">
      <c r="A80" s="247" t="s">
        <v>82</v>
      </c>
      <c r="B80" s="239">
        <v>50000</v>
      </c>
      <c r="C80" s="241"/>
      <c r="D80" s="241">
        <f>6366+1</f>
        <v>6367</v>
      </c>
      <c r="E80" s="240">
        <f>D80/B80*100</f>
        <v>12.734000000000002</v>
      </c>
      <c r="F80" s="236">
        <f>D80-'[6]Februāris'!D80</f>
        <v>5365</v>
      </c>
      <c r="G80" s="248" t="s">
        <v>82</v>
      </c>
      <c r="H80" s="239">
        <f t="shared" si="3"/>
        <v>50</v>
      </c>
      <c r="I80" s="239"/>
      <c r="J80" s="241">
        <f>ROUND(D80/1000,0)</f>
        <v>6</v>
      </c>
      <c r="K80" s="235"/>
      <c r="L80" s="236">
        <f>J80-'[6]Februāris'!J80</f>
        <v>6</v>
      </c>
    </row>
    <row r="81" spans="1:12" ht="12.75" customHeight="1">
      <c r="A81" s="109" t="s">
        <v>83</v>
      </c>
      <c r="B81" s="239">
        <v>2539437</v>
      </c>
      <c r="C81" s="241"/>
      <c r="D81" s="241">
        <v>576290</v>
      </c>
      <c r="E81" s="240">
        <f t="shared" si="5"/>
        <v>22.693612796852218</v>
      </c>
      <c r="F81" s="236">
        <f>D81-'[6]Februāris'!D81</f>
        <v>56450</v>
      </c>
      <c r="G81" s="109" t="s">
        <v>83</v>
      </c>
      <c r="H81" s="239">
        <f t="shared" si="3"/>
        <v>2539</v>
      </c>
      <c r="I81" s="239"/>
      <c r="J81" s="241">
        <f>ROUND(D81/1000,0)</f>
        <v>576</v>
      </c>
      <c r="K81" s="235">
        <f t="shared" si="6"/>
        <v>22.686096888538795</v>
      </c>
      <c r="L81" s="236">
        <f>J81-'[6]Februāris'!J81</f>
        <v>56</v>
      </c>
    </row>
    <row r="82" spans="1:12" ht="12.75" customHeight="1">
      <c r="A82" s="109" t="s">
        <v>50</v>
      </c>
      <c r="B82" s="236">
        <f>B83+B85</f>
        <v>69956437</v>
      </c>
      <c r="C82" s="236">
        <f>C83+C85</f>
        <v>17870615</v>
      </c>
      <c r="D82" s="236">
        <f>D83+D85</f>
        <v>15386448</v>
      </c>
      <c r="E82" s="240">
        <f t="shared" si="5"/>
        <v>21.99432769853616</v>
      </c>
      <c r="F82" s="236">
        <f>D82-'[6]Februāris'!D82</f>
        <v>3790819</v>
      </c>
      <c r="G82" s="109" t="s">
        <v>50</v>
      </c>
      <c r="H82" s="239">
        <f>ROUND(B82/1000,0)-1</f>
        <v>69955</v>
      </c>
      <c r="I82" s="239">
        <f>SUM(I83,I85)</f>
        <v>17871</v>
      </c>
      <c r="J82" s="241">
        <f>J83+J85</f>
        <v>15386</v>
      </c>
      <c r="K82" s="235">
        <f t="shared" si="6"/>
        <v>21.994139089414624</v>
      </c>
      <c r="L82" s="236">
        <f>J82-'[6]Februāris'!J82</f>
        <v>3790</v>
      </c>
    </row>
    <row r="83" spans="1:12" ht="13.5" customHeight="1">
      <c r="A83" s="109" t="s">
        <v>51</v>
      </c>
      <c r="B83" s="239">
        <v>48836071</v>
      </c>
      <c r="C83" s="241">
        <v>13228548</v>
      </c>
      <c r="D83" s="241">
        <f>'[5]Marts'!$I$8</f>
        <v>11616097</v>
      </c>
      <c r="E83" s="240">
        <f t="shared" si="5"/>
        <v>23.78589588011697</v>
      </c>
      <c r="F83" s="236">
        <f>D83-'[6]Februāris'!D83</f>
        <v>3570114</v>
      </c>
      <c r="G83" s="109" t="s">
        <v>51</v>
      </c>
      <c r="H83" s="239">
        <f t="shared" si="3"/>
        <v>48836</v>
      </c>
      <c r="I83" s="239">
        <f>ROUND(C83/1000,0)</f>
        <v>13229</v>
      </c>
      <c r="J83" s="241">
        <f>ROUND(D83/1000,0)</f>
        <v>11616</v>
      </c>
      <c r="K83" s="235">
        <f t="shared" si="6"/>
        <v>23.7857318371693</v>
      </c>
      <c r="L83" s="236">
        <f>J83-'[6]Februāris'!J83</f>
        <v>3570</v>
      </c>
    </row>
    <row r="84" spans="1:12" ht="12.75" customHeight="1">
      <c r="A84" s="194" t="s">
        <v>84</v>
      </c>
      <c r="B84" s="239">
        <v>3724139</v>
      </c>
      <c r="C84" s="241"/>
      <c r="D84" s="241">
        <f>'[5]Marts'!$I$15</f>
        <v>592296</v>
      </c>
      <c r="E84" s="240"/>
      <c r="F84" s="236">
        <f>D84-'[6]Februāris'!D84</f>
        <v>89977</v>
      </c>
      <c r="G84" s="194" t="s">
        <v>84</v>
      </c>
      <c r="H84" s="239">
        <f t="shared" si="3"/>
        <v>3724</v>
      </c>
      <c r="I84" s="245"/>
      <c r="J84" s="241">
        <f>ROUND(D84/1000,0)</f>
        <v>592</v>
      </c>
      <c r="K84" s="235">
        <f t="shared" si="6"/>
        <v>15.896885069817401</v>
      </c>
      <c r="L84" s="236">
        <f>J84-'[6]Februāris'!J84</f>
        <v>90</v>
      </c>
    </row>
    <row r="85" spans="1:12" ht="12.75" customHeight="1">
      <c r="A85" s="109" t="s">
        <v>44</v>
      </c>
      <c r="B85" s="239">
        <v>21120366</v>
      </c>
      <c r="C85" s="241">
        <v>4642067</v>
      </c>
      <c r="D85" s="241">
        <f>'[5]Marts'!$I$30</f>
        <v>3770351</v>
      </c>
      <c r="E85" s="240">
        <f t="shared" si="5"/>
        <v>17.85173135730697</v>
      </c>
      <c r="F85" s="236">
        <f>D85-'[6]Februāris'!D85</f>
        <v>220705</v>
      </c>
      <c r="G85" s="109" t="s">
        <v>44</v>
      </c>
      <c r="H85" s="239">
        <f>ROUND(B85/1000,0)-1</f>
        <v>21119</v>
      </c>
      <c r="I85" s="239">
        <f>ROUND(C85/1000,0)</f>
        <v>4642</v>
      </c>
      <c r="J85" s="241">
        <f>ROUND(D85/1000,0)</f>
        <v>3770</v>
      </c>
      <c r="K85" s="235">
        <f t="shared" si="6"/>
        <v>17.85122401628865</v>
      </c>
      <c r="L85" s="236">
        <f>J85-'[6]Februāris'!J85+1</f>
        <v>221</v>
      </c>
    </row>
    <row r="86" spans="1:12" ht="12.75" customHeight="1">
      <c r="A86" s="109" t="s">
        <v>46</v>
      </c>
      <c r="B86" s="236">
        <f>B77-B82</f>
        <v>-10000000</v>
      </c>
      <c r="C86" s="242">
        <f>C77-C82</f>
        <v>-3769067</v>
      </c>
      <c r="D86" s="236">
        <f>D77-D82</f>
        <v>-3504035</v>
      </c>
      <c r="E86" s="240">
        <f t="shared" si="5"/>
        <v>35.04035</v>
      </c>
      <c r="F86" s="236">
        <f>D86-'[6]Februāris'!D86</f>
        <v>-155747</v>
      </c>
      <c r="G86" s="109" t="s">
        <v>46</v>
      </c>
      <c r="H86" s="239">
        <f>ROUND(B86/1000,0)</f>
        <v>-10000</v>
      </c>
      <c r="I86" s="239">
        <f>ROUND(C86/1000,0)</f>
        <v>-3769</v>
      </c>
      <c r="J86" s="241">
        <f>J77-J82</f>
        <v>-3504</v>
      </c>
      <c r="K86" s="235">
        <f t="shared" si="6"/>
        <v>35.04</v>
      </c>
      <c r="L86" s="236">
        <f>J86-'[6]Februāris'!J86</f>
        <v>-155</v>
      </c>
    </row>
    <row r="87" spans="1:12" ht="12.75" customHeight="1">
      <c r="A87" s="101" t="s">
        <v>47</v>
      </c>
      <c r="B87" s="239">
        <v>10000000</v>
      </c>
      <c r="C87" s="241">
        <f>2365000+745067+659000</f>
        <v>3769067</v>
      </c>
      <c r="D87" s="241">
        <f>'[5]Marts'!$I$43</f>
        <v>3301067</v>
      </c>
      <c r="E87" s="240">
        <f t="shared" si="5"/>
        <v>33.01067</v>
      </c>
      <c r="F87" s="236">
        <f>D87-'[6]Februāris'!D87</f>
        <v>500000</v>
      </c>
      <c r="G87" s="101" t="s">
        <v>47</v>
      </c>
      <c r="H87" s="239">
        <f>ROUND(B87/1000,0)</f>
        <v>10000</v>
      </c>
      <c r="I87" s="239">
        <f>ROUND(C87/1000,0)</f>
        <v>3769</v>
      </c>
      <c r="J87" s="241">
        <f>ROUND(D87/1000,0)</f>
        <v>3301</v>
      </c>
      <c r="K87" s="235">
        <f t="shared" si="6"/>
        <v>33.01</v>
      </c>
      <c r="L87" s="236">
        <f>J87-'[6]Februāris'!J87</f>
        <v>500</v>
      </c>
    </row>
    <row r="88" spans="1:12" ht="12.75" customHeight="1">
      <c r="A88" s="142" t="s">
        <v>85</v>
      </c>
      <c r="B88" s="236"/>
      <c r="C88" s="236"/>
      <c r="D88" s="236"/>
      <c r="E88" s="240"/>
      <c r="F88" s="236">
        <f>D88-'[6]Februāris'!D88</f>
        <v>0</v>
      </c>
      <c r="G88" s="142" t="s">
        <v>85</v>
      </c>
      <c r="H88" s="239"/>
      <c r="I88" s="239"/>
      <c r="J88" s="241"/>
      <c r="K88" s="235"/>
      <c r="L88" s="236"/>
    </row>
    <row r="89" spans="1:12" ht="12.75" customHeight="1">
      <c r="A89" s="109" t="s">
        <v>879</v>
      </c>
      <c r="B89" s="236">
        <f>B90</f>
        <v>700000</v>
      </c>
      <c r="C89" s="242">
        <v>84000</v>
      </c>
      <c r="D89" s="236">
        <f>D90</f>
        <v>154701</v>
      </c>
      <c r="E89" s="240">
        <f t="shared" si="5"/>
        <v>22.100142857142856</v>
      </c>
      <c r="F89" s="236">
        <f>D89-'[6]Februāris'!D89</f>
        <v>49080</v>
      </c>
      <c r="G89" s="109" t="s">
        <v>879</v>
      </c>
      <c r="H89" s="239">
        <f>ROUND(B89/1000,0)</f>
        <v>700</v>
      </c>
      <c r="I89" s="239">
        <f>ROUND(C89/1000,0)</f>
        <v>84</v>
      </c>
      <c r="J89" s="241">
        <f>J90</f>
        <v>155</v>
      </c>
      <c r="K89" s="235">
        <f t="shared" si="6"/>
        <v>22.142857142857142</v>
      </c>
      <c r="L89" s="236">
        <f>J89-'[6]Februāris'!J89</f>
        <v>49</v>
      </c>
    </row>
    <row r="90" spans="1:12" ht="12.75" customHeight="1">
      <c r="A90" s="109" t="s">
        <v>86</v>
      </c>
      <c r="B90" s="239">
        <v>700000</v>
      </c>
      <c r="C90" s="241"/>
      <c r="D90" s="241">
        <f>'[5]Marts'!$F$6</f>
        <v>154701</v>
      </c>
      <c r="E90" s="240">
        <f t="shared" si="5"/>
        <v>22.100142857142856</v>
      </c>
      <c r="F90" s="236">
        <f>D90-'[6]Februāris'!D90</f>
        <v>49080</v>
      </c>
      <c r="G90" s="109" t="s">
        <v>86</v>
      </c>
      <c r="H90" s="239">
        <f>ROUND(B90/1000,0)</f>
        <v>700</v>
      </c>
      <c r="I90" s="239"/>
      <c r="J90" s="241">
        <f>ROUND(D90/1000,0)</f>
        <v>155</v>
      </c>
      <c r="K90" s="235">
        <f t="shared" si="6"/>
        <v>22.142857142857142</v>
      </c>
      <c r="L90" s="236">
        <f>J90-'[6]Februāris'!J90</f>
        <v>49</v>
      </c>
    </row>
    <row r="91" spans="1:12" ht="12.75" customHeight="1">
      <c r="A91" s="109" t="s">
        <v>50</v>
      </c>
      <c r="B91" s="236">
        <f>SUM(B92:B93)</f>
        <v>700000</v>
      </c>
      <c r="C91" s="236">
        <f>SUM(C92:C93)</f>
        <v>84000</v>
      </c>
      <c r="D91" s="236">
        <f>SUM(D92:D93)</f>
        <v>26040</v>
      </c>
      <c r="E91" s="240">
        <f t="shared" si="5"/>
        <v>3.7199999999999998</v>
      </c>
      <c r="F91" s="236">
        <f>D91-'[6]Februāris'!D91</f>
        <v>19844</v>
      </c>
      <c r="G91" s="109" t="s">
        <v>50</v>
      </c>
      <c r="H91" s="239">
        <f>ROUND(B91/1000,0)</f>
        <v>700</v>
      </c>
      <c r="I91" s="239">
        <f>SUM(I92:I93)</f>
        <v>84</v>
      </c>
      <c r="J91" s="241">
        <f>SUM(J92:J93)</f>
        <v>26</v>
      </c>
      <c r="K91" s="235">
        <f t="shared" si="6"/>
        <v>3.7142857142857144</v>
      </c>
      <c r="L91" s="236">
        <f>J91-'[6]Februāris'!J91</f>
        <v>20</v>
      </c>
    </row>
    <row r="92" spans="1:12" ht="12.75" customHeight="1">
      <c r="A92" s="109" t="s">
        <v>51</v>
      </c>
      <c r="B92" s="239">
        <v>450000</v>
      </c>
      <c r="C92" s="241">
        <v>82000</v>
      </c>
      <c r="D92" s="241">
        <f>'[5]Marts'!$F$8</f>
        <v>25570</v>
      </c>
      <c r="E92" s="240">
        <f t="shared" si="5"/>
        <v>5.682222222222222</v>
      </c>
      <c r="F92" s="236">
        <f>D92-'[6]Februāris'!D92</f>
        <v>19374</v>
      </c>
      <c r="G92" s="109" t="s">
        <v>51</v>
      </c>
      <c r="H92" s="239">
        <f>ROUND(B92/1000,0)</f>
        <v>450</v>
      </c>
      <c r="I92" s="239">
        <f>ROUND(C92/1000,0)</f>
        <v>82</v>
      </c>
      <c r="J92" s="241">
        <f>ROUND(D92/1000,0)</f>
        <v>26</v>
      </c>
      <c r="K92" s="235">
        <f t="shared" si="6"/>
        <v>5.777777777777778</v>
      </c>
      <c r="L92" s="236">
        <f>J92-'[6]Februāris'!J92</f>
        <v>20</v>
      </c>
    </row>
    <row r="93" spans="1:12" ht="12.75" customHeight="1">
      <c r="A93" s="109" t="s">
        <v>44</v>
      </c>
      <c r="B93" s="239">
        <v>250000</v>
      </c>
      <c r="C93" s="241">
        <v>2000</v>
      </c>
      <c r="D93" s="241">
        <f>'[5]Marts'!$F$30</f>
        <v>470</v>
      </c>
      <c r="E93" s="240"/>
      <c r="F93" s="236">
        <f>D93-'[6]Februāris'!D93</f>
        <v>470</v>
      </c>
      <c r="G93" s="109" t="s">
        <v>44</v>
      </c>
      <c r="H93" s="239">
        <f>ROUND(B93/1000,0)</f>
        <v>250</v>
      </c>
      <c r="I93" s="239">
        <f>ROUND(C93/1000,0)</f>
        <v>2</v>
      </c>
      <c r="J93" s="241"/>
      <c r="K93" s="235">
        <f>J93/H93*100</f>
        <v>0</v>
      </c>
      <c r="L93" s="236"/>
    </row>
    <row r="94" spans="1:12" ht="12.75" customHeight="1">
      <c r="A94" s="96" t="s">
        <v>87</v>
      </c>
      <c r="B94" s="236"/>
      <c r="C94" s="236"/>
      <c r="D94" s="236"/>
      <c r="E94" s="240"/>
      <c r="F94" s="236">
        <f>D94-'[6]Februāris'!D94</f>
        <v>0</v>
      </c>
      <c r="G94" s="96" t="s">
        <v>87</v>
      </c>
      <c r="H94" s="239"/>
      <c r="I94" s="239"/>
      <c r="J94" s="241"/>
      <c r="K94" s="235"/>
      <c r="L94" s="236"/>
    </row>
    <row r="95" spans="1:12" ht="12.75" customHeight="1">
      <c r="A95" s="109" t="s">
        <v>879</v>
      </c>
      <c r="B95" s="239">
        <f>B96</f>
        <v>2000000</v>
      </c>
      <c r="C95" s="241">
        <v>82000</v>
      </c>
      <c r="D95" s="239">
        <f>D96</f>
        <v>488411</v>
      </c>
      <c r="E95" s="240">
        <f t="shared" si="5"/>
        <v>24.42055</v>
      </c>
      <c r="F95" s="236">
        <f>D95-'[6]Februāris'!D95</f>
        <v>165400</v>
      </c>
      <c r="G95" s="109" t="s">
        <v>879</v>
      </c>
      <c r="H95" s="239">
        <f>ROUND(B95/1000,0)</f>
        <v>2000</v>
      </c>
      <c r="I95" s="239">
        <f>ROUND(C95/1000,0)</f>
        <v>82</v>
      </c>
      <c r="J95" s="241">
        <f>J96</f>
        <v>488</v>
      </c>
      <c r="K95" s="235">
        <f t="shared" si="6"/>
        <v>24.4</v>
      </c>
      <c r="L95" s="236">
        <f>J95-'[6]Februāris'!J95</f>
        <v>165</v>
      </c>
    </row>
    <row r="96" spans="1:12" ht="12.75" customHeight="1">
      <c r="A96" s="109" t="s">
        <v>88</v>
      </c>
      <c r="B96" s="239">
        <v>2000000</v>
      </c>
      <c r="C96" s="241"/>
      <c r="D96" s="241">
        <f>'[5]Marts'!$G$6</f>
        <v>488411</v>
      </c>
      <c r="E96" s="240">
        <f t="shared" si="5"/>
        <v>24.42055</v>
      </c>
      <c r="F96" s="236">
        <f>D96-'[6]Februāris'!D96</f>
        <v>165400</v>
      </c>
      <c r="G96" s="109" t="s">
        <v>88</v>
      </c>
      <c r="H96" s="239">
        <f>ROUND(B96/1000,0)</f>
        <v>2000</v>
      </c>
      <c r="I96" s="239"/>
      <c r="J96" s="241">
        <f>ROUND(D96/1000,0)</f>
        <v>488</v>
      </c>
      <c r="K96" s="235">
        <f t="shared" si="6"/>
        <v>24.4</v>
      </c>
      <c r="L96" s="236">
        <f>J96-'[6]Februāris'!J96</f>
        <v>165</v>
      </c>
    </row>
    <row r="97" spans="1:12" ht="12.75" customHeight="1">
      <c r="A97" s="109" t="s">
        <v>50</v>
      </c>
      <c r="B97" s="236">
        <f>SUM(B98:B99)</f>
        <v>2000000</v>
      </c>
      <c r="C97" s="236">
        <f>SUM(C98:C99)</f>
        <v>82000</v>
      </c>
      <c r="D97" s="236">
        <f>SUM(D98:D99)</f>
        <v>33652</v>
      </c>
      <c r="E97" s="240">
        <f t="shared" si="5"/>
        <v>1.6826</v>
      </c>
      <c r="F97" s="236">
        <f>D97-'[6]Februāris'!D97</f>
        <v>26173</v>
      </c>
      <c r="G97" s="109" t="s">
        <v>50</v>
      </c>
      <c r="H97" s="239">
        <f>ROUND(B97/1000,0)</f>
        <v>2000</v>
      </c>
      <c r="I97" s="241">
        <f>SUM(I98:I99)</f>
        <v>82</v>
      </c>
      <c r="J97" s="241">
        <f>SUM(J98:J99)</f>
        <v>34</v>
      </c>
      <c r="K97" s="235">
        <f t="shared" si="6"/>
        <v>1.7000000000000002</v>
      </c>
      <c r="L97" s="236">
        <f>J97-'[6]Februāris'!J97</f>
        <v>27</v>
      </c>
    </row>
    <row r="98" spans="1:12" ht="12.75" customHeight="1">
      <c r="A98" s="109" t="s">
        <v>51</v>
      </c>
      <c r="B98" s="239">
        <v>1000000</v>
      </c>
      <c r="C98" s="241">
        <v>22000</v>
      </c>
      <c r="D98" s="241"/>
      <c r="E98" s="240"/>
      <c r="F98" s="236">
        <f>D98-'[6]Februāris'!D98</f>
        <v>0</v>
      </c>
      <c r="G98" s="109" t="s">
        <v>51</v>
      </c>
      <c r="H98" s="239">
        <f>ROUND(B98/1000,0)</f>
        <v>1000</v>
      </c>
      <c r="I98" s="239">
        <f>ROUND(C98/1000,0)</f>
        <v>22</v>
      </c>
      <c r="J98" s="241"/>
      <c r="K98" s="235"/>
      <c r="L98" s="236"/>
    </row>
    <row r="99" spans="1:13" ht="12.75" customHeight="1">
      <c r="A99" s="109" t="s">
        <v>44</v>
      </c>
      <c r="B99" s="239">
        <v>1000000</v>
      </c>
      <c r="C99" s="241">
        <v>60000</v>
      </c>
      <c r="D99" s="241">
        <f>'[5]Marts'!$G$30</f>
        <v>33652</v>
      </c>
      <c r="E99" s="240">
        <f t="shared" si="5"/>
        <v>3.3652</v>
      </c>
      <c r="F99" s="236">
        <f>D99-'[6]Februāris'!D99</f>
        <v>26173</v>
      </c>
      <c r="G99" s="109" t="s">
        <v>44</v>
      </c>
      <c r="H99" s="239">
        <f>ROUND(B99/1000,0)</f>
        <v>1000</v>
      </c>
      <c r="I99" s="239">
        <f>ROUND(C99/1000,0)</f>
        <v>60</v>
      </c>
      <c r="J99" s="241">
        <f>ROUND(D99/1000,0)</f>
        <v>34</v>
      </c>
      <c r="K99" s="235">
        <f t="shared" si="6"/>
        <v>3.4000000000000004</v>
      </c>
      <c r="L99" s="236">
        <f>J99-'[6]Februāris'!J99-1</f>
        <v>26</v>
      </c>
      <c r="M99" s="249"/>
    </row>
    <row r="100" spans="1:13" ht="12.75" customHeight="1">
      <c r="A100" s="118" t="s">
        <v>773</v>
      </c>
      <c r="B100" s="236"/>
      <c r="C100" s="236"/>
      <c r="D100" s="109"/>
      <c r="E100" s="240"/>
      <c r="F100" s="236">
        <f>D100-'[6]Februāris'!D100</f>
        <v>0</v>
      </c>
      <c r="G100" s="118" t="s">
        <v>773</v>
      </c>
      <c r="H100" s="109"/>
      <c r="I100" s="109"/>
      <c r="J100" s="250"/>
      <c r="K100" s="235"/>
      <c r="L100" s="236"/>
      <c r="M100" s="76"/>
    </row>
    <row r="101" spans="1:13" ht="12.75" customHeight="1">
      <c r="A101" s="243" t="s">
        <v>89</v>
      </c>
      <c r="B101" s="236"/>
      <c r="C101" s="236"/>
      <c r="D101" s="109"/>
      <c r="E101" s="240"/>
      <c r="F101" s="236">
        <f>D101-'[6]Februāris'!D101</f>
        <v>0</v>
      </c>
      <c r="G101" s="118" t="s">
        <v>89</v>
      </c>
      <c r="H101" s="109"/>
      <c r="I101" s="109"/>
      <c r="J101" s="250"/>
      <c r="K101" s="235"/>
      <c r="L101" s="236"/>
      <c r="M101" s="76"/>
    </row>
    <row r="102" spans="1:12" ht="12.75" customHeight="1">
      <c r="A102" s="109" t="s">
        <v>879</v>
      </c>
      <c r="B102" s="236">
        <f>SUM(B103:B106)</f>
        <v>138355904</v>
      </c>
      <c r="C102" s="242">
        <v>31235698</v>
      </c>
      <c r="D102" s="236">
        <f>SUM(D103:D106)</f>
        <v>30613169</v>
      </c>
      <c r="E102" s="240">
        <f t="shared" si="5"/>
        <v>22.12639151271781</v>
      </c>
      <c r="F102" s="236">
        <f>D102-'[6]Februāris'!D102</f>
        <v>10496423</v>
      </c>
      <c r="G102" s="109" t="s">
        <v>879</v>
      </c>
      <c r="H102" s="239">
        <f aca="true" t="shared" si="7" ref="H102:H112">ROUND(B102/1000,0)</f>
        <v>138356</v>
      </c>
      <c r="I102" s="239">
        <f>ROUND(C102/1000,0)</f>
        <v>31236</v>
      </c>
      <c r="J102" s="241">
        <f>SUM(J103:J106)</f>
        <v>30613</v>
      </c>
      <c r="K102" s="235">
        <f t="shared" si="6"/>
        <v>22.126254011390905</v>
      </c>
      <c r="L102" s="236">
        <f>J102-'[6]Februāris'!J102</f>
        <v>10496</v>
      </c>
    </row>
    <row r="103" spans="1:12" ht="12.75" customHeight="1">
      <c r="A103" s="109" t="s">
        <v>90</v>
      </c>
      <c r="B103" s="236">
        <v>80619197</v>
      </c>
      <c r="C103" s="242"/>
      <c r="D103" s="242">
        <v>18160770</v>
      </c>
      <c r="E103" s="240">
        <f>D103/B103*100</f>
        <v>22.526607403445112</v>
      </c>
      <c r="F103" s="236">
        <f>D103-'[6]Februāris'!D103</f>
        <v>6470827</v>
      </c>
      <c r="G103" s="109" t="s">
        <v>90</v>
      </c>
      <c r="H103" s="239">
        <f t="shared" si="7"/>
        <v>80619</v>
      </c>
      <c r="I103" s="239"/>
      <c r="J103" s="241">
        <f>ROUND(D103/1000,0)</f>
        <v>18161</v>
      </c>
      <c r="K103" s="235">
        <f t="shared" si="6"/>
        <v>22.526947741847454</v>
      </c>
      <c r="L103" s="236">
        <f>J103-'[6]Februāris'!J103</f>
        <v>6471</v>
      </c>
    </row>
    <row r="104" spans="1:12" ht="12.75" customHeight="1">
      <c r="A104" s="109" t="s">
        <v>91</v>
      </c>
      <c r="B104" s="236">
        <v>54461193</v>
      </c>
      <c r="C104" s="242"/>
      <c r="D104" s="242">
        <f>12590835-535471</f>
        <v>12055364</v>
      </c>
      <c r="E104" s="240">
        <f>D104/B104*100</f>
        <v>22.13569577882732</v>
      </c>
      <c r="F104" s="236">
        <f>D104-'[6]Februāris'!D104</f>
        <v>3884792</v>
      </c>
      <c r="G104" s="109" t="s">
        <v>91</v>
      </c>
      <c r="H104" s="239">
        <f t="shared" si="7"/>
        <v>54461</v>
      </c>
      <c r="I104" s="239"/>
      <c r="J104" s="241">
        <f>ROUND(D104/1000,0)</f>
        <v>12055</v>
      </c>
      <c r="K104" s="235">
        <f t="shared" si="6"/>
        <v>22.13510585556637</v>
      </c>
      <c r="L104" s="236">
        <f>J104-'[6]Februāris'!J104</f>
        <v>3884</v>
      </c>
    </row>
    <row r="105" spans="1:12" ht="12.75" customHeight="1">
      <c r="A105" s="247" t="s">
        <v>82</v>
      </c>
      <c r="B105" s="236">
        <v>3209846</v>
      </c>
      <c r="C105" s="242"/>
      <c r="D105" s="242">
        <v>397035</v>
      </c>
      <c r="E105" s="240">
        <f t="shared" si="5"/>
        <v>12.36928500619656</v>
      </c>
      <c r="F105" s="236">
        <f>D105-'[6]Februāris'!D105</f>
        <v>140804</v>
      </c>
      <c r="G105" s="248" t="s">
        <v>82</v>
      </c>
      <c r="H105" s="239">
        <f t="shared" si="7"/>
        <v>3210</v>
      </c>
      <c r="I105" s="239"/>
      <c r="J105" s="241">
        <f>ROUND(D105/1000,0)</f>
        <v>397</v>
      </c>
      <c r="K105" s="235">
        <f t="shared" si="6"/>
        <v>12.36760124610592</v>
      </c>
      <c r="L105" s="236">
        <f>J105-'[6]Februāris'!J105</f>
        <v>141</v>
      </c>
    </row>
    <row r="106" spans="1:12" ht="12.75" customHeight="1">
      <c r="A106" s="109" t="s">
        <v>83</v>
      </c>
      <c r="B106" s="236">
        <v>65668</v>
      </c>
      <c r="C106" s="242"/>
      <c r="D106" s="242"/>
      <c r="E106" s="240">
        <f t="shared" si="5"/>
        <v>0</v>
      </c>
      <c r="F106" s="236">
        <f>D106-'[6]Februāris'!D106</f>
        <v>0</v>
      </c>
      <c r="G106" s="109" t="s">
        <v>83</v>
      </c>
      <c r="H106" s="239">
        <f t="shared" si="7"/>
        <v>66</v>
      </c>
      <c r="I106" s="239"/>
      <c r="J106" s="241"/>
      <c r="K106" s="235"/>
      <c r="L106" s="236"/>
    </row>
    <row r="107" spans="1:12" ht="12.75" customHeight="1">
      <c r="A107" s="109" t="s">
        <v>50</v>
      </c>
      <c r="B107" s="236">
        <f>B108+B110</f>
        <v>141458002</v>
      </c>
      <c r="C107" s="236">
        <f>C108+C110</f>
        <v>33616880</v>
      </c>
      <c r="D107" s="236">
        <f>D108+D110</f>
        <v>32063344</v>
      </c>
      <c r="E107" s="240">
        <f t="shared" si="5"/>
        <v>22.66633456338511</v>
      </c>
      <c r="F107" s="236">
        <f>D107-'[6]Februāris'!D107</f>
        <v>12205750</v>
      </c>
      <c r="G107" s="109" t="s">
        <v>50</v>
      </c>
      <c r="H107" s="239">
        <f t="shared" si="7"/>
        <v>141458</v>
      </c>
      <c r="I107" s="241">
        <f>SUM(I108,I110)</f>
        <v>33617</v>
      </c>
      <c r="J107" s="241">
        <f>SUM(J108,J110)</f>
        <v>32063</v>
      </c>
      <c r="K107" s="235">
        <f t="shared" si="6"/>
        <v>22.666091702130668</v>
      </c>
      <c r="L107" s="236">
        <f>J107-'[6]Februāris'!J107</f>
        <v>12205</v>
      </c>
    </row>
    <row r="108" spans="1:12" ht="12.75" customHeight="1">
      <c r="A108" s="109" t="s">
        <v>51</v>
      </c>
      <c r="B108" s="236">
        <v>137124381</v>
      </c>
      <c r="C108" s="242">
        <v>32679473</v>
      </c>
      <c r="D108" s="242">
        <f>'[5]Marts'!$D$8</f>
        <v>31372563</v>
      </c>
      <c r="E108" s="240">
        <f t="shared" si="5"/>
        <v>22.878909477082708</v>
      </c>
      <c r="F108" s="236">
        <f>D108-'[6]Februāris'!D108</f>
        <v>11964735</v>
      </c>
      <c r="G108" s="109" t="s">
        <v>51</v>
      </c>
      <c r="H108" s="239">
        <f t="shared" si="7"/>
        <v>137124</v>
      </c>
      <c r="I108" s="239">
        <f>ROUND(C108/1000,0)</f>
        <v>32679</v>
      </c>
      <c r="J108" s="241">
        <f>ROUND(D108/1000,0)-1</f>
        <v>31372</v>
      </c>
      <c r="K108" s="235">
        <f t="shared" si="6"/>
        <v>22.878562469006155</v>
      </c>
      <c r="L108" s="236">
        <f>J108-'[6]Februāris'!J108</f>
        <v>11964</v>
      </c>
    </row>
    <row r="109" spans="1:12" ht="12.75" customHeight="1">
      <c r="A109" s="194" t="s">
        <v>84</v>
      </c>
      <c r="B109" s="236">
        <v>1288396</v>
      </c>
      <c r="C109" s="242"/>
      <c r="D109" s="242">
        <f>'[5]Marts'!$D$15</f>
        <v>0</v>
      </c>
      <c r="E109" s="240">
        <f t="shared" si="5"/>
        <v>0</v>
      </c>
      <c r="F109" s="236">
        <f>D109-'[6]Februāris'!D109</f>
        <v>0</v>
      </c>
      <c r="G109" s="194" t="s">
        <v>84</v>
      </c>
      <c r="H109" s="239">
        <f t="shared" si="7"/>
        <v>1288</v>
      </c>
      <c r="I109" s="239"/>
      <c r="J109" s="241"/>
      <c r="K109" s="235"/>
      <c r="L109" s="236"/>
    </row>
    <row r="110" spans="1:12" ht="12.75" customHeight="1">
      <c r="A110" s="109" t="s">
        <v>44</v>
      </c>
      <c r="B110" s="236">
        <v>4333621</v>
      </c>
      <c r="C110" s="242">
        <v>937407</v>
      </c>
      <c r="D110" s="242">
        <f>'[5]Marts'!$D$30</f>
        <v>690781</v>
      </c>
      <c r="E110" s="240">
        <f t="shared" si="5"/>
        <v>15.940041826454134</v>
      </c>
      <c r="F110" s="236">
        <f>D110-'[6]Februāris'!D110</f>
        <v>241015</v>
      </c>
      <c r="G110" s="109" t="s">
        <v>44</v>
      </c>
      <c r="H110" s="239">
        <f t="shared" si="7"/>
        <v>4334</v>
      </c>
      <c r="I110" s="239">
        <f>ROUND(C110/1000,0)+1</f>
        <v>938</v>
      </c>
      <c r="J110" s="241">
        <f>ROUND(D110/1000,0)</f>
        <v>691</v>
      </c>
      <c r="K110" s="235">
        <f t="shared" si="6"/>
        <v>15.94370096908168</v>
      </c>
      <c r="L110" s="236">
        <f>J110-'[6]Februāris'!J110</f>
        <v>241</v>
      </c>
    </row>
    <row r="111" spans="1:12" ht="12.75" customHeight="1">
      <c r="A111" s="109" t="s">
        <v>46</v>
      </c>
      <c r="B111" s="236">
        <f>B102-B107</f>
        <v>-3102098</v>
      </c>
      <c r="C111" s="236">
        <f>C102-C107</f>
        <v>-2381182</v>
      </c>
      <c r="D111" s="236">
        <f>D102-D107</f>
        <v>-1450175</v>
      </c>
      <c r="E111" s="240">
        <f t="shared" si="5"/>
        <v>46.748200733825946</v>
      </c>
      <c r="F111" s="236">
        <f>D111-'[6]Februāris'!D111</f>
        <v>-1709327</v>
      </c>
      <c r="G111" s="109" t="s">
        <v>46</v>
      </c>
      <c r="H111" s="239">
        <f t="shared" si="7"/>
        <v>-3102</v>
      </c>
      <c r="I111" s="239">
        <f>ROUND(C111/1000,0)</f>
        <v>-2381</v>
      </c>
      <c r="J111" s="241">
        <f>J102-J107</f>
        <v>-1450</v>
      </c>
      <c r="K111" s="235">
        <f t="shared" si="6"/>
        <v>46.74403610573823</v>
      </c>
      <c r="L111" s="236">
        <f>J111-'[6]Februāris'!J111</f>
        <v>-1709</v>
      </c>
    </row>
    <row r="112" spans="1:12" ht="12.75" customHeight="1">
      <c r="A112" s="109" t="s">
        <v>75</v>
      </c>
      <c r="B112" s="236">
        <v>3102098</v>
      </c>
      <c r="C112" s="242">
        <f>80000+383300+157298</f>
        <v>620598</v>
      </c>
      <c r="D112" s="242">
        <f>'[5]Marts'!$D$43</f>
        <v>535471</v>
      </c>
      <c r="E112" s="240">
        <f t="shared" si="5"/>
        <v>17.261575875423667</v>
      </c>
      <c r="F112" s="236">
        <f>D112-'[6]Februāris'!D112</f>
        <v>207673</v>
      </c>
      <c r="G112" s="109" t="s">
        <v>75</v>
      </c>
      <c r="H112" s="239">
        <f t="shared" si="7"/>
        <v>3102</v>
      </c>
      <c r="I112" s="239">
        <f>ROUND(C112/1000,0)</f>
        <v>621</v>
      </c>
      <c r="J112" s="241">
        <f>ROUND(D112/1000,0)+1</f>
        <v>536</v>
      </c>
      <c r="K112" s="235">
        <f t="shared" si="6"/>
        <v>17.27917472598324</v>
      </c>
      <c r="L112" s="236">
        <f>J112-'[6]Februāris'!J112</f>
        <v>208</v>
      </c>
    </row>
    <row r="113" spans="1:12" ht="12.75" customHeight="1">
      <c r="A113" s="142" t="s">
        <v>92</v>
      </c>
      <c r="B113" s="236"/>
      <c r="C113" s="236"/>
      <c r="D113" s="236"/>
      <c r="E113" s="240"/>
      <c r="F113" s="236">
        <f>D113-'[6]Februāris'!D113</f>
        <v>0</v>
      </c>
      <c r="G113" s="142" t="s">
        <v>92</v>
      </c>
      <c r="H113" s="239"/>
      <c r="I113" s="239"/>
      <c r="J113" s="241"/>
      <c r="K113" s="235"/>
      <c r="L113" s="236"/>
    </row>
    <row r="114" spans="1:12" ht="12.75" customHeight="1">
      <c r="A114" s="109" t="s">
        <v>879</v>
      </c>
      <c r="B114" s="236">
        <f>SUM(B115:B117)</f>
        <v>503125370</v>
      </c>
      <c r="C114" s="242">
        <f>37020270+37889203+39825423</f>
        <v>114734896</v>
      </c>
      <c r="D114" s="236">
        <f>SUM(D115:D117)</f>
        <v>116087917</v>
      </c>
      <c r="E114" s="240">
        <f t="shared" si="5"/>
        <v>23.073357839220073</v>
      </c>
      <c r="F114" s="236">
        <f>D114-'[6]Februāris'!D114</f>
        <v>40026775</v>
      </c>
      <c r="G114" s="109" t="s">
        <v>879</v>
      </c>
      <c r="H114" s="239">
        <f aca="true" t="shared" si="8" ref="H114:H123">ROUND(B114/1000,0)</f>
        <v>503125</v>
      </c>
      <c r="I114" s="239">
        <f>ROUND(C114/1000,0)</f>
        <v>114735</v>
      </c>
      <c r="J114" s="241">
        <f>SUM(J115:J117)</f>
        <v>116088</v>
      </c>
      <c r="K114" s="235">
        <f t="shared" si="6"/>
        <v>23.073391304347826</v>
      </c>
      <c r="L114" s="236">
        <f>J114-'[6]Februāris'!J114</f>
        <v>40027</v>
      </c>
    </row>
    <row r="115" spans="1:12" ht="12.75" customHeight="1">
      <c r="A115" s="109" t="s">
        <v>93</v>
      </c>
      <c r="B115" s="239">
        <v>495585390</v>
      </c>
      <c r="C115" s="241"/>
      <c r="D115" s="241">
        <v>114217152</v>
      </c>
      <c r="E115" s="240">
        <f t="shared" si="5"/>
        <v>23.046916697846964</v>
      </c>
      <c r="F115" s="236">
        <f>D115-'[6]Februāris'!D115</f>
        <v>39515414</v>
      </c>
      <c r="G115" s="109" t="s">
        <v>93</v>
      </c>
      <c r="H115" s="239">
        <f t="shared" si="8"/>
        <v>495585</v>
      </c>
      <c r="I115" s="239">
        <f>ROUND(C115/1000,0)</f>
        <v>0</v>
      </c>
      <c r="J115" s="241">
        <f>ROUND(D115/1000,0)</f>
        <v>114217</v>
      </c>
      <c r="K115" s="235">
        <f t="shared" si="6"/>
        <v>23.046904163766055</v>
      </c>
      <c r="L115" s="236">
        <f>J115-'[6]Februāris'!J115</f>
        <v>39515</v>
      </c>
    </row>
    <row r="116" spans="1:12" ht="12.75" customHeight="1">
      <c r="A116" s="109" t="s">
        <v>94</v>
      </c>
      <c r="B116" s="239">
        <v>6592694</v>
      </c>
      <c r="C116" s="241"/>
      <c r="D116" s="241">
        <v>1409897</v>
      </c>
      <c r="E116" s="240">
        <f t="shared" si="5"/>
        <v>21.385749133813885</v>
      </c>
      <c r="F116" s="236">
        <f>D116-'[6]Februāris'!D116</f>
        <v>466819</v>
      </c>
      <c r="G116" s="109" t="s">
        <v>94</v>
      </c>
      <c r="H116" s="239">
        <f t="shared" si="8"/>
        <v>6593</v>
      </c>
      <c r="I116" s="239">
        <f>ROUND(C116/1000,0)</f>
        <v>0</v>
      </c>
      <c r="J116" s="241">
        <f>ROUND(D116/1000,0)</f>
        <v>1410</v>
      </c>
      <c r="K116" s="235">
        <f t="shared" si="6"/>
        <v>21.386318822994085</v>
      </c>
      <c r="L116" s="236">
        <f>J116-'[6]Februāris'!J116</f>
        <v>467</v>
      </c>
    </row>
    <row r="117" spans="1:12" ht="12.75" customHeight="1">
      <c r="A117" s="109" t="s">
        <v>95</v>
      </c>
      <c r="B117" s="239">
        <f>7539980-B116</f>
        <v>947286</v>
      </c>
      <c r="C117" s="241"/>
      <c r="D117" s="241">
        <f>1870765-D116</f>
        <v>460868</v>
      </c>
      <c r="E117" s="240">
        <f t="shared" si="5"/>
        <v>48.65141045048697</v>
      </c>
      <c r="F117" s="236">
        <f>D117-'[6]Februāris'!D117</f>
        <v>44542</v>
      </c>
      <c r="G117" s="109" t="s">
        <v>95</v>
      </c>
      <c r="H117" s="239">
        <f t="shared" si="8"/>
        <v>947</v>
      </c>
      <c r="I117" s="239">
        <f>ROUND(C117/1000,0)</f>
        <v>0</v>
      </c>
      <c r="J117" s="241">
        <f>ROUND(D117/1000,0)</f>
        <v>461</v>
      </c>
      <c r="K117" s="235">
        <f t="shared" si="6"/>
        <v>48.68004223864836</v>
      </c>
      <c r="L117" s="236">
        <f>J117-'[6]Februāris'!J117</f>
        <v>45</v>
      </c>
    </row>
    <row r="118" spans="1:12" ht="12.75" customHeight="1">
      <c r="A118" s="109" t="s">
        <v>96</v>
      </c>
      <c r="B118" s="236">
        <f>B119+B121</f>
        <v>531273828</v>
      </c>
      <c r="C118" s="236">
        <f>C119+C121</f>
        <v>132333347</v>
      </c>
      <c r="D118" s="236">
        <f>D119+D121</f>
        <v>121951690</v>
      </c>
      <c r="E118" s="240">
        <f t="shared" si="5"/>
        <v>22.95458266014941</v>
      </c>
      <c r="F118" s="236">
        <f>D118-'[6]Februāris'!D118</f>
        <v>37482532</v>
      </c>
      <c r="G118" s="109" t="s">
        <v>97</v>
      </c>
      <c r="H118" s="239">
        <f t="shared" si="8"/>
        <v>531274</v>
      </c>
      <c r="I118" s="241">
        <f>I119+I121</f>
        <v>132334</v>
      </c>
      <c r="J118" s="241">
        <f>J119+J121</f>
        <v>121952</v>
      </c>
      <c r="K118" s="235">
        <f t="shared" si="6"/>
        <v>22.954633578906552</v>
      </c>
      <c r="L118" s="236">
        <f>J118-'[6]Februāris'!J118</f>
        <v>37483</v>
      </c>
    </row>
    <row r="119" spans="1:12" ht="12.75" customHeight="1">
      <c r="A119" s="109" t="s">
        <v>51</v>
      </c>
      <c r="B119" s="239">
        <v>527848828</v>
      </c>
      <c r="C119" s="241">
        <f>45260560+43818270+42609997</f>
        <v>131688827</v>
      </c>
      <c r="D119" s="241">
        <f>'[5]Marts'!$C$8</f>
        <v>121814928</v>
      </c>
      <c r="E119" s="240">
        <f t="shared" si="5"/>
        <v>23.077616457263403</v>
      </c>
      <c r="F119" s="236">
        <f>D119-'[6]Februāris'!D119</f>
        <v>37427535</v>
      </c>
      <c r="G119" s="109" t="s">
        <v>51</v>
      </c>
      <c r="H119" s="239">
        <f t="shared" si="8"/>
        <v>527849</v>
      </c>
      <c r="I119" s="239">
        <f>ROUND(C119/1000,0)</f>
        <v>131689</v>
      </c>
      <c r="J119" s="241">
        <f>ROUND(D119/1000,0)</f>
        <v>121815</v>
      </c>
      <c r="K119" s="235">
        <f t="shared" si="6"/>
        <v>23.077622577668993</v>
      </c>
      <c r="L119" s="236">
        <f>J119-'[6]Februāris'!J119</f>
        <v>37428</v>
      </c>
    </row>
    <row r="120" spans="1:12" ht="12.75" customHeight="1">
      <c r="A120" s="194" t="s">
        <v>84</v>
      </c>
      <c r="B120" s="239">
        <v>10782</v>
      </c>
      <c r="C120" s="241"/>
      <c r="D120" s="241">
        <f>'[5]Marts'!$C$15</f>
        <v>0</v>
      </c>
      <c r="E120" s="240"/>
      <c r="F120" s="236">
        <f>D120-'[6]Februāris'!D120</f>
        <v>0</v>
      </c>
      <c r="G120" s="194" t="s">
        <v>84</v>
      </c>
      <c r="H120" s="239">
        <f t="shared" si="8"/>
        <v>11</v>
      </c>
      <c r="I120" s="239"/>
      <c r="J120" s="241"/>
      <c r="K120" s="235"/>
      <c r="L120" s="236"/>
    </row>
    <row r="121" spans="1:12" ht="12.75" customHeight="1">
      <c r="A121" s="109" t="s">
        <v>44</v>
      </c>
      <c r="B121" s="239">
        <v>3425000</v>
      </c>
      <c r="C121" s="241">
        <f>234780+215420+194320</f>
        <v>644520</v>
      </c>
      <c r="D121" s="241">
        <f>'[5]Marts'!$C$30</f>
        <v>136762</v>
      </c>
      <c r="E121" s="240">
        <f t="shared" si="5"/>
        <v>3.993051094890511</v>
      </c>
      <c r="F121" s="236">
        <f>D121-'[6]Februāris'!D121</f>
        <v>54997</v>
      </c>
      <c r="G121" s="109" t="s">
        <v>44</v>
      </c>
      <c r="H121" s="239">
        <f t="shared" si="8"/>
        <v>3425</v>
      </c>
      <c r="I121" s="239">
        <f>ROUND(C121/1000,0)</f>
        <v>645</v>
      </c>
      <c r="J121" s="241">
        <f>ROUND(D121/1000,0)</f>
        <v>137</v>
      </c>
      <c r="K121" s="235">
        <f t="shared" si="6"/>
        <v>4</v>
      </c>
      <c r="L121" s="236">
        <f>J121-'[6]Februāris'!J121</f>
        <v>55</v>
      </c>
    </row>
    <row r="122" spans="1:12" ht="12.75" customHeight="1">
      <c r="A122" s="109" t="s">
        <v>46</v>
      </c>
      <c r="B122" s="239">
        <f>B114-B118</f>
        <v>-28148458</v>
      </c>
      <c r="C122" s="241"/>
      <c r="D122" s="239">
        <f>D114-D118</f>
        <v>-5863773</v>
      </c>
      <c r="E122" s="240">
        <f t="shared" si="5"/>
        <v>20.831595819564967</v>
      </c>
      <c r="F122" s="236">
        <f>D122-'[6]Februāris'!D122</f>
        <v>2544243</v>
      </c>
      <c r="G122" s="109" t="s">
        <v>46</v>
      </c>
      <c r="H122" s="239">
        <f t="shared" si="8"/>
        <v>-28148</v>
      </c>
      <c r="I122" s="239"/>
      <c r="J122" s="241">
        <f>J114-J118</f>
        <v>-5864</v>
      </c>
      <c r="K122" s="235"/>
      <c r="L122" s="236">
        <f>J122-'[6]Februāris'!J122</f>
        <v>2544</v>
      </c>
    </row>
    <row r="123" spans="1:12" ht="12.75" customHeight="1">
      <c r="A123" s="109" t="s">
        <v>75</v>
      </c>
      <c r="B123" s="239">
        <v>28211768</v>
      </c>
      <c r="C123" s="241">
        <f>C132+C141+C156+C166</f>
        <v>17625862</v>
      </c>
      <c r="D123" s="241">
        <f>'[5]Marts'!$C$39+'[5]Marts'!$C$43</f>
        <v>8759268</v>
      </c>
      <c r="E123" s="240">
        <f t="shared" si="5"/>
        <v>31.04827744223616</v>
      </c>
      <c r="F123" s="236">
        <f>D123-'[6]Februāris'!D123</f>
        <v>-2272694</v>
      </c>
      <c r="G123" s="109" t="s">
        <v>75</v>
      </c>
      <c r="H123" s="239">
        <f t="shared" si="8"/>
        <v>28212</v>
      </c>
      <c r="I123" s="239"/>
      <c r="J123" s="241">
        <f>ROUND(D123/1000,0)</f>
        <v>8759</v>
      </c>
      <c r="K123" s="235">
        <f t="shared" si="6"/>
        <v>31.047072167871825</v>
      </c>
      <c r="L123" s="236">
        <f>J123-'[6]Februāris'!J123</f>
        <v>-2273</v>
      </c>
    </row>
    <row r="124" spans="1:12" ht="12.75" customHeight="1">
      <c r="A124" s="142" t="s">
        <v>98</v>
      </c>
      <c r="B124" s="236"/>
      <c r="C124" s="236"/>
      <c r="D124" s="236"/>
      <c r="E124" s="240"/>
      <c r="F124" s="236">
        <f>D124-'[6]Februāris'!D124</f>
        <v>0</v>
      </c>
      <c r="G124" s="142" t="s">
        <v>98</v>
      </c>
      <c r="H124" s="239"/>
      <c r="I124" s="239"/>
      <c r="J124" s="241"/>
      <c r="K124" s="235"/>
      <c r="L124" s="236"/>
    </row>
    <row r="125" spans="1:12" ht="12.75" customHeight="1">
      <c r="A125" s="109" t="s">
        <v>879</v>
      </c>
      <c r="B125" s="236">
        <f>SUM(B126:B128)</f>
        <v>404005990</v>
      </c>
      <c r="C125" s="242">
        <f>29912540+30602264+32086097</f>
        <v>92600901</v>
      </c>
      <c r="D125" s="236">
        <f>SUM(D126:D128)</f>
        <v>93951592</v>
      </c>
      <c r="E125" s="240">
        <f t="shared" si="5"/>
        <v>23.254999758790703</v>
      </c>
      <c r="F125" s="236">
        <f>D125-'[6]Februāris'!D125</f>
        <v>32341711</v>
      </c>
      <c r="G125" s="109" t="s">
        <v>879</v>
      </c>
      <c r="H125" s="239">
        <f aca="true" t="shared" si="9" ref="H125:H132">ROUND(B125/1000,0)</f>
        <v>404006</v>
      </c>
      <c r="I125" s="239">
        <f>ROUND(C125/1000,0)</f>
        <v>92601</v>
      </c>
      <c r="J125" s="241">
        <f>SUM(J126:J128)</f>
        <v>93952</v>
      </c>
      <c r="K125" s="235">
        <f t="shared" si="6"/>
        <v>23.255100171779628</v>
      </c>
      <c r="L125" s="236">
        <f>J125-'[6]Februāris'!J125</f>
        <v>32342</v>
      </c>
    </row>
    <row r="126" spans="1:12" ht="12.75" customHeight="1">
      <c r="A126" s="194" t="s">
        <v>93</v>
      </c>
      <c r="B126" s="251">
        <v>381116067</v>
      </c>
      <c r="C126" s="252"/>
      <c r="D126" s="252">
        <v>88134092</v>
      </c>
      <c r="E126" s="240">
        <f t="shared" si="5"/>
        <v>23.125262782479332</v>
      </c>
      <c r="F126" s="236">
        <f>D126-'[6]Februāris'!D126</f>
        <v>30491293</v>
      </c>
      <c r="G126" s="194" t="s">
        <v>93</v>
      </c>
      <c r="H126" s="239">
        <f t="shared" si="9"/>
        <v>381116</v>
      </c>
      <c r="I126" s="239"/>
      <c r="J126" s="241">
        <f>ROUND(D126/1000,0)</f>
        <v>88134</v>
      </c>
      <c r="K126" s="235">
        <f t="shared" si="6"/>
        <v>23.125242708256806</v>
      </c>
      <c r="L126" s="236">
        <f>J126-'[6]Februāris'!J126</f>
        <v>30491</v>
      </c>
    </row>
    <row r="127" spans="1:12" ht="12.75" customHeight="1">
      <c r="A127" s="194" t="s">
        <v>94</v>
      </c>
      <c r="B127" s="251">
        <v>3958763</v>
      </c>
      <c r="C127" s="252"/>
      <c r="D127" s="252">
        <v>835430</v>
      </c>
      <c r="E127" s="240">
        <f t="shared" si="5"/>
        <v>21.103309291311454</v>
      </c>
      <c r="F127" s="236">
        <f>D127-'[6]Februāris'!D127</f>
        <v>791013</v>
      </c>
      <c r="G127" s="194" t="s">
        <v>94</v>
      </c>
      <c r="H127" s="239">
        <f t="shared" si="9"/>
        <v>3959</v>
      </c>
      <c r="I127" s="239"/>
      <c r="J127" s="241">
        <f>ROUND(D127/1000,0)</f>
        <v>835</v>
      </c>
      <c r="K127" s="235">
        <f t="shared" si="6"/>
        <v>21.091184642586512</v>
      </c>
      <c r="L127" s="236">
        <f>J127-'[6]Februāris'!J127</f>
        <v>791</v>
      </c>
    </row>
    <row r="128" spans="1:12" ht="12.75" customHeight="1">
      <c r="A128" s="194" t="s">
        <v>95</v>
      </c>
      <c r="B128" s="251">
        <f>22889923-B127</f>
        <v>18931160</v>
      </c>
      <c r="C128" s="252"/>
      <c r="D128" s="252">
        <f>5817500-D127</f>
        <v>4982070</v>
      </c>
      <c r="E128" s="240">
        <f t="shared" si="5"/>
        <v>26.316770868768742</v>
      </c>
      <c r="F128" s="236">
        <f>D128-'[6]Februāris'!D128</f>
        <v>1059405</v>
      </c>
      <c r="G128" s="194" t="s">
        <v>95</v>
      </c>
      <c r="H128" s="239">
        <f t="shared" si="9"/>
        <v>18931</v>
      </c>
      <c r="I128" s="239"/>
      <c r="J128" s="241">
        <f>ROUND(D128/1000,0)+1</f>
        <v>4983</v>
      </c>
      <c r="K128" s="235">
        <f t="shared" si="6"/>
        <v>26.321905868681</v>
      </c>
      <c r="L128" s="236">
        <f>J128-'[6]Februāris'!J128</f>
        <v>1060</v>
      </c>
    </row>
    <row r="129" spans="1:12" ht="12.75" customHeight="1">
      <c r="A129" s="109" t="s">
        <v>50</v>
      </c>
      <c r="B129" s="236">
        <f>B130</f>
        <v>420523274</v>
      </c>
      <c r="C129" s="236">
        <f>C130</f>
        <v>106071872</v>
      </c>
      <c r="D129" s="236">
        <f>D130</f>
        <v>99788794</v>
      </c>
      <c r="E129" s="240">
        <f t="shared" si="5"/>
        <v>23.72967209420138</v>
      </c>
      <c r="F129" s="236">
        <f>D129-'[6]Februāris'!D129</f>
        <v>29648977</v>
      </c>
      <c r="G129" s="109" t="s">
        <v>50</v>
      </c>
      <c r="H129" s="239">
        <f t="shared" si="9"/>
        <v>420523</v>
      </c>
      <c r="I129" s="241">
        <f>I130</f>
        <v>106072</v>
      </c>
      <c r="J129" s="241">
        <f>J130</f>
        <v>99789</v>
      </c>
      <c r="K129" s="235">
        <f t="shared" si="6"/>
        <v>23.729736542353212</v>
      </c>
      <c r="L129" s="236">
        <f>J129-'[6]Februāris'!J129</f>
        <v>29649</v>
      </c>
    </row>
    <row r="130" spans="1:12" ht="12.75" customHeight="1">
      <c r="A130" s="194" t="s">
        <v>99</v>
      </c>
      <c r="B130" s="251">
        <v>420523274</v>
      </c>
      <c r="C130" s="252">
        <f>37274115+35396966+33400791</f>
        <v>106071872</v>
      </c>
      <c r="D130" s="252">
        <v>99788794</v>
      </c>
      <c r="E130" s="240">
        <f t="shared" si="5"/>
        <v>23.72967209420138</v>
      </c>
      <c r="F130" s="236">
        <f>D130-'[6]Februāris'!D130</f>
        <v>29648977</v>
      </c>
      <c r="G130" s="194" t="s">
        <v>99</v>
      </c>
      <c r="H130" s="239">
        <f t="shared" si="9"/>
        <v>420523</v>
      </c>
      <c r="I130" s="239">
        <f>ROUND(C130/1000,0)</f>
        <v>106072</v>
      </c>
      <c r="J130" s="241">
        <f>ROUND(D130/1000,0)</f>
        <v>99789</v>
      </c>
      <c r="K130" s="235">
        <f t="shared" si="6"/>
        <v>23.729736542353212</v>
      </c>
      <c r="L130" s="236">
        <f>J130-'[6]Februāris'!J130</f>
        <v>29649</v>
      </c>
    </row>
    <row r="131" spans="1:12" ht="12.75" customHeight="1">
      <c r="A131" s="109" t="s">
        <v>46</v>
      </c>
      <c r="B131" s="239">
        <f>B125-B129</f>
        <v>-16517284</v>
      </c>
      <c r="C131" s="239">
        <f>C125-C129</f>
        <v>-13470971</v>
      </c>
      <c r="D131" s="239">
        <f>D125-D129</f>
        <v>-5837202</v>
      </c>
      <c r="E131" s="240">
        <f t="shared" si="5"/>
        <v>35.33996267182909</v>
      </c>
      <c r="F131" s="236">
        <f>D131-'[6]Februāris'!D131</f>
        <v>2692734</v>
      </c>
      <c r="G131" s="109" t="s">
        <v>46</v>
      </c>
      <c r="H131" s="239">
        <f t="shared" si="9"/>
        <v>-16517</v>
      </c>
      <c r="I131" s="239">
        <f>ROUND(C131/1000,0)</f>
        <v>-13471</v>
      </c>
      <c r="J131" s="241">
        <f>J125-J129</f>
        <v>-5837</v>
      </c>
      <c r="K131" s="235"/>
      <c r="L131" s="236">
        <f>J131-'[6]Februāris'!J131</f>
        <v>2693</v>
      </c>
    </row>
    <row r="132" spans="1:12" ht="12.75" customHeight="1">
      <c r="A132" s="109" t="s">
        <v>75</v>
      </c>
      <c r="B132" s="239">
        <v>16517284</v>
      </c>
      <c r="C132" s="241">
        <f>7361575+4794702+1314694</f>
        <v>13470971</v>
      </c>
      <c r="D132" s="241">
        <v>5838653</v>
      </c>
      <c r="E132" s="240">
        <f t="shared" si="5"/>
        <v>35.34874740907767</v>
      </c>
      <c r="F132" s="236">
        <f>D132-'[6]Februāris'!D132</f>
        <v>-2693795</v>
      </c>
      <c r="G132" s="109" t="s">
        <v>75</v>
      </c>
      <c r="H132" s="239">
        <f t="shared" si="9"/>
        <v>16517</v>
      </c>
      <c r="I132" s="239">
        <f>ROUND(C132/1000,0)</f>
        <v>13471</v>
      </c>
      <c r="J132" s="241">
        <f>ROUND(D132/1000,0)-1</f>
        <v>5838</v>
      </c>
      <c r="K132" s="235">
        <f t="shared" si="6"/>
        <v>35.34540170733184</v>
      </c>
      <c r="L132" s="236">
        <f>J132-'[6]Februāris'!J132</f>
        <v>-2694</v>
      </c>
    </row>
    <row r="133" spans="1:12" ht="12.75" customHeight="1">
      <c r="A133" s="142" t="s">
        <v>100</v>
      </c>
      <c r="B133" s="236"/>
      <c r="C133" s="236"/>
      <c r="D133" s="236"/>
      <c r="E133" s="240"/>
      <c r="F133" s="236">
        <f>D133-'[6]Februāris'!D133</f>
        <v>0</v>
      </c>
      <c r="G133" s="142" t="s">
        <v>100</v>
      </c>
      <c r="H133" s="239"/>
      <c r="I133" s="239"/>
      <c r="J133" s="241"/>
      <c r="K133" s="235"/>
      <c r="L133" s="236"/>
    </row>
    <row r="134" spans="1:12" ht="12.75" customHeight="1">
      <c r="A134" s="109" t="s">
        <v>879</v>
      </c>
      <c r="B134" s="236">
        <f>SUM(B135:B137)</f>
        <v>33701584</v>
      </c>
      <c r="C134" s="242">
        <f>3339472+3396859+2514169</f>
        <v>9250500</v>
      </c>
      <c r="D134" s="236">
        <f>SUM(D135:D137)</f>
        <v>9207996</v>
      </c>
      <c r="E134" s="240">
        <f t="shared" si="5"/>
        <v>27.322146045123574</v>
      </c>
      <c r="F134" s="236">
        <f>D134-'[6]Februāris'!D134</f>
        <v>2483938</v>
      </c>
      <c r="G134" s="109" t="s">
        <v>879</v>
      </c>
      <c r="H134" s="239">
        <f aca="true" t="shared" si="10" ref="H134:H141">ROUND(B134/1000,0)</f>
        <v>33702</v>
      </c>
      <c r="I134" s="239">
        <f>ROUND(C134/1000,0)</f>
        <v>9251</v>
      </c>
      <c r="J134" s="241">
        <f>SUM(J135:J137)</f>
        <v>9208</v>
      </c>
      <c r="K134" s="235">
        <f t="shared" si="6"/>
        <v>27.32182066346211</v>
      </c>
      <c r="L134" s="236">
        <f>J134-'[6]Februāris'!J134</f>
        <v>2484</v>
      </c>
    </row>
    <row r="135" spans="1:12" ht="12.75" customHeight="1">
      <c r="A135" s="194" t="s">
        <v>93</v>
      </c>
      <c r="B135" s="251">
        <v>30619372</v>
      </c>
      <c r="C135" s="252"/>
      <c r="D135" s="252">
        <v>6977561</v>
      </c>
      <c r="E135" s="240">
        <f t="shared" si="5"/>
        <v>22.788060447484032</v>
      </c>
      <c r="F135" s="236">
        <f>D135-'[6]Februāris'!D135</f>
        <v>2414071</v>
      </c>
      <c r="G135" s="194" t="s">
        <v>93</v>
      </c>
      <c r="H135" s="239">
        <f t="shared" si="10"/>
        <v>30619</v>
      </c>
      <c r="I135" s="239"/>
      <c r="J135" s="241">
        <f>ROUND(D135/1000,0)</f>
        <v>6978</v>
      </c>
      <c r="K135" s="235">
        <f t="shared" si="6"/>
        <v>22.789771057186712</v>
      </c>
      <c r="L135" s="236">
        <f>J135-'[6]Februāris'!J135</f>
        <v>2414</v>
      </c>
    </row>
    <row r="136" spans="1:12" ht="12.75" customHeight="1">
      <c r="A136" s="194" t="s">
        <v>94</v>
      </c>
      <c r="B136" s="251">
        <v>443931</v>
      </c>
      <c r="C136" s="252"/>
      <c r="D136" s="252">
        <v>85627</v>
      </c>
      <c r="E136" s="240">
        <f t="shared" si="5"/>
        <v>19.288357875435597</v>
      </c>
      <c r="F136" s="236">
        <f>D136-'[6]Februāris'!D136</f>
        <v>32479</v>
      </c>
      <c r="G136" s="194" t="s">
        <v>94</v>
      </c>
      <c r="H136" s="239">
        <f t="shared" si="10"/>
        <v>444</v>
      </c>
      <c r="I136" s="239"/>
      <c r="J136" s="241">
        <f>ROUND(D136/1000,0)</f>
        <v>86</v>
      </c>
      <c r="K136" s="235">
        <f t="shared" si="6"/>
        <v>19.36936936936937</v>
      </c>
      <c r="L136" s="236">
        <f>J136-'[6]Februāris'!J136</f>
        <v>33</v>
      </c>
    </row>
    <row r="137" spans="1:12" ht="12.75" customHeight="1">
      <c r="A137" s="194" t="s">
        <v>95</v>
      </c>
      <c r="B137" s="251">
        <f>3082212-B136</f>
        <v>2638281</v>
      </c>
      <c r="C137" s="252"/>
      <c r="D137" s="252">
        <f>2230435-D136</f>
        <v>2144808</v>
      </c>
      <c r="E137" s="240">
        <f t="shared" si="5"/>
        <v>81.29566183435351</v>
      </c>
      <c r="F137" s="236">
        <f>D137-'[6]Februāris'!D137</f>
        <v>37388</v>
      </c>
      <c r="G137" s="194" t="s">
        <v>95</v>
      </c>
      <c r="H137" s="239">
        <f t="shared" si="10"/>
        <v>2638</v>
      </c>
      <c r="I137" s="239"/>
      <c r="J137" s="241">
        <f>ROUND(D137/1000,0)-1</f>
        <v>2144</v>
      </c>
      <c r="K137" s="235">
        <f t="shared" si="6"/>
        <v>81.27369219105383</v>
      </c>
      <c r="L137" s="236">
        <f>J137-'[6]Februāris'!J137</f>
        <v>37</v>
      </c>
    </row>
    <row r="138" spans="1:12" ht="12.75" customHeight="1">
      <c r="A138" s="109" t="s">
        <v>50</v>
      </c>
      <c r="B138" s="236">
        <f>B139</f>
        <v>34352435</v>
      </c>
      <c r="C138" s="236">
        <f>C139</f>
        <v>8463223</v>
      </c>
      <c r="D138" s="236">
        <f>D139</f>
        <v>6641966</v>
      </c>
      <c r="E138" s="240">
        <f t="shared" si="5"/>
        <v>19.334774958456364</v>
      </c>
      <c r="F138" s="236">
        <f>D138-'[6]Februāris'!D138</f>
        <v>2369530</v>
      </c>
      <c r="G138" s="109" t="s">
        <v>50</v>
      </c>
      <c r="H138" s="239">
        <f t="shared" si="10"/>
        <v>34352</v>
      </c>
      <c r="I138" s="239">
        <f>ROUND(C138/1000,0)</f>
        <v>8463</v>
      </c>
      <c r="J138" s="241">
        <f>J139</f>
        <v>6642</v>
      </c>
      <c r="K138" s="235">
        <f t="shared" si="6"/>
        <v>19.33511877037727</v>
      </c>
      <c r="L138" s="236">
        <f>J138-'[6]Februāris'!J138</f>
        <v>2370</v>
      </c>
    </row>
    <row r="139" spans="1:12" ht="12.75" customHeight="1">
      <c r="A139" s="194" t="s">
        <v>99</v>
      </c>
      <c r="B139" s="251">
        <v>34352435</v>
      </c>
      <c r="C139" s="252">
        <f>2584412+2945732+2933079</f>
        <v>8463223</v>
      </c>
      <c r="D139" s="252">
        <v>6641966</v>
      </c>
      <c r="E139" s="240">
        <f t="shared" si="5"/>
        <v>19.334774958456364</v>
      </c>
      <c r="F139" s="236">
        <f>D139-'[6]Februāris'!D139</f>
        <v>2369530</v>
      </c>
      <c r="G139" s="194" t="s">
        <v>99</v>
      </c>
      <c r="H139" s="239">
        <f t="shared" si="10"/>
        <v>34352</v>
      </c>
      <c r="I139" s="239">
        <f>ROUND(C139/1000,0)</f>
        <v>8463</v>
      </c>
      <c r="J139" s="241">
        <f>ROUND(D139/1000,0)</f>
        <v>6642</v>
      </c>
      <c r="K139" s="235">
        <f t="shared" si="6"/>
        <v>19.33511877037727</v>
      </c>
      <c r="L139" s="236">
        <f>J139-'[6]Februāris'!J139</f>
        <v>2370</v>
      </c>
    </row>
    <row r="140" spans="1:12" ht="12.75" customHeight="1">
      <c r="A140" s="109" t="s">
        <v>46</v>
      </c>
      <c r="B140" s="236">
        <f>B134-B138</f>
        <v>-650851</v>
      </c>
      <c r="C140" s="236">
        <f>C134-C138</f>
        <v>787277</v>
      </c>
      <c r="D140" s="236">
        <f>D134-D138</f>
        <v>2566030</v>
      </c>
      <c r="E140" s="240">
        <f t="shared" si="5"/>
        <v>-394.2576718788171</v>
      </c>
      <c r="F140" s="236">
        <f>D140-'[6]Februāris'!D140</f>
        <v>114408</v>
      </c>
      <c r="G140" s="109" t="s">
        <v>46</v>
      </c>
      <c r="H140" s="239">
        <f t="shared" si="10"/>
        <v>-651</v>
      </c>
      <c r="I140" s="239">
        <f>ROUND(C140/1000,0)</f>
        <v>787</v>
      </c>
      <c r="J140" s="241">
        <f>J134-J138</f>
        <v>2566</v>
      </c>
      <c r="K140" s="235"/>
      <c r="L140" s="236">
        <f>J140-'[6]Februāris'!J140</f>
        <v>114</v>
      </c>
    </row>
    <row r="141" spans="1:12" ht="12.75" customHeight="1">
      <c r="A141" s="109" t="s">
        <v>75</v>
      </c>
      <c r="B141" s="236">
        <v>650851</v>
      </c>
      <c r="C141" s="242">
        <f>-755060-451127+418910</f>
        <v>-787277</v>
      </c>
      <c r="D141" s="242"/>
      <c r="E141" s="240"/>
      <c r="F141" s="236">
        <f>D141-'[6]Februāris'!D141</f>
        <v>0</v>
      </c>
      <c r="G141" s="109" t="s">
        <v>75</v>
      </c>
      <c r="H141" s="239">
        <f t="shared" si="10"/>
        <v>651</v>
      </c>
      <c r="I141" s="239">
        <f>ROUND(C141/1000,0)</f>
        <v>-787</v>
      </c>
      <c r="J141" s="241"/>
      <c r="K141" s="235"/>
      <c r="L141" s="236"/>
    </row>
    <row r="142" spans="1:12" ht="12.75" customHeight="1">
      <c r="A142" s="142" t="s">
        <v>101</v>
      </c>
      <c r="B142" s="236"/>
      <c r="C142" s="236"/>
      <c r="D142" s="236"/>
      <c r="E142" s="240"/>
      <c r="F142" s="236">
        <f>D142-'[6]Februāris'!D142</f>
        <v>0</v>
      </c>
      <c r="G142" s="142" t="s">
        <v>101</v>
      </c>
      <c r="H142" s="239"/>
      <c r="I142" s="239"/>
      <c r="J142" s="241"/>
      <c r="K142" s="235"/>
      <c r="L142" s="236"/>
    </row>
    <row r="143" spans="1:12" ht="12.75" customHeight="1">
      <c r="A143" s="109" t="s">
        <v>879</v>
      </c>
      <c r="B143" s="236">
        <f>SUM(B144:B145)</f>
        <v>1323732</v>
      </c>
      <c r="C143" s="242">
        <f>97688+99893+105015</f>
        <v>302596</v>
      </c>
      <c r="D143" s="236">
        <f>SUM(D144:D145)</f>
        <v>299823</v>
      </c>
      <c r="E143" s="240">
        <f aca="true" t="shared" si="11" ref="E143:E187">D143/B143*100</f>
        <v>22.64982639990572</v>
      </c>
      <c r="F143" s="236">
        <f>D143-'[6]Februāris'!D143</f>
        <v>103543</v>
      </c>
      <c r="G143" s="109" t="s">
        <v>879</v>
      </c>
      <c r="H143" s="239">
        <f aca="true" t="shared" si="12" ref="H143:H148">ROUND(B143/1000,0)</f>
        <v>1324</v>
      </c>
      <c r="I143" s="239">
        <f>ROUND(C143/1000,0)</f>
        <v>303</v>
      </c>
      <c r="J143" s="241">
        <f>SUM(J144:J145)</f>
        <v>300</v>
      </c>
      <c r="K143" s="235">
        <f aca="true" t="shared" si="13" ref="K143:K187">J143/H143*100</f>
        <v>22.658610271903324</v>
      </c>
      <c r="L143" s="236">
        <f>J143-'[6]Februāris'!J143</f>
        <v>104</v>
      </c>
    </row>
    <row r="144" spans="1:12" ht="12.75" customHeight="1">
      <c r="A144" s="194" t="s">
        <v>93</v>
      </c>
      <c r="B144" s="251">
        <v>1302952</v>
      </c>
      <c r="C144" s="252"/>
      <c r="D144" s="252">
        <v>296918</v>
      </c>
      <c r="E144" s="240">
        <f t="shared" si="11"/>
        <v>22.788099638359665</v>
      </c>
      <c r="F144" s="236">
        <f>D144-'[6]Februāris'!D144</f>
        <v>102727</v>
      </c>
      <c r="G144" s="194" t="s">
        <v>93</v>
      </c>
      <c r="H144" s="239">
        <f t="shared" si="12"/>
        <v>1303</v>
      </c>
      <c r="I144" s="239"/>
      <c r="J144" s="241">
        <f>ROUND(D144/1000,0)</f>
        <v>297</v>
      </c>
      <c r="K144" s="235">
        <f t="shared" si="13"/>
        <v>22.793553338449733</v>
      </c>
      <c r="L144" s="236">
        <f>J144-'[6]Februāris'!J144</f>
        <v>103</v>
      </c>
    </row>
    <row r="145" spans="1:12" ht="12.75" customHeight="1">
      <c r="A145" s="194" t="s">
        <v>95</v>
      </c>
      <c r="B145" s="251">
        <v>20780</v>
      </c>
      <c r="C145" s="252"/>
      <c r="D145" s="252">
        <v>2905</v>
      </c>
      <c r="E145" s="240">
        <f t="shared" si="11"/>
        <v>13.979788257940326</v>
      </c>
      <c r="F145" s="236">
        <f>D145-'[6]Februāris'!D145</f>
        <v>816</v>
      </c>
      <c r="G145" s="194" t="s">
        <v>95</v>
      </c>
      <c r="H145" s="239">
        <f t="shared" si="12"/>
        <v>21</v>
      </c>
      <c r="I145" s="239"/>
      <c r="J145" s="241">
        <f>ROUND(D145/1000,0)</f>
        <v>3</v>
      </c>
      <c r="K145" s="235">
        <f t="shared" si="13"/>
        <v>14.285714285714285</v>
      </c>
      <c r="L145" s="236">
        <f>J145-'[6]Februāris'!J145</f>
        <v>1</v>
      </c>
    </row>
    <row r="146" spans="1:12" ht="12.75" customHeight="1">
      <c r="A146" s="109" t="s">
        <v>50</v>
      </c>
      <c r="B146" s="236">
        <f>B147</f>
        <v>1260422</v>
      </c>
      <c r="C146" s="236">
        <f>C147</f>
        <v>275185</v>
      </c>
      <c r="D146" s="236">
        <f>D147</f>
        <v>199982</v>
      </c>
      <c r="E146" s="240">
        <f t="shared" si="11"/>
        <v>15.866273359240001</v>
      </c>
      <c r="F146" s="236">
        <f>D146-'[6]Februāris'!D146</f>
        <v>59381</v>
      </c>
      <c r="G146" s="109" t="s">
        <v>50</v>
      </c>
      <c r="H146" s="239">
        <f t="shared" si="12"/>
        <v>1260</v>
      </c>
      <c r="I146" s="241">
        <f>I147</f>
        <v>275</v>
      </c>
      <c r="J146" s="241">
        <f>J147</f>
        <v>200</v>
      </c>
      <c r="K146" s="235">
        <f t="shared" si="13"/>
        <v>15.873015873015872</v>
      </c>
      <c r="L146" s="236">
        <f>J146-'[6]Februāris'!J146</f>
        <v>59</v>
      </c>
    </row>
    <row r="147" spans="1:12" ht="12.75" customHeight="1">
      <c r="A147" s="194" t="s">
        <v>99</v>
      </c>
      <c r="B147" s="251">
        <v>1260422</v>
      </c>
      <c r="C147" s="252">
        <f>93302+96381+85502</f>
        <v>275185</v>
      </c>
      <c r="D147" s="252">
        <v>199982</v>
      </c>
      <c r="E147" s="240">
        <f t="shared" si="11"/>
        <v>15.866273359240001</v>
      </c>
      <c r="F147" s="236">
        <f>D147-'[6]Februāris'!D147</f>
        <v>59381</v>
      </c>
      <c r="G147" s="194" t="s">
        <v>99</v>
      </c>
      <c r="H147" s="239">
        <f t="shared" si="12"/>
        <v>1260</v>
      </c>
      <c r="I147" s="239">
        <f>ROUND(C147/1000,0)</f>
        <v>275</v>
      </c>
      <c r="J147" s="241">
        <f>ROUND(D147/1000,0)</f>
        <v>200</v>
      </c>
      <c r="K147" s="235">
        <f t="shared" si="13"/>
        <v>15.873015873015872</v>
      </c>
      <c r="L147" s="236">
        <f>J147-'[6]Februāris'!J147</f>
        <v>59</v>
      </c>
    </row>
    <row r="148" spans="1:12" ht="12.75" customHeight="1">
      <c r="A148" s="109" t="s">
        <v>46</v>
      </c>
      <c r="B148" s="236">
        <f>B143-B146</f>
        <v>63310</v>
      </c>
      <c r="C148" s="236">
        <f>C143-C146</f>
        <v>27411</v>
      </c>
      <c r="D148" s="236">
        <f>D143-D146</f>
        <v>99841</v>
      </c>
      <c r="E148" s="240">
        <f t="shared" si="11"/>
        <v>157.7017848681093</v>
      </c>
      <c r="F148" s="236">
        <f>D148-'[6]Februāris'!D148</f>
        <v>44162</v>
      </c>
      <c r="G148" s="109" t="s">
        <v>46</v>
      </c>
      <c r="H148" s="239">
        <f t="shared" si="12"/>
        <v>63</v>
      </c>
      <c r="I148" s="239">
        <f>ROUND(C148/1000,0)</f>
        <v>27</v>
      </c>
      <c r="J148" s="241">
        <f>J143-J146</f>
        <v>100</v>
      </c>
      <c r="K148" s="235"/>
      <c r="L148" s="236">
        <f>J148-'[6]Februāris'!J148</f>
        <v>45</v>
      </c>
    </row>
    <row r="149" spans="1:12" ht="25.5">
      <c r="A149" s="96" t="s">
        <v>102</v>
      </c>
      <c r="B149" s="236"/>
      <c r="C149" s="236"/>
      <c r="D149" s="236"/>
      <c r="E149" s="240"/>
      <c r="F149" s="236">
        <f>D149-'[6]Februāris'!D149</f>
        <v>0</v>
      </c>
      <c r="G149" s="96" t="s">
        <v>102</v>
      </c>
      <c r="H149" s="239"/>
      <c r="I149" s="239"/>
      <c r="J149" s="241"/>
      <c r="K149" s="235"/>
      <c r="L149" s="236"/>
    </row>
    <row r="150" spans="1:12" ht="12.75" customHeight="1">
      <c r="A150" s="109" t="s">
        <v>879</v>
      </c>
      <c r="B150" s="236">
        <f>SUM(B151:B152)</f>
        <v>82726409</v>
      </c>
      <c r="C150" s="242">
        <f>6094293+6233924+6558403</f>
        <v>18886620</v>
      </c>
      <c r="D150" s="236">
        <f>SUM(D151:D152)</f>
        <v>18934227</v>
      </c>
      <c r="E150" s="240">
        <f t="shared" si="11"/>
        <v>22.887766106226128</v>
      </c>
      <c r="F150" s="236">
        <f>D150-'[6]Februāris'!D150</f>
        <v>6535844</v>
      </c>
      <c r="G150" s="109" t="s">
        <v>879</v>
      </c>
      <c r="H150" s="239">
        <f aca="true" t="shared" si="14" ref="H150:I191">ROUND(B150/1000,0)</f>
        <v>82726</v>
      </c>
      <c r="I150" s="239">
        <f t="shared" si="14"/>
        <v>18887</v>
      </c>
      <c r="J150" s="241">
        <f>SUM(J151:J152)</f>
        <v>18934</v>
      </c>
      <c r="K150" s="235">
        <f t="shared" si="13"/>
        <v>22.887604864250658</v>
      </c>
      <c r="L150" s="236">
        <f>J150-'[6]Februāris'!J150</f>
        <v>6536</v>
      </c>
    </row>
    <row r="151" spans="1:12" ht="12.75" customHeight="1">
      <c r="A151" s="194" t="s">
        <v>93</v>
      </c>
      <c r="B151" s="251">
        <v>82546999</v>
      </c>
      <c r="C151" s="252"/>
      <c r="D151" s="252">
        <v>18808581</v>
      </c>
      <c r="E151" s="240">
        <f t="shared" si="11"/>
        <v>22.78529956007244</v>
      </c>
      <c r="F151" s="236">
        <f>D151-'[6]Februāris'!D151</f>
        <v>6507323</v>
      </c>
      <c r="G151" s="194" t="s">
        <v>93</v>
      </c>
      <c r="H151" s="239">
        <f t="shared" si="14"/>
        <v>82547</v>
      </c>
      <c r="I151" s="239"/>
      <c r="J151" s="241">
        <f>ROUND(D151/1000,0)-1</f>
        <v>18808</v>
      </c>
      <c r="K151" s="235">
        <f t="shared" si="13"/>
        <v>22.784595442596338</v>
      </c>
      <c r="L151" s="236">
        <f>J151-'[6]Februāris'!J151</f>
        <v>6507</v>
      </c>
    </row>
    <row r="152" spans="1:12" ht="12.75" customHeight="1">
      <c r="A152" s="194" t="s">
        <v>95</v>
      </c>
      <c r="B152" s="251">
        <v>179410</v>
      </c>
      <c r="C152" s="252"/>
      <c r="D152" s="252">
        <v>125646</v>
      </c>
      <c r="E152" s="240">
        <f t="shared" si="11"/>
        <v>70.03288556936626</v>
      </c>
      <c r="F152" s="236">
        <f>D152-'[6]Februāris'!D152</f>
        <v>28521</v>
      </c>
      <c r="G152" s="194" t="s">
        <v>95</v>
      </c>
      <c r="H152" s="239">
        <f t="shared" si="14"/>
        <v>179</v>
      </c>
      <c r="I152" s="239"/>
      <c r="J152" s="241">
        <f>ROUND(D152/1000,0)</f>
        <v>126</v>
      </c>
      <c r="K152" s="235">
        <f t="shared" si="13"/>
        <v>70.39106145251397</v>
      </c>
      <c r="L152" s="236">
        <f>J152-'[6]Februāris'!J152</f>
        <v>29</v>
      </c>
    </row>
    <row r="153" spans="1:12" ht="12.75" customHeight="1">
      <c r="A153" s="109" t="s">
        <v>50</v>
      </c>
      <c r="B153" s="236">
        <f>B154</f>
        <v>91505042</v>
      </c>
      <c r="C153" s="236">
        <f>C154</f>
        <v>23461598</v>
      </c>
      <c r="D153" s="236">
        <f>D154</f>
        <v>21799556</v>
      </c>
      <c r="E153" s="240">
        <f t="shared" si="11"/>
        <v>23.823338609035336</v>
      </c>
      <c r="F153" s="236">
        <f>D153-'[6]Februāris'!D153</f>
        <v>6917070</v>
      </c>
      <c r="G153" s="109" t="s">
        <v>50</v>
      </c>
      <c r="H153" s="239">
        <f t="shared" si="14"/>
        <v>91505</v>
      </c>
      <c r="I153" s="239">
        <f t="shared" si="14"/>
        <v>23462</v>
      </c>
      <c r="J153" s="241">
        <f>J154</f>
        <v>21800</v>
      </c>
      <c r="K153" s="235">
        <f t="shared" si="13"/>
        <v>23.8238347631277</v>
      </c>
      <c r="L153" s="236">
        <f>J153-'[6]Februāris'!J153</f>
        <v>6918</v>
      </c>
    </row>
    <row r="154" spans="1:12" ht="12.75" customHeight="1">
      <c r="A154" s="194" t="s">
        <v>99</v>
      </c>
      <c r="B154" s="251">
        <v>91505042</v>
      </c>
      <c r="C154" s="252">
        <f>7788524+7918298+7754776</f>
        <v>23461598</v>
      </c>
      <c r="D154" s="252">
        <v>21799556</v>
      </c>
      <c r="E154" s="240">
        <f t="shared" si="11"/>
        <v>23.823338609035336</v>
      </c>
      <c r="F154" s="236">
        <f>D154-'[6]Februāris'!D154</f>
        <v>6917070</v>
      </c>
      <c r="G154" s="194" t="s">
        <v>99</v>
      </c>
      <c r="H154" s="239">
        <f t="shared" si="14"/>
        <v>91505</v>
      </c>
      <c r="I154" s="239">
        <f t="shared" si="14"/>
        <v>23462</v>
      </c>
      <c r="J154" s="241">
        <f>ROUND(D154/1000,0)</f>
        <v>21800</v>
      </c>
      <c r="K154" s="235">
        <f t="shared" si="13"/>
        <v>23.8238347631277</v>
      </c>
      <c r="L154" s="236">
        <f>J154-'[6]Februāris'!J154</f>
        <v>6918</v>
      </c>
    </row>
    <row r="155" spans="1:12" ht="12.75" customHeight="1">
      <c r="A155" s="109" t="s">
        <v>46</v>
      </c>
      <c r="B155" s="236">
        <f>B150-B153</f>
        <v>-8778633</v>
      </c>
      <c r="C155" s="236">
        <f>C150-C153</f>
        <v>-4574978</v>
      </c>
      <c r="D155" s="236">
        <f>D150-D153</f>
        <v>-2865329</v>
      </c>
      <c r="E155" s="240">
        <f t="shared" si="11"/>
        <v>32.63980849865805</v>
      </c>
      <c r="F155" s="236">
        <f>D155-'[6]Februāris'!D155</f>
        <v>-381226</v>
      </c>
      <c r="G155" s="109" t="s">
        <v>46</v>
      </c>
      <c r="H155" s="239">
        <f t="shared" si="14"/>
        <v>-8779</v>
      </c>
      <c r="I155" s="239">
        <f t="shared" si="14"/>
        <v>-4575</v>
      </c>
      <c r="J155" s="241">
        <f>J150-J153</f>
        <v>-2866</v>
      </c>
      <c r="K155" s="235"/>
      <c r="L155" s="236">
        <f>J155-'[6]Februāris'!J155</f>
        <v>-382</v>
      </c>
    </row>
    <row r="156" spans="1:12" ht="12.75" customHeight="1">
      <c r="A156" s="109" t="s">
        <v>75</v>
      </c>
      <c r="B156" s="239">
        <v>8778633</v>
      </c>
      <c r="C156" s="241">
        <f>1694231+1684374+1196373</f>
        <v>4574978</v>
      </c>
      <c r="D156" s="241">
        <v>2865517</v>
      </c>
      <c r="E156" s="240">
        <f t="shared" si="11"/>
        <v>32.6419500621566</v>
      </c>
      <c r="F156" s="236">
        <f>D156-'[6]Februāris'!D156</f>
        <v>380327</v>
      </c>
      <c r="G156" s="109" t="s">
        <v>75</v>
      </c>
      <c r="H156" s="239">
        <f t="shared" si="14"/>
        <v>8779</v>
      </c>
      <c r="I156" s="239">
        <f t="shared" si="14"/>
        <v>4575</v>
      </c>
      <c r="J156" s="241">
        <f>ROUND(D156/1000,0)</f>
        <v>2866</v>
      </c>
      <c r="K156" s="235">
        <f t="shared" si="13"/>
        <v>32.64608725367354</v>
      </c>
      <c r="L156" s="236">
        <f>J156-'[6]Februāris'!J156</f>
        <v>381</v>
      </c>
    </row>
    <row r="157" spans="1:12" ht="25.5">
      <c r="A157" s="119" t="s">
        <v>103</v>
      </c>
      <c r="B157" s="236"/>
      <c r="C157" s="236"/>
      <c r="D157" s="236"/>
      <c r="E157" s="240"/>
      <c r="F157" s="236">
        <f>D157-'[6]Februāris'!D157</f>
        <v>0</v>
      </c>
      <c r="G157" s="96" t="s">
        <v>103</v>
      </c>
      <c r="H157" s="239"/>
      <c r="I157" s="239"/>
      <c r="J157" s="241"/>
      <c r="K157" s="235"/>
      <c r="L157" s="236"/>
    </row>
    <row r="158" spans="1:12" ht="12.75" customHeight="1">
      <c r="A158" s="109" t="s">
        <v>879</v>
      </c>
      <c r="B158" s="236">
        <f>SUM(B159:B160)</f>
        <v>9843296</v>
      </c>
      <c r="C158" s="242">
        <f>591852+775370+827390</f>
        <v>2194612</v>
      </c>
      <c r="D158" s="236">
        <f>SUM(D159:D160)</f>
        <v>2194612</v>
      </c>
      <c r="E158" s="240">
        <f t="shared" si="11"/>
        <v>22.29549939369902</v>
      </c>
      <c r="F158" s="236">
        <f>D158-'[6]Februāris'!D158</f>
        <v>827390</v>
      </c>
      <c r="G158" s="109" t="s">
        <v>879</v>
      </c>
      <c r="H158" s="239">
        <f t="shared" si="14"/>
        <v>9843</v>
      </c>
      <c r="I158" s="239">
        <f t="shared" si="14"/>
        <v>2195</v>
      </c>
      <c r="J158" s="241">
        <f>SUM(J159:J160)</f>
        <v>2195</v>
      </c>
      <c r="K158" s="235">
        <f t="shared" si="13"/>
        <v>22.30011175454638</v>
      </c>
      <c r="L158" s="236">
        <f>J158-'[6]Februāris'!J158</f>
        <v>828</v>
      </c>
    </row>
    <row r="159" spans="1:12" ht="12.75" customHeight="1">
      <c r="A159" s="194" t="s">
        <v>94</v>
      </c>
      <c r="B159" s="251">
        <f>300000+1890000</f>
        <v>2190000</v>
      </c>
      <c r="C159" s="252"/>
      <c r="D159" s="252">
        <v>488840</v>
      </c>
      <c r="E159" s="240">
        <f>D159/B159*100</f>
        <v>22.321461187214613</v>
      </c>
      <c r="F159" s="236">
        <f>D159-'[6]Februāris'!D159</f>
        <v>159800</v>
      </c>
      <c r="G159" s="194" t="s">
        <v>94</v>
      </c>
      <c r="H159" s="239">
        <f t="shared" si="14"/>
        <v>2190</v>
      </c>
      <c r="I159" s="239"/>
      <c r="J159" s="241">
        <f>ROUND(D159/1000,0)</f>
        <v>489</v>
      </c>
      <c r="K159" s="235">
        <f t="shared" si="13"/>
        <v>22.328767123287673</v>
      </c>
      <c r="L159" s="236">
        <f>J159-'[6]Februāris'!J159</f>
        <v>160</v>
      </c>
    </row>
    <row r="160" spans="1:12" ht="12.75" customHeight="1">
      <c r="A160" s="194" t="s">
        <v>95</v>
      </c>
      <c r="B160" s="251">
        <f>9843296-B159</f>
        <v>7653296</v>
      </c>
      <c r="C160" s="252"/>
      <c r="D160" s="252">
        <f>2194612-D159</f>
        <v>1705772</v>
      </c>
      <c r="E160" s="240">
        <f>D160/B160*100</f>
        <v>22.288070394768475</v>
      </c>
      <c r="F160" s="236">
        <f>D160-'[6]Februāris'!D160</f>
        <v>667590</v>
      </c>
      <c r="G160" s="194" t="s">
        <v>95</v>
      </c>
      <c r="H160" s="239">
        <f t="shared" si="14"/>
        <v>7653</v>
      </c>
      <c r="I160" s="239"/>
      <c r="J160" s="241">
        <f>ROUND(D160/1000,0)</f>
        <v>1706</v>
      </c>
      <c r="K160" s="235">
        <f t="shared" si="13"/>
        <v>22.291911668626682</v>
      </c>
      <c r="L160" s="236">
        <f>J160-'[6]Februāris'!J160</f>
        <v>668</v>
      </c>
    </row>
    <row r="161" spans="1:12" ht="12.75" customHeight="1">
      <c r="A161" s="109" t="s">
        <v>50</v>
      </c>
      <c r="B161" s="236">
        <f>B162+B164</f>
        <v>12108296</v>
      </c>
      <c r="C161" s="236">
        <f>C162+C164</f>
        <v>2561802</v>
      </c>
      <c r="D161" s="236">
        <f>D162+D164</f>
        <v>2021723</v>
      </c>
      <c r="E161" s="240">
        <f t="shared" si="11"/>
        <v>16.69700674644888</v>
      </c>
      <c r="F161" s="236">
        <f>D161-'[6]Februāris'!D161</f>
        <v>757098</v>
      </c>
      <c r="G161" s="109" t="s">
        <v>50</v>
      </c>
      <c r="H161" s="239">
        <f t="shared" si="14"/>
        <v>12108</v>
      </c>
      <c r="I161" s="241">
        <f>I162+I164</f>
        <v>2562</v>
      </c>
      <c r="J161" s="241">
        <f>J162+J164</f>
        <v>2022</v>
      </c>
      <c r="K161" s="235">
        <f t="shared" si="13"/>
        <v>16.69970267591675</v>
      </c>
      <c r="L161" s="236">
        <f>J161-'[6]Februāris'!J161</f>
        <v>757</v>
      </c>
    </row>
    <row r="162" spans="1:12" ht="12.75" customHeight="1">
      <c r="A162" s="181" t="s">
        <v>99</v>
      </c>
      <c r="B162" s="251">
        <v>8683296</v>
      </c>
      <c r="C162" s="252">
        <f>535782+680000+701500</f>
        <v>1917282</v>
      </c>
      <c r="D162" s="252">
        <v>1884961</v>
      </c>
      <c r="E162" s="240">
        <f t="shared" si="11"/>
        <v>21.707897554108484</v>
      </c>
      <c r="F162" s="236">
        <f>D162-'[6]Februāris'!D162</f>
        <v>698225</v>
      </c>
      <c r="G162" s="181" t="s">
        <v>99</v>
      </c>
      <c r="H162" s="239">
        <f t="shared" si="14"/>
        <v>8683</v>
      </c>
      <c r="I162" s="239">
        <f t="shared" si="14"/>
        <v>1917</v>
      </c>
      <c r="J162" s="241">
        <f>ROUND(D162/1000,0)</f>
        <v>1885</v>
      </c>
      <c r="K162" s="235">
        <f t="shared" si="13"/>
        <v>21.709086721179315</v>
      </c>
      <c r="L162" s="236">
        <f>J162-'[6]Februāris'!J162</f>
        <v>698</v>
      </c>
    </row>
    <row r="163" spans="1:12" ht="12.75" customHeight="1">
      <c r="A163" s="194" t="s">
        <v>84</v>
      </c>
      <c r="B163" s="251">
        <v>10782</v>
      </c>
      <c r="C163" s="252"/>
      <c r="D163" s="252"/>
      <c r="E163" s="240">
        <f t="shared" si="11"/>
        <v>0</v>
      </c>
      <c r="F163" s="236">
        <f>D163-'[6]Februāris'!D163</f>
        <v>0</v>
      </c>
      <c r="G163" s="194" t="s">
        <v>84</v>
      </c>
      <c r="H163" s="239">
        <f t="shared" si="14"/>
        <v>11</v>
      </c>
      <c r="I163" s="239"/>
      <c r="J163" s="241"/>
      <c r="K163" s="235"/>
      <c r="L163" s="236"/>
    </row>
    <row r="164" spans="1:12" ht="12.75" customHeight="1">
      <c r="A164" s="181" t="s">
        <v>104</v>
      </c>
      <c r="B164" s="251">
        <v>3425000</v>
      </c>
      <c r="C164" s="252">
        <f>234780+215420+194320</f>
        <v>644520</v>
      </c>
      <c r="D164" s="252">
        <v>136762</v>
      </c>
      <c r="E164" s="240">
        <f t="shared" si="11"/>
        <v>3.993051094890511</v>
      </c>
      <c r="F164" s="236">
        <f>D164-'[6]Februāris'!D164</f>
        <v>58873</v>
      </c>
      <c r="G164" s="181" t="s">
        <v>104</v>
      </c>
      <c r="H164" s="239">
        <f t="shared" si="14"/>
        <v>3425</v>
      </c>
      <c r="I164" s="239">
        <f t="shared" si="14"/>
        <v>645</v>
      </c>
      <c r="J164" s="241">
        <f>ROUND(D164/1000,0)</f>
        <v>137</v>
      </c>
      <c r="K164" s="235">
        <f t="shared" si="13"/>
        <v>4</v>
      </c>
      <c r="L164" s="236">
        <f>J164-'[6]Februāris'!J164</f>
        <v>59</v>
      </c>
    </row>
    <row r="165" spans="1:12" ht="12.75" customHeight="1">
      <c r="A165" s="109" t="s">
        <v>46</v>
      </c>
      <c r="B165" s="236">
        <f>B158-B161</f>
        <v>-2265000</v>
      </c>
      <c r="C165" s="236">
        <f>C158-C161</f>
        <v>-367190</v>
      </c>
      <c r="D165" s="236">
        <f>D158-D161</f>
        <v>172889</v>
      </c>
      <c r="E165" s="240">
        <f t="shared" si="11"/>
        <v>-7.633068432671082</v>
      </c>
      <c r="F165" s="236">
        <f>D165-'[6]Februāris'!D165</f>
        <v>70292</v>
      </c>
      <c r="G165" s="109" t="s">
        <v>46</v>
      </c>
      <c r="H165" s="239">
        <f t="shared" si="14"/>
        <v>-2265</v>
      </c>
      <c r="I165" s="239">
        <f t="shared" si="14"/>
        <v>-367</v>
      </c>
      <c r="J165" s="241">
        <f>J158-J161</f>
        <v>173</v>
      </c>
      <c r="K165" s="235"/>
      <c r="L165" s="236">
        <f>J165-'[6]Februāris'!J165</f>
        <v>71</v>
      </c>
    </row>
    <row r="166" spans="1:12" ht="12.75" customHeight="1">
      <c r="A166" s="109" t="s">
        <v>75</v>
      </c>
      <c r="B166" s="239">
        <v>2265000</v>
      </c>
      <c r="C166" s="241">
        <f>178710+120050+68430</f>
        <v>367190</v>
      </c>
      <c r="D166" s="241">
        <v>55098</v>
      </c>
      <c r="E166" s="240">
        <f t="shared" si="11"/>
        <v>2.432582781456954</v>
      </c>
      <c r="F166" s="236">
        <f>D166-'[6]Februāris'!D166</f>
        <v>55098</v>
      </c>
      <c r="G166" s="109" t="s">
        <v>75</v>
      </c>
      <c r="H166" s="239">
        <f t="shared" si="14"/>
        <v>2265</v>
      </c>
      <c r="I166" s="239">
        <f t="shared" si="14"/>
        <v>367</v>
      </c>
      <c r="J166" s="241">
        <f>ROUND(D166/1000,0)</f>
        <v>55</v>
      </c>
      <c r="K166" s="235">
        <f t="shared" si="13"/>
        <v>2.4282560706401766</v>
      </c>
      <c r="L166" s="236">
        <f>J166-'[6]Februāris'!J166</f>
        <v>55</v>
      </c>
    </row>
    <row r="167" spans="1:12" ht="24" customHeight="1">
      <c r="A167" s="117" t="s">
        <v>883</v>
      </c>
      <c r="B167" s="236"/>
      <c r="C167" s="236"/>
      <c r="D167" s="236"/>
      <c r="E167" s="240"/>
      <c r="F167" s="236">
        <f>D167-'[6]Februāris'!D167</f>
        <v>0</v>
      </c>
      <c r="G167" s="117" t="s">
        <v>883</v>
      </c>
      <c r="H167" s="239"/>
      <c r="I167" s="239"/>
      <c r="J167" s="241"/>
      <c r="K167" s="235"/>
      <c r="L167" s="236"/>
    </row>
    <row r="168" spans="1:12" ht="12.75" customHeight="1">
      <c r="A168" s="142" t="s">
        <v>105</v>
      </c>
      <c r="B168" s="236"/>
      <c r="C168" s="236"/>
      <c r="D168" s="236"/>
      <c r="E168" s="240"/>
      <c r="F168" s="236">
        <f>D168-'[6]Februāris'!D168</f>
        <v>0</v>
      </c>
      <c r="G168" s="142" t="s">
        <v>105</v>
      </c>
      <c r="H168" s="239"/>
      <c r="I168" s="239"/>
      <c r="J168" s="241"/>
      <c r="K168" s="235"/>
      <c r="L168" s="236"/>
    </row>
    <row r="169" spans="1:12" ht="12.75" customHeight="1">
      <c r="A169" s="109" t="s">
        <v>879</v>
      </c>
      <c r="B169" s="236">
        <f>SUM(B170:B172)</f>
        <v>9519100</v>
      </c>
      <c r="C169" s="242">
        <v>1926487</v>
      </c>
      <c r="D169" s="236">
        <f>SUM(D170:D172)</f>
        <v>1643627</v>
      </c>
      <c r="E169" s="240">
        <f t="shared" si="11"/>
        <v>17.266621844502104</v>
      </c>
      <c r="F169" s="236">
        <f>D169-'[6]Februāris'!D169</f>
        <v>599965</v>
      </c>
      <c r="G169" s="109" t="s">
        <v>879</v>
      </c>
      <c r="H169" s="239">
        <f t="shared" si="14"/>
        <v>9519</v>
      </c>
      <c r="I169" s="239">
        <f t="shared" si="14"/>
        <v>1926</v>
      </c>
      <c r="J169" s="241">
        <f>SUM(J170:J172)</f>
        <v>1644</v>
      </c>
      <c r="K169" s="235">
        <f t="shared" si="13"/>
        <v>17.270721714465807</v>
      </c>
      <c r="L169" s="236">
        <f>SUM(L170:L172)</f>
        <v>600</v>
      </c>
    </row>
    <row r="170" spans="1:12" ht="12.75" customHeight="1">
      <c r="A170" s="109" t="s">
        <v>106</v>
      </c>
      <c r="B170" s="239">
        <v>8951000</v>
      </c>
      <c r="C170" s="241"/>
      <c r="D170" s="241">
        <f>37134+1036109+1+43094+351143+9750</f>
        <v>1477231</v>
      </c>
      <c r="E170" s="240">
        <f t="shared" si="11"/>
        <v>16.503530331806502</v>
      </c>
      <c r="F170" s="236">
        <f>D170-'[6]Februāris'!D170</f>
        <v>518621</v>
      </c>
      <c r="G170" s="109" t="s">
        <v>106</v>
      </c>
      <c r="H170" s="239">
        <f t="shared" si="14"/>
        <v>8951</v>
      </c>
      <c r="I170" s="239"/>
      <c r="J170" s="241">
        <f>ROUND(D170/1000,0)</f>
        <v>1477</v>
      </c>
      <c r="K170" s="235">
        <f t="shared" si="13"/>
        <v>16.500949614568206</v>
      </c>
      <c r="L170" s="236">
        <f>J170-'[6]Februāris'!J170</f>
        <v>518</v>
      </c>
    </row>
    <row r="171" spans="1:12" ht="24.75" customHeight="1">
      <c r="A171" s="101" t="s">
        <v>107</v>
      </c>
      <c r="B171" s="239">
        <v>350000</v>
      </c>
      <c r="C171" s="241"/>
      <c r="D171" s="241">
        <v>140038</v>
      </c>
      <c r="E171" s="240">
        <f t="shared" si="11"/>
        <v>40.01085714285714</v>
      </c>
      <c r="F171" s="236">
        <f>D171-'[6]Februāris'!D171</f>
        <v>65680</v>
      </c>
      <c r="G171" s="101" t="s">
        <v>107</v>
      </c>
      <c r="H171" s="239">
        <f t="shared" si="14"/>
        <v>350</v>
      </c>
      <c r="I171" s="239"/>
      <c r="J171" s="241">
        <f>ROUND(D171/1000,0)</f>
        <v>140</v>
      </c>
      <c r="K171" s="235">
        <f t="shared" si="13"/>
        <v>40</v>
      </c>
      <c r="L171" s="236">
        <f>J171-'[6]Februāris'!J171</f>
        <v>66</v>
      </c>
    </row>
    <row r="172" spans="1:12" ht="12.75" customHeight="1">
      <c r="A172" s="247" t="s">
        <v>82</v>
      </c>
      <c r="B172" s="239">
        <f>150000+68100</f>
        <v>218100</v>
      </c>
      <c r="C172" s="241"/>
      <c r="D172" s="241">
        <f>50+5874+107+890+5688+13749</f>
        <v>26358</v>
      </c>
      <c r="E172" s="240">
        <f t="shared" si="11"/>
        <v>12.08528198074278</v>
      </c>
      <c r="F172" s="236">
        <f>D172-'[6]Februāris'!D172</f>
        <v>15664</v>
      </c>
      <c r="G172" s="248" t="s">
        <v>82</v>
      </c>
      <c r="H172" s="239">
        <f t="shared" si="14"/>
        <v>218</v>
      </c>
      <c r="I172" s="239"/>
      <c r="J172" s="241">
        <f>ROUND(D172/1000,0)+1</f>
        <v>27</v>
      </c>
      <c r="K172" s="235">
        <f t="shared" si="13"/>
        <v>12.385321100917432</v>
      </c>
      <c r="L172" s="236">
        <f>J172-'[6]Februāris'!J172</f>
        <v>16</v>
      </c>
    </row>
    <row r="173" spans="1:12" ht="12.75" customHeight="1">
      <c r="A173" s="109" t="s">
        <v>50</v>
      </c>
      <c r="B173" s="236">
        <f>SUM(B174:B175)</f>
        <v>9370924</v>
      </c>
      <c r="C173" s="236">
        <f>SUM(C174:C175)</f>
        <v>1919811</v>
      </c>
      <c r="D173" s="236">
        <f>SUM(D174:D175)</f>
        <v>512908</v>
      </c>
      <c r="E173" s="240">
        <f t="shared" si="11"/>
        <v>5.473398354313833</v>
      </c>
      <c r="F173" s="236">
        <f>D173-'[6]Februāris'!D173</f>
        <v>132838</v>
      </c>
      <c r="G173" s="109" t="s">
        <v>50</v>
      </c>
      <c r="H173" s="239">
        <f t="shared" si="14"/>
        <v>9371</v>
      </c>
      <c r="I173" s="241">
        <f>SUM(I174:I175)</f>
        <v>1920</v>
      </c>
      <c r="J173" s="241">
        <f>SUM(J174:J175)</f>
        <v>513</v>
      </c>
      <c r="K173" s="235">
        <f t="shared" si="13"/>
        <v>5.474335716572405</v>
      </c>
      <c r="L173" s="236">
        <f>J173-'[6]Februāris'!J173</f>
        <v>133</v>
      </c>
    </row>
    <row r="174" spans="1:12" ht="12.75" customHeight="1">
      <c r="A174" s="109" t="s">
        <v>51</v>
      </c>
      <c r="B174" s="239">
        <v>6547804</v>
      </c>
      <c r="C174" s="241">
        <v>1396261</v>
      </c>
      <c r="D174" s="241">
        <f>'[5]Marts'!$E$8</f>
        <v>498950</v>
      </c>
      <c r="E174" s="240">
        <f t="shared" si="11"/>
        <v>7.62011202534468</v>
      </c>
      <c r="F174" s="236">
        <f>D174-'[6]Februāris'!D174</f>
        <v>132385</v>
      </c>
      <c r="G174" s="109" t="s">
        <v>51</v>
      </c>
      <c r="H174" s="239">
        <f t="shared" si="14"/>
        <v>6548</v>
      </c>
      <c r="I174" s="239">
        <f t="shared" si="14"/>
        <v>1396</v>
      </c>
      <c r="J174" s="241">
        <f>ROUND(D174/1000,0)</f>
        <v>499</v>
      </c>
      <c r="K174" s="235">
        <f t="shared" si="13"/>
        <v>7.620647525962126</v>
      </c>
      <c r="L174" s="236">
        <f>J174-'[6]Februāris'!J174</f>
        <v>133</v>
      </c>
    </row>
    <row r="175" spans="1:12" ht="12.75" customHeight="1">
      <c r="A175" s="109" t="s">
        <v>44</v>
      </c>
      <c r="B175" s="239">
        <v>2823120</v>
      </c>
      <c r="C175" s="241">
        <v>523550</v>
      </c>
      <c r="D175" s="241">
        <f>'[5]Marts'!$E$30</f>
        <v>13958</v>
      </c>
      <c r="E175" s="240">
        <f t="shared" si="11"/>
        <v>0.4944175238742951</v>
      </c>
      <c r="F175" s="236">
        <f>D175-'[6]Februāris'!D175</f>
        <v>453</v>
      </c>
      <c r="G175" s="109" t="s">
        <v>44</v>
      </c>
      <c r="H175" s="239">
        <f t="shared" si="14"/>
        <v>2823</v>
      </c>
      <c r="I175" s="239">
        <f t="shared" si="14"/>
        <v>524</v>
      </c>
      <c r="J175" s="241">
        <f>ROUND(D175/1000,0)</f>
        <v>14</v>
      </c>
      <c r="K175" s="235">
        <f t="shared" si="13"/>
        <v>0.495926319518243</v>
      </c>
      <c r="L175" s="236"/>
    </row>
    <row r="176" spans="1:12" ht="12.75" customHeight="1">
      <c r="A176" s="118" t="s">
        <v>777</v>
      </c>
      <c r="B176" s="236"/>
      <c r="C176" s="236"/>
      <c r="D176" s="236"/>
      <c r="E176" s="240"/>
      <c r="F176" s="236">
        <f>D176-'[6]Februāris'!D176</f>
        <v>0</v>
      </c>
      <c r="G176" s="118" t="s">
        <v>777</v>
      </c>
      <c r="H176" s="239"/>
      <c r="I176" s="239"/>
      <c r="J176" s="241"/>
      <c r="K176" s="235"/>
      <c r="L176" s="236"/>
    </row>
    <row r="177" spans="1:12" ht="12.75" customHeight="1">
      <c r="A177" s="142" t="s">
        <v>108</v>
      </c>
      <c r="B177" s="236"/>
      <c r="C177" s="236"/>
      <c r="D177" s="236"/>
      <c r="E177" s="240"/>
      <c r="F177" s="236">
        <f>D177-'[6]Februāris'!D177</f>
        <v>0</v>
      </c>
      <c r="G177" s="142" t="s">
        <v>108</v>
      </c>
      <c r="H177" s="239"/>
      <c r="I177" s="239"/>
      <c r="J177" s="241"/>
      <c r="K177" s="235"/>
      <c r="L177" s="236"/>
    </row>
    <row r="178" spans="1:12" ht="12.75" customHeight="1">
      <c r="A178" s="109" t="s">
        <v>879</v>
      </c>
      <c r="B178" s="236">
        <f>SUM(B179:B180)</f>
        <v>2272860</v>
      </c>
      <c r="C178" s="242">
        <v>545000</v>
      </c>
      <c r="D178" s="236">
        <f>SUM(D179:D180)</f>
        <v>454993</v>
      </c>
      <c r="E178" s="240">
        <f t="shared" si="11"/>
        <v>20.018522918261574</v>
      </c>
      <c r="F178" s="236">
        <f>D178-'[6]Februāris'!D178</f>
        <v>124119</v>
      </c>
      <c r="G178" s="109" t="s">
        <v>879</v>
      </c>
      <c r="H178" s="239">
        <f t="shared" si="14"/>
        <v>2273</v>
      </c>
      <c r="I178" s="239">
        <f t="shared" si="14"/>
        <v>545</v>
      </c>
      <c r="J178" s="241">
        <f>SUM(J179:J180)</f>
        <v>455</v>
      </c>
      <c r="K178" s="235">
        <f t="shared" si="13"/>
        <v>20.01759788825341</v>
      </c>
      <c r="L178" s="236">
        <f>J178-'[6]Februāris'!J178</f>
        <v>124</v>
      </c>
    </row>
    <row r="179" spans="1:12" ht="24.75" customHeight="1">
      <c r="A179" s="101" t="s">
        <v>109</v>
      </c>
      <c r="B179" s="239">
        <v>1608660</v>
      </c>
      <c r="C179" s="241"/>
      <c r="D179" s="241">
        <v>307191</v>
      </c>
      <c r="E179" s="240">
        <f t="shared" si="11"/>
        <v>19.09607996717765</v>
      </c>
      <c r="F179" s="236">
        <f>D179-'[6]Februāris'!D179</f>
        <v>85432</v>
      </c>
      <c r="G179" s="101" t="s">
        <v>109</v>
      </c>
      <c r="H179" s="239">
        <f t="shared" si="14"/>
        <v>1609</v>
      </c>
      <c r="I179" s="239"/>
      <c r="J179" s="241">
        <f>ROUND(D179/1000,0)</f>
        <v>307</v>
      </c>
      <c r="K179" s="235">
        <f t="shared" si="13"/>
        <v>19.08017402113114</v>
      </c>
      <c r="L179" s="236">
        <f>J179-'[6]Februāris'!J179</f>
        <v>85</v>
      </c>
    </row>
    <row r="180" spans="1:12" ht="24" customHeight="1">
      <c r="A180" s="101" t="s">
        <v>110</v>
      </c>
      <c r="B180" s="239">
        <v>664200</v>
      </c>
      <c r="C180" s="241"/>
      <c r="D180" s="241">
        <v>147802</v>
      </c>
      <c r="E180" s="240">
        <f t="shared" si="11"/>
        <v>22.252634748569708</v>
      </c>
      <c r="F180" s="236">
        <f>D180-'[6]Februāris'!D180</f>
        <v>38687</v>
      </c>
      <c r="G180" s="101" t="s">
        <v>110</v>
      </c>
      <c r="H180" s="239">
        <f t="shared" si="14"/>
        <v>664</v>
      </c>
      <c r="I180" s="239"/>
      <c r="J180" s="241">
        <f>ROUND(D180/1000,0)</f>
        <v>148</v>
      </c>
      <c r="K180" s="235">
        <f t="shared" si="13"/>
        <v>22.289156626506024</v>
      </c>
      <c r="L180" s="236">
        <f>J180-'[6]Februāris'!J180</f>
        <v>39</v>
      </c>
    </row>
    <row r="181" spans="1:12" ht="12.75" customHeight="1">
      <c r="A181" s="109" t="s">
        <v>50</v>
      </c>
      <c r="B181" s="236">
        <f>B182</f>
        <v>2272860</v>
      </c>
      <c r="C181" s="236">
        <f>C182</f>
        <v>545000</v>
      </c>
      <c r="D181" s="236">
        <f>D182</f>
        <v>457240</v>
      </c>
      <c r="E181" s="240">
        <f t="shared" si="11"/>
        <v>20.11738514470755</v>
      </c>
      <c r="F181" s="236">
        <f>D181-'[6]Februāris'!D181</f>
        <v>125325</v>
      </c>
      <c r="G181" s="109" t="s">
        <v>50</v>
      </c>
      <c r="H181" s="239">
        <f t="shared" si="14"/>
        <v>2273</v>
      </c>
      <c r="I181" s="241">
        <f>I182</f>
        <v>545</v>
      </c>
      <c r="J181" s="241">
        <f>J182</f>
        <v>457</v>
      </c>
      <c r="K181" s="235">
        <f t="shared" si="13"/>
        <v>20.105587329520457</v>
      </c>
      <c r="L181" s="236">
        <f>J181-'[6]Februāris'!J181</f>
        <v>125</v>
      </c>
    </row>
    <row r="182" spans="1:12" ht="12.75" customHeight="1">
      <c r="A182" s="109" t="s">
        <v>51</v>
      </c>
      <c r="B182" s="239">
        <v>2272860</v>
      </c>
      <c r="C182" s="241">
        <v>545000</v>
      </c>
      <c r="D182" s="241">
        <f>'[5]Marts'!$Q$8</f>
        <v>457240</v>
      </c>
      <c r="E182" s="240">
        <f t="shared" si="11"/>
        <v>20.11738514470755</v>
      </c>
      <c r="F182" s="236">
        <f>D182-'[6]Februāris'!D182</f>
        <v>125325</v>
      </c>
      <c r="G182" s="109" t="s">
        <v>51</v>
      </c>
      <c r="H182" s="239">
        <f t="shared" si="14"/>
        <v>2273</v>
      </c>
      <c r="I182" s="239">
        <f t="shared" si="14"/>
        <v>545</v>
      </c>
      <c r="J182" s="241">
        <f>ROUND(D182/1000,0)</f>
        <v>457</v>
      </c>
      <c r="K182" s="235">
        <f t="shared" si="13"/>
        <v>20.105587329520457</v>
      </c>
      <c r="L182" s="236">
        <f>J182-'[6]Februāris'!J182</f>
        <v>125</v>
      </c>
    </row>
    <row r="183" spans="1:12" ht="25.5" customHeight="1">
      <c r="A183" s="117" t="s">
        <v>111</v>
      </c>
      <c r="B183" s="236"/>
      <c r="C183" s="236"/>
      <c r="D183" s="236"/>
      <c r="E183" s="240"/>
      <c r="F183" s="236">
        <f>D183-'[6]Februāris'!D183</f>
        <v>0</v>
      </c>
      <c r="G183" s="117" t="s">
        <v>111</v>
      </c>
      <c r="H183" s="239"/>
      <c r="I183" s="239"/>
      <c r="J183" s="241"/>
      <c r="K183" s="235"/>
      <c r="L183" s="236"/>
    </row>
    <row r="184" spans="1:12" ht="12.75" customHeight="1">
      <c r="A184" s="247" t="s">
        <v>879</v>
      </c>
      <c r="B184" s="236">
        <f>B185</f>
        <v>129565</v>
      </c>
      <c r="C184" s="242">
        <v>29173</v>
      </c>
      <c r="D184" s="236">
        <f>D185</f>
        <v>15766</v>
      </c>
      <c r="E184" s="240">
        <f t="shared" si="11"/>
        <v>12.16840967853973</v>
      </c>
      <c r="F184" s="236">
        <f>D184-'[6]Februāris'!D184</f>
        <v>1398</v>
      </c>
      <c r="G184" s="248" t="s">
        <v>879</v>
      </c>
      <c r="H184" s="239">
        <f>ROUND(B184/1000,0)-1</f>
        <v>129</v>
      </c>
      <c r="I184" s="239">
        <f t="shared" si="14"/>
        <v>29</v>
      </c>
      <c r="J184" s="241">
        <f>J185</f>
        <v>16</v>
      </c>
      <c r="K184" s="235">
        <f t="shared" si="13"/>
        <v>12.4031007751938</v>
      </c>
      <c r="L184" s="236">
        <f>J184-'[6]Februāris'!J184</f>
        <v>2</v>
      </c>
    </row>
    <row r="185" spans="1:12" ht="12.75" customHeight="1">
      <c r="A185" s="101" t="s">
        <v>82</v>
      </c>
      <c r="B185" s="239">
        <v>129565</v>
      </c>
      <c r="C185" s="241"/>
      <c r="D185" s="241">
        <f>'[5]Marts'!$P$6</f>
        <v>15766</v>
      </c>
      <c r="E185" s="240">
        <f t="shared" si="11"/>
        <v>12.16840967853973</v>
      </c>
      <c r="F185" s="236">
        <f>D185-'[6]Februāris'!D185</f>
        <v>1398</v>
      </c>
      <c r="G185" s="101" t="s">
        <v>82</v>
      </c>
      <c r="H185" s="239">
        <f>ROUND(B185/1000,0)-1</f>
        <v>129</v>
      </c>
      <c r="I185" s="239"/>
      <c r="J185" s="241">
        <f>ROUND(D185/1000,0)</f>
        <v>16</v>
      </c>
      <c r="K185" s="235">
        <f t="shared" si="13"/>
        <v>12.4031007751938</v>
      </c>
      <c r="L185" s="236">
        <f>J185-'[6]Februāris'!J185</f>
        <v>2</v>
      </c>
    </row>
    <row r="186" spans="1:12" ht="12.75" customHeight="1">
      <c r="A186" s="109" t="s">
        <v>50</v>
      </c>
      <c r="B186" s="236">
        <f>B187+B189</f>
        <v>756987</v>
      </c>
      <c r="C186" s="236">
        <f>C187+C189</f>
        <v>43361</v>
      </c>
      <c r="D186" s="236">
        <f>D187+D189</f>
        <v>27893</v>
      </c>
      <c r="E186" s="240">
        <f t="shared" si="11"/>
        <v>3.684739632252602</v>
      </c>
      <c r="F186" s="236">
        <f>D186-'[6]Februāris'!D186</f>
        <v>11547</v>
      </c>
      <c r="G186" s="109" t="s">
        <v>50</v>
      </c>
      <c r="H186" s="239">
        <f t="shared" si="14"/>
        <v>757</v>
      </c>
      <c r="I186" s="241">
        <f>I187+I189</f>
        <v>43</v>
      </c>
      <c r="J186" s="241">
        <f>J187+J189</f>
        <v>28</v>
      </c>
      <c r="K186" s="235">
        <f t="shared" si="13"/>
        <v>3.6988110964332894</v>
      </c>
      <c r="L186" s="236">
        <f>J186-'[6]Februāris'!J186</f>
        <v>12</v>
      </c>
    </row>
    <row r="187" spans="1:12" ht="12.75" customHeight="1">
      <c r="A187" s="109" t="s">
        <v>51</v>
      </c>
      <c r="B187" s="239">
        <v>753987</v>
      </c>
      <c r="C187" s="241">
        <v>40361</v>
      </c>
      <c r="D187" s="241">
        <f>'[5]Marts'!$P$8</f>
        <v>27723</v>
      </c>
      <c r="E187" s="240">
        <f t="shared" si="11"/>
        <v>3.6768538449601915</v>
      </c>
      <c r="F187" s="236">
        <f>D187-'[6]Februāris'!D187</f>
        <v>11377</v>
      </c>
      <c r="G187" s="109" t="s">
        <v>51</v>
      </c>
      <c r="H187" s="239">
        <f t="shared" si="14"/>
        <v>754</v>
      </c>
      <c r="I187" s="239">
        <f t="shared" si="14"/>
        <v>40</v>
      </c>
      <c r="J187" s="241">
        <f>ROUND(D187/1000,0)</f>
        <v>28</v>
      </c>
      <c r="K187" s="235">
        <f t="shared" si="13"/>
        <v>3.7135278514588856</v>
      </c>
      <c r="L187" s="236">
        <f>J187-'[6]Februāris'!J187</f>
        <v>12</v>
      </c>
    </row>
    <row r="188" spans="1:12" ht="12.75" customHeight="1">
      <c r="A188" s="194" t="s">
        <v>84</v>
      </c>
      <c r="B188" s="239">
        <v>20897</v>
      </c>
      <c r="C188" s="241"/>
      <c r="D188" s="241">
        <f>'[5]Marts'!$P$15</f>
        <v>0</v>
      </c>
      <c r="E188" s="240"/>
      <c r="F188" s="236">
        <f>D188-'[6]Februāris'!D188</f>
        <v>0</v>
      </c>
      <c r="G188" s="194" t="s">
        <v>84</v>
      </c>
      <c r="H188" s="239">
        <f t="shared" si="14"/>
        <v>21</v>
      </c>
      <c r="I188" s="239"/>
      <c r="J188" s="241"/>
      <c r="K188" s="235"/>
      <c r="L188" s="236"/>
    </row>
    <row r="189" spans="1:12" ht="12.75" customHeight="1">
      <c r="A189" s="109" t="s">
        <v>44</v>
      </c>
      <c r="B189" s="239">
        <v>3000</v>
      </c>
      <c r="C189" s="241">
        <v>3000</v>
      </c>
      <c r="D189" s="241">
        <f>'[5]Marts'!$P$30</f>
        <v>170</v>
      </c>
      <c r="E189" s="240"/>
      <c r="F189" s="236">
        <f>D189-'[6]Februāris'!D189</f>
        <v>170</v>
      </c>
      <c r="G189" s="109" t="s">
        <v>44</v>
      </c>
      <c r="H189" s="239">
        <f t="shared" si="14"/>
        <v>3</v>
      </c>
      <c r="I189" s="239">
        <f t="shared" si="14"/>
        <v>3</v>
      </c>
      <c r="J189" s="241">
        <f>ROUND(D189/1000,0)</f>
        <v>0</v>
      </c>
      <c r="K189" s="235"/>
      <c r="L189" s="236"/>
    </row>
    <row r="190" spans="1:12" ht="12.75" customHeight="1">
      <c r="A190" s="109" t="s">
        <v>46</v>
      </c>
      <c r="B190" s="236">
        <f>B184-B186</f>
        <v>-627422</v>
      </c>
      <c r="C190" s="242">
        <f>C184-C186</f>
        <v>-14188</v>
      </c>
      <c r="D190" s="236">
        <f>D184-D186</f>
        <v>-12127</v>
      </c>
      <c r="E190" s="240">
        <f>-D190/B190*100</f>
        <v>-1.9328298975808944</v>
      </c>
      <c r="F190" s="236">
        <f>D190-'[6]Februāris'!D190</f>
        <v>-10149</v>
      </c>
      <c r="G190" s="109" t="s">
        <v>46</v>
      </c>
      <c r="H190" s="239">
        <f t="shared" si="14"/>
        <v>-627</v>
      </c>
      <c r="I190" s="239">
        <f>I184-I186</f>
        <v>-14</v>
      </c>
      <c r="J190" s="239">
        <f>J184-J186</f>
        <v>-12</v>
      </c>
      <c r="K190" s="235"/>
      <c r="L190" s="236">
        <f>J190-'[6]Februāris'!J190</f>
        <v>-10</v>
      </c>
    </row>
    <row r="191" spans="1:12" ht="12.75" customHeight="1">
      <c r="A191" s="109" t="s">
        <v>75</v>
      </c>
      <c r="B191" s="236">
        <v>628375</v>
      </c>
      <c r="C191" s="242">
        <f>4730+4729+4729</f>
        <v>14188</v>
      </c>
      <c r="D191" s="242">
        <f>'[5]Marts'!$P$43</f>
        <v>14188</v>
      </c>
      <c r="E191" s="240"/>
      <c r="F191" s="236">
        <f>D191-'[6]Februāris'!D191</f>
        <v>4729</v>
      </c>
      <c r="G191" s="109" t="s">
        <v>75</v>
      </c>
      <c r="H191" s="239">
        <f t="shared" si="14"/>
        <v>628</v>
      </c>
      <c r="I191" s="239">
        <f t="shared" si="14"/>
        <v>14</v>
      </c>
      <c r="J191" s="241">
        <f>ROUND(D191/1000,0)</f>
        <v>14</v>
      </c>
      <c r="K191" s="235"/>
      <c r="L191" s="236">
        <f>J191-'[6]Februāris'!J191</f>
        <v>5</v>
      </c>
    </row>
    <row r="192" spans="2:12" ht="17.25" customHeight="1">
      <c r="B192" s="76"/>
      <c r="C192" s="76"/>
      <c r="D192" s="76"/>
      <c r="E192" s="253"/>
      <c r="F192" s="76"/>
      <c r="H192" s="76"/>
      <c r="I192" s="76"/>
      <c r="J192" s="76"/>
      <c r="K192" s="254"/>
      <c r="L192" s="76"/>
    </row>
    <row r="193" spans="1:12" ht="17.25" customHeight="1">
      <c r="A193" s="777"/>
      <c r="B193" s="777"/>
      <c r="C193" s="777"/>
      <c r="D193" s="777"/>
      <c r="E193" s="777"/>
      <c r="F193" s="81"/>
      <c r="G193" s="778" t="s">
        <v>112</v>
      </c>
      <c r="H193" s="778"/>
      <c r="I193" s="778"/>
      <c r="J193" s="255">
        <v>8500</v>
      </c>
      <c r="K193" s="779" t="s">
        <v>113</v>
      </c>
      <c r="L193" s="779"/>
    </row>
    <row r="194" spans="3:12" ht="17.25" customHeight="1">
      <c r="C194" s="256"/>
      <c r="D194" s="256"/>
      <c r="E194" s="253"/>
      <c r="F194" s="81"/>
      <c r="I194" s="256"/>
      <c r="J194" s="256"/>
      <c r="K194" s="254"/>
      <c r="L194" s="81"/>
    </row>
    <row r="195" spans="3:12" ht="17.25" customHeight="1">
      <c r="C195" s="81"/>
      <c r="D195" s="81"/>
      <c r="E195" s="257"/>
      <c r="F195" s="81"/>
      <c r="K195" s="258"/>
      <c r="L195" s="81"/>
    </row>
    <row r="196" spans="1:12" ht="17.25" customHeight="1">
      <c r="A196" s="80" t="s">
        <v>916</v>
      </c>
      <c r="B196" s="9"/>
      <c r="C196" s="9"/>
      <c r="D196" s="9" t="s">
        <v>917</v>
      </c>
      <c r="E196" s="259"/>
      <c r="F196" s="81"/>
      <c r="K196" s="260"/>
      <c r="L196" s="81"/>
    </row>
    <row r="197" spans="5:12" ht="17.25" customHeight="1">
      <c r="E197" s="261"/>
      <c r="F197" s="81"/>
      <c r="K197" s="262"/>
      <c r="L197" s="81"/>
    </row>
    <row r="198" spans="2:12" ht="17.25" customHeight="1">
      <c r="B198" s="81"/>
      <c r="C198" s="81"/>
      <c r="D198" s="81"/>
      <c r="E198" s="261"/>
      <c r="F198" s="81"/>
      <c r="H198" s="81"/>
      <c r="I198" s="81"/>
      <c r="J198" s="81"/>
      <c r="K198" s="262"/>
      <c r="L198" s="81"/>
    </row>
    <row r="199" spans="1:12" ht="17.25" customHeight="1">
      <c r="A199" s="81"/>
      <c r="B199" s="81"/>
      <c r="C199" s="81"/>
      <c r="D199" s="81"/>
      <c r="E199" s="261"/>
      <c r="F199" s="81"/>
      <c r="H199" s="81"/>
      <c r="I199" s="81"/>
      <c r="J199" s="81"/>
      <c r="K199" s="262"/>
      <c r="L199" s="81"/>
    </row>
    <row r="200" spans="1:12" ht="17.25" customHeight="1">
      <c r="A200" s="86" t="s">
        <v>915</v>
      </c>
      <c r="D200" s="81"/>
      <c r="E200" s="261"/>
      <c r="F200" s="81"/>
      <c r="J200" s="81"/>
      <c r="K200" s="262"/>
      <c r="L200" s="81"/>
    </row>
    <row r="201" spans="1:12" ht="17.25" customHeight="1">
      <c r="A201" s="86" t="s">
        <v>869</v>
      </c>
      <c r="B201" s="81"/>
      <c r="C201" s="81"/>
      <c r="D201" s="81"/>
      <c r="E201" s="261"/>
      <c r="F201" s="81"/>
      <c r="H201" s="81"/>
      <c r="I201" s="81"/>
      <c r="J201" s="81"/>
      <c r="K201" s="262"/>
      <c r="L201" s="81"/>
    </row>
    <row r="202" spans="5:12" ht="17.25" customHeight="1">
      <c r="E202" s="261"/>
      <c r="F202" s="81"/>
      <c r="K202" s="262"/>
      <c r="L202" s="81"/>
    </row>
    <row r="203" spans="1:12" ht="17.25" customHeight="1">
      <c r="A203" s="81"/>
      <c r="B203" s="81"/>
      <c r="C203" s="81"/>
      <c r="D203" s="81"/>
      <c r="E203" s="261"/>
      <c r="F203" s="81"/>
      <c r="G203" s="81"/>
      <c r="H203" s="81"/>
      <c r="I203" s="81"/>
      <c r="J203" s="81"/>
      <c r="K203" s="262"/>
      <c r="L203" s="81"/>
    </row>
    <row r="204" spans="2:12" ht="17.25" customHeight="1">
      <c r="B204" s="81"/>
      <c r="C204" s="81"/>
      <c r="D204" s="81"/>
      <c r="E204" s="261"/>
      <c r="F204" s="81"/>
      <c r="H204" s="81"/>
      <c r="I204" s="81"/>
      <c r="J204" s="81"/>
      <c r="K204" s="262"/>
      <c r="L204" s="81"/>
    </row>
    <row r="205" spans="4:10" ht="17.25" customHeight="1">
      <c r="D205" s="81"/>
      <c r="G205" s="263" t="s">
        <v>29</v>
      </c>
      <c r="H205" s="264"/>
      <c r="I205" s="264"/>
      <c r="J205" s="264" t="s">
        <v>830</v>
      </c>
    </row>
    <row r="225" ht="17.25" customHeight="1">
      <c r="G225" s="86" t="s">
        <v>915</v>
      </c>
    </row>
    <row r="226" ht="17.25" customHeight="1">
      <c r="G226" s="86" t="s">
        <v>832</v>
      </c>
    </row>
  </sheetData>
  <mergeCells count="9">
    <mergeCell ref="A2:F2"/>
    <mergeCell ref="G2:L2"/>
    <mergeCell ref="A4:F4"/>
    <mergeCell ref="G4:L4"/>
    <mergeCell ref="A5:F5"/>
    <mergeCell ref="G5:L5"/>
    <mergeCell ref="A193:E193"/>
    <mergeCell ref="G193:I193"/>
    <mergeCell ref="K193:L193"/>
  </mergeCells>
  <printOptions/>
  <pageMargins left="0.75" right="0.19" top="0.43" bottom="0.51" header="0.17" footer="0.5"/>
  <pageSetup fitToHeight="4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workbookViewId="0" topLeftCell="H1">
      <selection activeCell="A2" sqref="A2"/>
    </sheetView>
  </sheetViews>
  <sheetFormatPr defaultColWidth="9.140625" defaultRowHeight="17.25" customHeight="1"/>
  <cols>
    <col min="1" max="1" width="39.00390625" style="8" hidden="1" customWidth="1"/>
    <col min="2" max="3" width="13.57421875" style="8" hidden="1" customWidth="1"/>
    <col min="4" max="4" width="13.140625" style="8" hidden="1" customWidth="1"/>
    <col min="5" max="5" width="11.28125" style="165" hidden="1" customWidth="1"/>
    <col min="6" max="6" width="11.8515625" style="166" hidden="1" customWidth="1"/>
    <col min="7" max="7" width="14.28125" style="8" hidden="1" customWidth="1"/>
    <col min="8" max="8" width="35.7109375" style="8" customWidth="1"/>
    <col min="9" max="9" width="9.8515625" style="8" customWidth="1"/>
    <col min="10" max="10" width="12.140625" style="8" customWidth="1"/>
    <col min="11" max="11" width="11.140625" style="8" customWidth="1"/>
    <col min="12" max="12" width="11.00390625" style="165" customWidth="1"/>
    <col min="13" max="13" width="11.8515625" style="166" customWidth="1"/>
    <col min="14" max="14" width="12.00390625" style="8" customWidth="1"/>
  </cols>
  <sheetData>
    <row r="1" spans="1:14" ht="17.25" customHeight="1">
      <c r="A1" s="161" t="s">
        <v>918</v>
      </c>
      <c r="B1" s="161"/>
      <c r="C1" s="161"/>
      <c r="D1" s="161"/>
      <c r="E1" s="162"/>
      <c r="F1" s="163"/>
      <c r="G1" s="164" t="s">
        <v>919</v>
      </c>
      <c r="I1" s="161"/>
      <c r="J1" s="161"/>
      <c r="K1" s="161"/>
      <c r="L1" s="162"/>
      <c r="M1" s="163"/>
      <c r="N1" s="164" t="s">
        <v>919</v>
      </c>
    </row>
    <row r="2" spans="8:14" ht="17.25" customHeight="1">
      <c r="H2" s="759" t="s">
        <v>918</v>
      </c>
      <c r="I2" s="759"/>
      <c r="J2" s="759"/>
      <c r="K2" s="759"/>
      <c r="L2" s="759"/>
      <c r="M2" s="759"/>
      <c r="N2" s="759"/>
    </row>
    <row r="4" spans="1:14" ht="17.25" customHeight="1">
      <c r="A4" s="752" t="s">
        <v>920</v>
      </c>
      <c r="B4" s="752"/>
      <c r="C4" s="752"/>
      <c r="D4" s="752"/>
      <c r="E4" s="752"/>
      <c r="F4" s="752"/>
      <c r="G4" s="752"/>
      <c r="H4" s="753" t="s">
        <v>920</v>
      </c>
      <c r="I4" s="753"/>
      <c r="J4" s="753"/>
      <c r="K4" s="753"/>
      <c r="L4" s="753"/>
      <c r="M4" s="753"/>
      <c r="N4" s="753"/>
    </row>
    <row r="5" spans="1:14" ht="17.25" customHeight="1">
      <c r="A5" s="752" t="s">
        <v>921</v>
      </c>
      <c r="B5" s="752"/>
      <c r="C5" s="752"/>
      <c r="D5" s="752"/>
      <c r="E5" s="752"/>
      <c r="F5" s="752"/>
      <c r="G5" s="752"/>
      <c r="H5" s="753" t="s">
        <v>921</v>
      </c>
      <c r="I5" s="753"/>
      <c r="J5" s="753"/>
      <c r="K5" s="753"/>
      <c r="L5" s="753"/>
      <c r="M5" s="753"/>
      <c r="N5" s="753"/>
    </row>
    <row r="6" spans="1:14" ht="17.25" customHeight="1">
      <c r="A6" s="752" t="s">
        <v>744</v>
      </c>
      <c r="B6" s="752"/>
      <c r="C6" s="752"/>
      <c r="D6" s="752"/>
      <c r="E6" s="752"/>
      <c r="F6" s="752"/>
      <c r="G6" s="752"/>
      <c r="H6" s="752" t="s">
        <v>793</v>
      </c>
      <c r="I6" s="752"/>
      <c r="J6" s="752"/>
      <c r="K6" s="752"/>
      <c r="L6" s="752"/>
      <c r="M6" s="752"/>
      <c r="N6" s="752"/>
    </row>
    <row r="7" spans="7:14" ht="17.25" customHeight="1">
      <c r="G7" s="125" t="s">
        <v>902</v>
      </c>
      <c r="N7" s="125" t="s">
        <v>837</v>
      </c>
    </row>
    <row r="8" spans="1:14" ht="72">
      <c r="A8" s="130" t="s">
        <v>748</v>
      </c>
      <c r="B8" s="130" t="s">
        <v>749</v>
      </c>
      <c r="C8" s="130" t="s">
        <v>922</v>
      </c>
      <c r="D8" s="130" t="s">
        <v>751</v>
      </c>
      <c r="E8" s="168" t="s">
        <v>923</v>
      </c>
      <c r="F8" s="169" t="s">
        <v>924</v>
      </c>
      <c r="G8" s="11" t="s">
        <v>925</v>
      </c>
      <c r="H8" s="130" t="s">
        <v>748</v>
      </c>
      <c r="I8" s="130" t="s">
        <v>749</v>
      </c>
      <c r="J8" s="130" t="s">
        <v>922</v>
      </c>
      <c r="K8" s="130" t="s">
        <v>751</v>
      </c>
      <c r="L8" s="168" t="s">
        <v>923</v>
      </c>
      <c r="M8" s="169" t="s">
        <v>924</v>
      </c>
      <c r="N8" s="130" t="s">
        <v>797</v>
      </c>
    </row>
    <row r="9" spans="1:14" s="5" customFormat="1" ht="12.75">
      <c r="A9" s="91">
        <v>1</v>
      </c>
      <c r="B9" s="91">
        <v>2</v>
      </c>
      <c r="C9" s="91">
        <v>3</v>
      </c>
      <c r="D9" s="91">
        <v>4</v>
      </c>
      <c r="E9" s="92">
        <v>5</v>
      </c>
      <c r="F9" s="170">
        <v>6</v>
      </c>
      <c r="G9" s="91">
        <v>7</v>
      </c>
      <c r="H9" s="91">
        <v>1</v>
      </c>
      <c r="I9" s="91">
        <v>2</v>
      </c>
      <c r="J9" s="91">
        <v>3</v>
      </c>
      <c r="K9" s="91">
        <v>4</v>
      </c>
      <c r="L9" s="92">
        <v>5</v>
      </c>
      <c r="M9" s="170">
        <v>6</v>
      </c>
      <c r="N9" s="91">
        <v>7</v>
      </c>
    </row>
    <row r="10" spans="1:14" ht="17.25" customHeight="1">
      <c r="A10" s="171" t="s">
        <v>926</v>
      </c>
      <c r="B10" s="172">
        <f>SUM(B11:B14)</f>
        <v>725518701</v>
      </c>
      <c r="C10" s="172">
        <f>SUM(C11:C14)</f>
        <v>165554804</v>
      </c>
      <c r="D10" s="172">
        <f>SUM(D11:D14)</f>
        <v>164186676</v>
      </c>
      <c r="E10" s="173">
        <f>D10/B10*100</f>
        <v>22.630247266362332</v>
      </c>
      <c r="F10" s="174">
        <f>D10/C10*100</f>
        <v>99.17361020825466</v>
      </c>
      <c r="G10" s="172">
        <f>SUM(G11:G14)</f>
        <v>55813054</v>
      </c>
      <c r="H10" s="171" t="s">
        <v>926</v>
      </c>
      <c r="I10" s="172">
        <f>SUM(I11:I14)</f>
        <v>725518</v>
      </c>
      <c r="J10" s="172">
        <f>SUM(J11:J14)</f>
        <v>165555</v>
      </c>
      <c r="K10" s="175">
        <f>SUM(K11:K14)</f>
        <v>164186</v>
      </c>
      <c r="L10" s="176">
        <f>K10/I10*100</f>
        <v>22.63017595704035</v>
      </c>
      <c r="M10" s="176">
        <f>K10/J10*100</f>
        <v>99.17308447343784</v>
      </c>
      <c r="N10" s="172">
        <f>SUM(N11:N14)</f>
        <v>55812</v>
      </c>
    </row>
    <row r="11" spans="1:14" ht="14.25">
      <c r="A11" s="101" t="s">
        <v>927</v>
      </c>
      <c r="B11" s="177">
        <v>719456085</v>
      </c>
      <c r="C11" s="177">
        <f>49660422+37020270+37889203+39825423</f>
        <v>164395318</v>
      </c>
      <c r="D11" s="177">
        <f>'[6]Marts'!$D$20+'[6]Marts'!$D$27+'[6]Marts'!$D$39+'[6]Marts'!$D$44+'[6]Marts'!$D$50+'[6]Marts'!$D$57+'[6]Marts'!$D$69+'[6]Marts'!$D$78+'[6]Marts'!$D$79+'[6]Marts'!$D$89+'[6]Marts'!$D$95+'[6]Marts'!$D$103+'[6]Marts'!$D$104+'[6]Marts'!$D$114+'[6]Marts'!$D$170+'[6]Marts'!$D$171+'[6]Marts'!$D$178</f>
        <v>163164860</v>
      </c>
      <c r="E11" s="178">
        <f aca="true" t="shared" si="0" ref="E11:E51">D11/B11*100</f>
        <v>22.67891861669361</v>
      </c>
      <c r="F11" s="174">
        <f aca="true" t="shared" si="1" ref="F11:F22">D11/C11*100</f>
        <v>99.25152491264988</v>
      </c>
      <c r="G11" s="179">
        <f>D11-'[7]Februāris'!D11</f>
        <v>55593373</v>
      </c>
      <c r="H11" s="101" t="s">
        <v>927</v>
      </c>
      <c r="I11" s="177">
        <f aca="true" t="shared" si="2" ref="I11:K14">ROUND(B11/1000,0)</f>
        <v>719456</v>
      </c>
      <c r="J11" s="177">
        <f>ROUND(C11/1000,0)</f>
        <v>164395</v>
      </c>
      <c r="K11" s="177">
        <f>ROUND(D11/1000,0)</f>
        <v>163165</v>
      </c>
      <c r="L11" s="180">
        <f aca="true" t="shared" si="3" ref="L11:L18">K11/I11*100</f>
        <v>22.67894075523729</v>
      </c>
      <c r="M11" s="180">
        <f aca="true" t="shared" si="4" ref="M11:M18">K11/J11*100</f>
        <v>99.2518020621065</v>
      </c>
      <c r="N11" s="179">
        <f>K11-'[7]Februāris'!K11</f>
        <v>55593</v>
      </c>
    </row>
    <row r="12" spans="1:14" ht="14.25" hidden="1">
      <c r="A12" s="181" t="s">
        <v>928</v>
      </c>
      <c r="B12" s="177"/>
      <c r="C12" s="177"/>
      <c r="D12" s="177"/>
      <c r="E12" s="178" t="e">
        <f t="shared" si="0"/>
        <v>#DIV/0!</v>
      </c>
      <c r="F12" s="174" t="e">
        <f t="shared" si="1"/>
        <v>#DIV/0!</v>
      </c>
      <c r="G12" s="179">
        <f>D12-'[7]Februāris'!D12</f>
        <v>0</v>
      </c>
      <c r="H12" s="181" t="s">
        <v>928</v>
      </c>
      <c r="I12" s="177">
        <f t="shared" si="2"/>
        <v>0</v>
      </c>
      <c r="J12" s="177">
        <f t="shared" si="2"/>
        <v>0</v>
      </c>
      <c r="K12" s="177">
        <f t="shared" si="2"/>
        <v>0</v>
      </c>
      <c r="L12" s="180" t="e">
        <f t="shared" si="3"/>
        <v>#DIV/0!</v>
      </c>
      <c r="M12" s="180" t="e">
        <f t="shared" si="4"/>
        <v>#DIV/0!</v>
      </c>
      <c r="N12" s="179">
        <f>K12-'[7]Februāris'!K12</f>
        <v>0</v>
      </c>
    </row>
    <row r="13" spans="1:14" ht="25.5">
      <c r="A13" s="101" t="s">
        <v>929</v>
      </c>
      <c r="B13" s="177">
        <v>3457511</v>
      </c>
      <c r="C13" s="177">
        <v>440938</v>
      </c>
      <c r="D13" s="177">
        <f>'[6]Marts'!$D$80+'[6]Marts'!$D$105+'[6]Marts'!$D$172+'[6]Marts'!$D$184</f>
        <v>445526</v>
      </c>
      <c r="E13" s="178">
        <f t="shared" si="0"/>
        <v>12.885743530533958</v>
      </c>
      <c r="F13" s="174">
        <f t="shared" si="1"/>
        <v>101.04050909651696</v>
      </c>
      <c r="G13" s="179">
        <f>D13-'[7]Februāris'!D13</f>
        <v>163231</v>
      </c>
      <c r="H13" s="101" t="s">
        <v>929</v>
      </c>
      <c r="I13" s="177">
        <f>ROUND(B13/1000,0)-1</f>
        <v>3457</v>
      </c>
      <c r="J13" s="177">
        <f t="shared" si="2"/>
        <v>441</v>
      </c>
      <c r="K13" s="177">
        <f>ROUND(D13/1000,0)-1</f>
        <v>445</v>
      </c>
      <c r="L13" s="180">
        <f t="shared" si="3"/>
        <v>12.872432745154757</v>
      </c>
      <c r="M13" s="180">
        <f t="shared" si="4"/>
        <v>100.90702947845804</v>
      </c>
      <c r="N13" s="179">
        <f>K13-'[7]Februāris'!K13</f>
        <v>163</v>
      </c>
    </row>
    <row r="14" spans="1:14" ht="14.25">
      <c r="A14" s="101" t="s">
        <v>758</v>
      </c>
      <c r="B14" s="177">
        <f>1678188+926917</f>
        <v>2605105</v>
      </c>
      <c r="C14" s="177">
        <v>718548</v>
      </c>
      <c r="D14" s="177">
        <f>SUM('[6]Marts'!$D$81,'[6]Marts'!$D$106)</f>
        <v>576290</v>
      </c>
      <c r="E14" s="178">
        <f t="shared" si="0"/>
        <v>22.121565157642397</v>
      </c>
      <c r="F14" s="174">
        <f t="shared" si="1"/>
        <v>80.20201851511659</v>
      </c>
      <c r="G14" s="179">
        <f>D14-'[7]Februāris'!D14</f>
        <v>56450</v>
      </c>
      <c r="H14" s="101" t="s">
        <v>758</v>
      </c>
      <c r="I14" s="177">
        <f t="shared" si="2"/>
        <v>2605</v>
      </c>
      <c r="J14" s="177">
        <f t="shared" si="2"/>
        <v>719</v>
      </c>
      <c r="K14" s="177">
        <f t="shared" si="2"/>
        <v>576</v>
      </c>
      <c r="L14" s="180">
        <f t="shared" si="3"/>
        <v>22.111324376199615</v>
      </c>
      <c r="M14" s="180">
        <f t="shared" si="4"/>
        <v>80.11126564673157</v>
      </c>
      <c r="N14" s="179">
        <f>K14-'[7]Februāris'!K14</f>
        <v>56</v>
      </c>
    </row>
    <row r="15" spans="1:14" ht="17.25" customHeight="1">
      <c r="A15" s="171" t="s">
        <v>930</v>
      </c>
      <c r="B15" s="182">
        <f>B16+B42</f>
        <v>765146600</v>
      </c>
      <c r="C15" s="182">
        <f>SUM(C16,C42)</f>
        <v>188726519</v>
      </c>
      <c r="D15" s="182">
        <f>SUM(D16,D42)</f>
        <v>172169653</v>
      </c>
      <c r="E15" s="173">
        <f t="shared" si="0"/>
        <v>22.5015249365285</v>
      </c>
      <c r="F15" s="174">
        <f t="shared" si="1"/>
        <v>91.22705908648695</v>
      </c>
      <c r="G15" s="183">
        <f>SUM(G16,G42)</f>
        <v>54340988</v>
      </c>
      <c r="H15" s="171" t="s">
        <v>930</v>
      </c>
      <c r="I15" s="175">
        <f>SUM(I42,I16)</f>
        <v>765146</v>
      </c>
      <c r="J15" s="175">
        <f>ROUND(C15/1000,0)</f>
        <v>188727</v>
      </c>
      <c r="K15" s="175">
        <f>SUM(K42,K16)</f>
        <v>172170</v>
      </c>
      <c r="L15" s="176">
        <f t="shared" si="3"/>
        <v>22.50158793223777</v>
      </c>
      <c r="M15" s="176">
        <f t="shared" si="4"/>
        <v>91.22701044365671</v>
      </c>
      <c r="N15" s="182">
        <f>SUM(N16,N42)</f>
        <v>54341</v>
      </c>
    </row>
    <row r="16" spans="1:14" ht="17.25" customHeight="1">
      <c r="A16" s="135" t="s">
        <v>844</v>
      </c>
      <c r="B16" s="184">
        <f>731791976+116917</f>
        <v>731908893</v>
      </c>
      <c r="C16" s="184">
        <f>SUM(C17,C22,C25)</f>
        <v>181781675</v>
      </c>
      <c r="D16" s="184">
        <f>SUM(D17,D22,D25)</f>
        <v>167405052</v>
      </c>
      <c r="E16" s="173">
        <f t="shared" si="0"/>
        <v>22.872389391776387</v>
      </c>
      <c r="F16" s="174">
        <f t="shared" si="1"/>
        <v>92.09126937574979</v>
      </c>
      <c r="G16" s="185">
        <f>SUM(G17,G22,G25)</f>
        <v>53732571</v>
      </c>
      <c r="H16" s="135" t="s">
        <v>844</v>
      </c>
      <c r="I16" s="175">
        <f>ROUND(B16/1000,0)</f>
        <v>731909</v>
      </c>
      <c r="J16" s="175">
        <f>ROUND(C16/1000,0)</f>
        <v>181782</v>
      </c>
      <c r="K16" s="175">
        <f>SUM(K25,K22,K17)</f>
        <v>167405</v>
      </c>
      <c r="L16" s="176">
        <f t="shared" si="3"/>
        <v>22.872378943283934</v>
      </c>
      <c r="M16" s="176">
        <f t="shared" si="4"/>
        <v>92.09107612414871</v>
      </c>
      <c r="N16" s="172">
        <f>K16-'[7]Februāris'!K16</f>
        <v>53733</v>
      </c>
    </row>
    <row r="17" spans="1:14" ht="17.25" customHeight="1">
      <c r="A17" s="135" t="s">
        <v>845</v>
      </c>
      <c r="B17" s="184">
        <f>31048482+116917</f>
        <v>31165399</v>
      </c>
      <c r="C17" s="184">
        <f>8663409+10782</f>
        <v>8674191</v>
      </c>
      <c r="D17" s="184">
        <f>'[5]Marts'!$Z$9</f>
        <v>7919978</v>
      </c>
      <c r="E17" s="173">
        <f t="shared" si="0"/>
        <v>25.41272774977147</v>
      </c>
      <c r="F17" s="174">
        <f t="shared" si="1"/>
        <v>91.30509116066271</v>
      </c>
      <c r="G17" s="179">
        <f>D17-'[7]Februāris'!D17</f>
        <v>2814348</v>
      </c>
      <c r="H17" s="135" t="s">
        <v>845</v>
      </c>
      <c r="I17" s="175">
        <f>ROUND(B17/1000,0)</f>
        <v>31165</v>
      </c>
      <c r="J17" s="175">
        <f>ROUND(C17/1000,0)</f>
        <v>8674</v>
      </c>
      <c r="K17" s="175">
        <f>ROUND(D17/1000,0)</f>
        <v>7920</v>
      </c>
      <c r="L17" s="176">
        <f t="shared" si="3"/>
        <v>25.413123696454353</v>
      </c>
      <c r="M17" s="176">
        <f t="shared" si="4"/>
        <v>91.30735531473368</v>
      </c>
      <c r="N17" s="172">
        <f>K17-'[7]Februāris'!K17</f>
        <v>2814</v>
      </c>
    </row>
    <row r="18" spans="1:14" ht="15">
      <c r="A18" s="109" t="s">
        <v>931</v>
      </c>
      <c r="B18" s="186">
        <v>1552763</v>
      </c>
      <c r="C18" s="186">
        <v>384172</v>
      </c>
      <c r="D18" s="177">
        <f>'[5]Marts'!$Z$10</f>
        <v>303507</v>
      </c>
      <c r="E18" s="173">
        <f t="shared" si="0"/>
        <v>19.546254000127515</v>
      </c>
      <c r="F18" s="174">
        <f t="shared" si="1"/>
        <v>79.00289453682204</v>
      </c>
      <c r="G18" s="179">
        <f>D18-'[7]Februāris'!D18</f>
        <v>114845</v>
      </c>
      <c r="H18" s="109" t="s">
        <v>931</v>
      </c>
      <c r="I18" s="177">
        <f>ROUND(B18/1000,0)</f>
        <v>1553</v>
      </c>
      <c r="J18" s="177">
        <f>ROUND(C18/1000,0)</f>
        <v>384</v>
      </c>
      <c r="K18" s="177">
        <f aca="true" t="shared" si="5" ref="K18:K47">ROUND(D18/1000,0)</f>
        <v>304</v>
      </c>
      <c r="L18" s="180">
        <f t="shared" si="3"/>
        <v>19.575016097875082</v>
      </c>
      <c r="M18" s="180">
        <f t="shared" si="4"/>
        <v>79.16666666666666</v>
      </c>
      <c r="N18" s="179">
        <f>K18-'[7]Februāris'!K18</f>
        <v>115</v>
      </c>
    </row>
    <row r="19" spans="1:14" ht="26.25">
      <c r="A19" s="101" t="s">
        <v>932</v>
      </c>
      <c r="B19" s="187" t="s">
        <v>848</v>
      </c>
      <c r="C19" s="187" t="s">
        <v>848</v>
      </c>
      <c r="D19" s="177">
        <f>'[5]Marts'!$Z$11</f>
        <v>75112</v>
      </c>
      <c r="E19" s="173"/>
      <c r="F19" s="188" t="s">
        <v>848</v>
      </c>
      <c r="G19" s="179">
        <f>D19-'[7]Februāris'!D19</f>
        <v>27867</v>
      </c>
      <c r="H19" s="101" t="s">
        <v>932</v>
      </c>
      <c r="I19" s="187" t="s">
        <v>848</v>
      </c>
      <c r="J19" s="187" t="s">
        <v>848</v>
      </c>
      <c r="K19" s="177">
        <f t="shared" si="5"/>
        <v>75</v>
      </c>
      <c r="L19" s="189" t="s">
        <v>848</v>
      </c>
      <c r="M19" s="189" t="s">
        <v>848</v>
      </c>
      <c r="N19" s="179">
        <f>K19-'[7]Februāris'!K19</f>
        <v>28</v>
      </c>
    </row>
    <row r="20" spans="1:14" ht="15">
      <c r="A20" s="101" t="s">
        <v>933</v>
      </c>
      <c r="B20" s="187" t="s">
        <v>848</v>
      </c>
      <c r="C20" s="187">
        <f>8279237+10782</f>
        <v>8290019</v>
      </c>
      <c r="D20" s="177">
        <f>'[5]Marts'!$Z$12+17735</f>
        <v>6740302</v>
      </c>
      <c r="E20" s="173"/>
      <c r="F20" s="174">
        <f t="shared" si="1"/>
        <v>81.30623102311347</v>
      </c>
      <c r="G20" s="179">
        <f>D20-'[7]Februāris'!D20</f>
        <v>2579498</v>
      </c>
      <c r="H20" s="101" t="s">
        <v>933</v>
      </c>
      <c r="I20" s="187" t="s">
        <v>848</v>
      </c>
      <c r="J20" s="177">
        <f>ROUND(C20/1000,0)</f>
        <v>8290</v>
      </c>
      <c r="K20" s="177">
        <f>ROUND(D20/1000,0)</f>
        <v>6740</v>
      </c>
      <c r="L20" s="189" t="s">
        <v>848</v>
      </c>
      <c r="M20" s="180">
        <f>K20/J20*100</f>
        <v>81.30277442702051</v>
      </c>
      <c r="N20" s="179">
        <f>K20-'[7]Februāris'!K20</f>
        <v>2579</v>
      </c>
    </row>
    <row r="21" spans="1:14" ht="15">
      <c r="A21" s="101" t="s">
        <v>934</v>
      </c>
      <c r="B21" s="187">
        <v>5473101</v>
      </c>
      <c r="C21" s="187" t="s">
        <v>848</v>
      </c>
      <c r="D21" s="177">
        <f>'[5]Marts'!$Z$15-17735</f>
        <v>801057</v>
      </c>
      <c r="E21" s="173">
        <f t="shared" si="0"/>
        <v>14.636254657094764</v>
      </c>
      <c r="F21" s="188" t="s">
        <v>848</v>
      </c>
      <c r="G21" s="179">
        <f>D21-'[7]Februāris'!D21</f>
        <v>92138</v>
      </c>
      <c r="H21" s="101" t="s">
        <v>934</v>
      </c>
      <c r="I21" s="177">
        <f>ROUND(B21/1000,0)</f>
        <v>5473</v>
      </c>
      <c r="J21" s="187" t="s">
        <v>848</v>
      </c>
      <c r="K21" s="177">
        <f>ROUND(D21/1000,0)</f>
        <v>801</v>
      </c>
      <c r="L21" s="180">
        <f>K21/I21*100</f>
        <v>14.63548328156404</v>
      </c>
      <c r="M21" s="189" t="s">
        <v>848</v>
      </c>
      <c r="N21" s="179">
        <f>K21-'[7]Februāris'!K21</f>
        <v>92</v>
      </c>
    </row>
    <row r="22" spans="1:14" ht="30">
      <c r="A22" s="190" t="s">
        <v>854</v>
      </c>
      <c r="B22" s="172">
        <v>7862536</v>
      </c>
      <c r="C22" s="172">
        <f>1045241+1126661</f>
        <v>2171902</v>
      </c>
      <c r="D22" s="191">
        <f>'[5]Marts'!$Z$16</f>
        <v>1904217</v>
      </c>
      <c r="E22" s="173">
        <f t="shared" si="0"/>
        <v>24.218865261793397</v>
      </c>
      <c r="F22" s="174">
        <f t="shared" si="1"/>
        <v>87.67508847084261</v>
      </c>
      <c r="G22" s="179">
        <f>D22-'[7]Februāris'!D22</f>
        <v>423186</v>
      </c>
      <c r="H22" s="190" t="s">
        <v>854</v>
      </c>
      <c r="I22" s="175">
        <f>ROUND(B22/1000,0)</f>
        <v>7863</v>
      </c>
      <c r="J22" s="175">
        <f>ROUND(C22/1000,0)</f>
        <v>2172</v>
      </c>
      <c r="K22" s="175">
        <f>SUM(K23:K24)</f>
        <v>1904</v>
      </c>
      <c r="L22" s="176">
        <f>K22/I22*100</f>
        <v>24.21467633218873</v>
      </c>
      <c r="M22" s="176">
        <f>K22/J22*100</f>
        <v>87.66114180478822</v>
      </c>
      <c r="N22" s="172">
        <f>K22-'[7]Februāris'!K22</f>
        <v>423</v>
      </c>
    </row>
    <row r="23" spans="1:14" ht="26.25">
      <c r="A23" s="101" t="s">
        <v>935</v>
      </c>
      <c r="B23" s="187" t="s">
        <v>848</v>
      </c>
      <c r="C23" s="187" t="s">
        <v>848</v>
      </c>
      <c r="D23" s="192">
        <f>'[5]Marts'!$Z$17</f>
        <v>1180834</v>
      </c>
      <c r="E23" s="173"/>
      <c r="F23" s="188" t="s">
        <v>848</v>
      </c>
      <c r="G23" s="179">
        <f>D23-'[7]Februāris'!D23</f>
        <v>0</v>
      </c>
      <c r="H23" s="101" t="s">
        <v>935</v>
      </c>
      <c r="I23" s="187" t="s">
        <v>848</v>
      </c>
      <c r="J23" s="187" t="s">
        <v>848</v>
      </c>
      <c r="K23" s="177">
        <f t="shared" si="5"/>
        <v>1181</v>
      </c>
      <c r="L23" s="189" t="s">
        <v>848</v>
      </c>
      <c r="M23" s="189" t="s">
        <v>848</v>
      </c>
      <c r="N23" s="179">
        <v>0</v>
      </c>
    </row>
    <row r="24" spans="1:14" ht="26.25">
      <c r="A24" s="101" t="s">
        <v>936</v>
      </c>
      <c r="B24" s="187" t="s">
        <v>848</v>
      </c>
      <c r="C24" s="187" t="s">
        <v>848</v>
      </c>
      <c r="D24" s="191">
        <f>'[5]Marts'!$Z$18</f>
        <v>723383</v>
      </c>
      <c r="E24" s="173"/>
      <c r="F24" s="188" t="s">
        <v>848</v>
      </c>
      <c r="G24" s="179">
        <f>D24-'[7]Februāris'!D24</f>
        <v>423186</v>
      </c>
      <c r="H24" s="101" t="s">
        <v>936</v>
      </c>
      <c r="I24" s="187" t="s">
        <v>848</v>
      </c>
      <c r="J24" s="187" t="s">
        <v>848</v>
      </c>
      <c r="K24" s="177">
        <f t="shared" si="5"/>
        <v>723</v>
      </c>
      <c r="L24" s="189" t="s">
        <v>848</v>
      </c>
      <c r="M24" s="189" t="s">
        <v>848</v>
      </c>
      <c r="N24" s="179">
        <f>K24-'[7]Februāris'!K24</f>
        <v>423</v>
      </c>
    </row>
    <row r="25" spans="1:14" ht="17.25" customHeight="1">
      <c r="A25" s="118" t="s">
        <v>857</v>
      </c>
      <c r="B25" s="175">
        <v>692880958</v>
      </c>
      <c r="C25" s="193">
        <f>SUM(C26,C28,C33,C34,C35,C40,C41)</f>
        <v>170935582</v>
      </c>
      <c r="D25" s="193">
        <f>SUM(D26,D28,D33,D34,D35,D40,D41)</f>
        <v>157580857</v>
      </c>
      <c r="E25" s="173">
        <f t="shared" si="0"/>
        <v>22.74284711977898</v>
      </c>
      <c r="F25" s="174">
        <f>D25/C25*100</f>
        <v>92.18727614008417</v>
      </c>
      <c r="G25" s="179">
        <f>D25-'[7]Februāris'!D25</f>
        <v>50495037</v>
      </c>
      <c r="H25" s="118" t="s">
        <v>857</v>
      </c>
      <c r="I25" s="175">
        <f>ROUND(B25/1000,0)</f>
        <v>692881</v>
      </c>
      <c r="J25" s="175">
        <f>ROUND(C25/1000,0)</f>
        <v>170936</v>
      </c>
      <c r="K25" s="193">
        <f>SUM(K26,K28,K33,K34,K35,K40,K41)</f>
        <v>157581</v>
      </c>
      <c r="L25" s="176">
        <f>K25/I25*100</f>
        <v>22.742866379652494</v>
      </c>
      <c r="M25" s="176">
        <f>K25/J25*100</f>
        <v>92.18713436607852</v>
      </c>
      <c r="N25" s="172">
        <f>K25-'[7]Februāris'!K25</f>
        <v>50496</v>
      </c>
    </row>
    <row r="26" spans="1:14" ht="14.25">
      <c r="A26" s="109" t="s">
        <v>937</v>
      </c>
      <c r="B26" s="187" t="s">
        <v>848</v>
      </c>
      <c r="C26" s="187">
        <v>6426300</v>
      </c>
      <c r="D26" s="193">
        <f>'[5]Marts'!$Z$20</f>
        <v>1126629</v>
      </c>
      <c r="E26" s="188" t="s">
        <v>848</v>
      </c>
      <c r="F26" s="174">
        <f>D26/C26*100</f>
        <v>17.531534475514682</v>
      </c>
      <c r="G26" s="179">
        <f>D26-'[7]Februāris'!D26</f>
        <v>130686</v>
      </c>
      <c r="H26" s="109" t="s">
        <v>937</v>
      </c>
      <c r="I26" s="187" t="s">
        <v>848</v>
      </c>
      <c r="J26" s="177">
        <f>ROUND(C26/1000,0)</f>
        <v>6426</v>
      </c>
      <c r="K26" s="177">
        <f t="shared" si="5"/>
        <v>1127</v>
      </c>
      <c r="L26" s="189" t="s">
        <v>848</v>
      </c>
      <c r="M26" s="180">
        <f>K26/J26*100</f>
        <v>17.538126361655774</v>
      </c>
      <c r="N26" s="179">
        <f>K26-'[7]Februāris'!K26</f>
        <v>131</v>
      </c>
    </row>
    <row r="27" spans="1:14" ht="14.25">
      <c r="A27" s="194" t="s">
        <v>938</v>
      </c>
      <c r="B27" s="187" t="s">
        <v>848</v>
      </c>
      <c r="C27" s="187" t="s">
        <v>848</v>
      </c>
      <c r="D27" s="195">
        <v>630983</v>
      </c>
      <c r="E27" s="188" t="s">
        <v>848</v>
      </c>
      <c r="F27" s="188" t="s">
        <v>848</v>
      </c>
      <c r="G27" s="179">
        <f>D27-'[7]Februāris'!D27</f>
        <v>25844</v>
      </c>
      <c r="H27" s="194" t="s">
        <v>939</v>
      </c>
      <c r="I27" s="187" t="s">
        <v>848</v>
      </c>
      <c r="J27" s="187" t="s">
        <v>848</v>
      </c>
      <c r="K27" s="177">
        <f t="shared" si="5"/>
        <v>631</v>
      </c>
      <c r="L27" s="189" t="s">
        <v>848</v>
      </c>
      <c r="M27" s="189" t="s">
        <v>848</v>
      </c>
      <c r="N27" s="179">
        <f>K27-'[7]Februāris'!K27</f>
        <v>26</v>
      </c>
    </row>
    <row r="28" spans="1:14" ht="14.25">
      <c r="A28" s="109" t="s">
        <v>940</v>
      </c>
      <c r="B28" s="187" t="s">
        <v>848</v>
      </c>
      <c r="C28" s="187" t="s">
        <v>848</v>
      </c>
      <c r="D28" s="193">
        <f>'[5]Marts'!$Z$21</f>
        <v>3821785</v>
      </c>
      <c r="E28" s="188" t="s">
        <v>848</v>
      </c>
      <c r="F28" s="188" t="s">
        <v>848</v>
      </c>
      <c r="G28" s="179">
        <f>D28-'[7]Februāris'!D28</f>
        <v>870733</v>
      </c>
      <c r="H28" s="109" t="s">
        <v>940</v>
      </c>
      <c r="I28" s="187" t="s">
        <v>848</v>
      </c>
      <c r="J28" s="187" t="s">
        <v>848</v>
      </c>
      <c r="K28" s="177">
        <f t="shared" si="5"/>
        <v>3822</v>
      </c>
      <c r="L28" s="189" t="s">
        <v>848</v>
      </c>
      <c r="M28" s="189" t="s">
        <v>848</v>
      </c>
      <c r="N28" s="179">
        <f>K28-'[7]Februāris'!K28</f>
        <v>871</v>
      </c>
    </row>
    <row r="29" spans="1:14" ht="14.25">
      <c r="A29" s="194" t="s">
        <v>0</v>
      </c>
      <c r="B29" s="187" t="s">
        <v>848</v>
      </c>
      <c r="C29" s="187" t="s">
        <v>848</v>
      </c>
      <c r="D29" s="195">
        <v>2719663</v>
      </c>
      <c r="E29" s="188" t="s">
        <v>848</v>
      </c>
      <c r="F29" s="188" t="s">
        <v>848</v>
      </c>
      <c r="G29" s="179">
        <f>D29-'[7]Februāris'!D29</f>
        <v>758807</v>
      </c>
      <c r="H29" s="194" t="s">
        <v>1</v>
      </c>
      <c r="I29" s="187" t="s">
        <v>848</v>
      </c>
      <c r="J29" s="187" t="s">
        <v>848</v>
      </c>
      <c r="K29" s="177">
        <f t="shared" si="5"/>
        <v>2720</v>
      </c>
      <c r="L29" s="189" t="s">
        <v>848</v>
      </c>
      <c r="M29" s="189" t="s">
        <v>848</v>
      </c>
      <c r="N29" s="179">
        <f>K29-'[7]Februāris'!K29</f>
        <v>759</v>
      </c>
    </row>
    <row r="30" spans="1:14" ht="25.5">
      <c r="A30" s="181" t="s">
        <v>2</v>
      </c>
      <c r="B30" s="187" t="s">
        <v>848</v>
      </c>
      <c r="C30" s="187" t="s">
        <v>848</v>
      </c>
      <c r="D30" s="193">
        <f>SUM(D31:D32)</f>
        <v>1102122</v>
      </c>
      <c r="E30" s="188" t="s">
        <v>848</v>
      </c>
      <c r="F30" s="188" t="s">
        <v>848</v>
      </c>
      <c r="G30" s="179">
        <f>D30-'[7]Februāris'!D30</f>
        <v>111926</v>
      </c>
      <c r="H30" s="181" t="s">
        <v>3</v>
      </c>
      <c r="I30" s="187" t="s">
        <v>848</v>
      </c>
      <c r="J30" s="187" t="s">
        <v>848</v>
      </c>
      <c r="K30" s="177">
        <f t="shared" si="5"/>
        <v>1102</v>
      </c>
      <c r="L30" s="189" t="s">
        <v>848</v>
      </c>
      <c r="M30" s="189" t="s">
        <v>848</v>
      </c>
      <c r="N30" s="179">
        <f>K30-'[7]Februāris'!K30</f>
        <v>112</v>
      </c>
    </row>
    <row r="31" spans="1:14" ht="14.25">
      <c r="A31" s="196" t="s">
        <v>4</v>
      </c>
      <c r="B31" s="187" t="s">
        <v>848</v>
      </c>
      <c r="C31" s="187" t="s">
        <v>848</v>
      </c>
      <c r="D31" s="193">
        <v>541404</v>
      </c>
      <c r="E31" s="188" t="s">
        <v>848</v>
      </c>
      <c r="F31" s="188" t="s">
        <v>848</v>
      </c>
      <c r="G31" s="179">
        <f>D31-'[7]Februāris'!D31</f>
        <v>0</v>
      </c>
      <c r="H31" s="196" t="s">
        <v>5</v>
      </c>
      <c r="I31" s="187" t="s">
        <v>848</v>
      </c>
      <c r="J31" s="187" t="s">
        <v>848</v>
      </c>
      <c r="K31" s="177">
        <f t="shared" si="5"/>
        <v>541</v>
      </c>
      <c r="L31" s="189" t="s">
        <v>848</v>
      </c>
      <c r="M31" s="189" t="s">
        <v>848</v>
      </c>
      <c r="N31" s="179">
        <f>K31-'[7]Februāris'!K31</f>
        <v>0</v>
      </c>
    </row>
    <row r="32" spans="1:14" ht="14.25">
      <c r="A32" s="196" t="s">
        <v>6</v>
      </c>
      <c r="B32" s="187" t="s">
        <v>848</v>
      </c>
      <c r="C32" s="187" t="s">
        <v>848</v>
      </c>
      <c r="D32" s="193">
        <v>560718</v>
      </c>
      <c r="E32" s="188" t="s">
        <v>848</v>
      </c>
      <c r="F32" s="188" t="s">
        <v>848</v>
      </c>
      <c r="G32" s="179">
        <f>D32-'[7]Februāris'!D32</f>
        <v>111926</v>
      </c>
      <c r="H32" s="196" t="s">
        <v>7</v>
      </c>
      <c r="I32" s="187" t="s">
        <v>848</v>
      </c>
      <c r="J32" s="187" t="s">
        <v>848</v>
      </c>
      <c r="K32" s="177">
        <f t="shared" si="5"/>
        <v>561</v>
      </c>
      <c r="L32" s="189" t="s">
        <v>848</v>
      </c>
      <c r="M32" s="189" t="s">
        <v>848</v>
      </c>
      <c r="N32" s="179">
        <f>K32-'[7]Februāris'!K32</f>
        <v>112</v>
      </c>
    </row>
    <row r="33" spans="1:14" ht="14.25">
      <c r="A33" s="109" t="s">
        <v>8</v>
      </c>
      <c r="B33" s="110" t="s">
        <v>848</v>
      </c>
      <c r="C33" s="110" t="s">
        <v>848</v>
      </c>
      <c r="D33" s="193">
        <v>0</v>
      </c>
      <c r="E33" s="188" t="s">
        <v>848</v>
      </c>
      <c r="F33" s="188" t="s">
        <v>848</v>
      </c>
      <c r="G33" s="179">
        <f>D33-'[7]Februāris'!D33</f>
        <v>0</v>
      </c>
      <c r="H33" s="109" t="s">
        <v>8</v>
      </c>
      <c r="I33" s="110" t="s">
        <v>848</v>
      </c>
      <c r="J33" s="110" t="s">
        <v>848</v>
      </c>
      <c r="K33" s="177">
        <f t="shared" si="5"/>
        <v>0</v>
      </c>
      <c r="L33" s="189" t="s">
        <v>848</v>
      </c>
      <c r="M33" s="189" t="s">
        <v>848</v>
      </c>
      <c r="N33" s="179">
        <f>K33-'[7]Februāris'!K33</f>
        <v>0</v>
      </c>
    </row>
    <row r="34" spans="1:14" ht="26.25">
      <c r="A34" s="101" t="s">
        <v>9</v>
      </c>
      <c r="B34" s="187">
        <v>155178987</v>
      </c>
      <c r="C34" s="193">
        <f>33926374+653315+1118302+1128230</f>
        <v>36826221</v>
      </c>
      <c r="D34" s="193">
        <f>'[5]Marts'!$Z$23-D41</f>
        <v>34202895</v>
      </c>
      <c r="E34" s="173">
        <f t="shared" si="0"/>
        <v>22.04093199809327</v>
      </c>
      <c r="F34" s="174">
        <f>D34/C34*100</f>
        <v>92.87647244608671</v>
      </c>
      <c r="G34" s="179">
        <f>D34-'[7]Februāris'!D34</f>
        <v>13058747</v>
      </c>
      <c r="H34" s="101" t="s">
        <v>9</v>
      </c>
      <c r="I34" s="177">
        <f>ROUND(B34/1000,0)</f>
        <v>155179</v>
      </c>
      <c r="J34" s="177">
        <f>ROUND(C34/1000,0)</f>
        <v>36826</v>
      </c>
      <c r="K34" s="177">
        <f t="shared" si="5"/>
        <v>34203</v>
      </c>
      <c r="L34" s="180">
        <f>K34/I34*100</f>
        <v>22.040997815426056</v>
      </c>
      <c r="M34" s="180">
        <f>K34/J34*100</f>
        <v>92.87731494053114</v>
      </c>
      <c r="N34" s="179">
        <f>K34-'[7]Februāris'!K34</f>
        <v>13059</v>
      </c>
    </row>
    <row r="35" spans="1:14" ht="17.25" customHeight="1">
      <c r="A35" s="101" t="s">
        <v>10</v>
      </c>
      <c r="B35" s="187">
        <v>509376221</v>
      </c>
      <c r="C35" s="193">
        <f>16674+43369702+42599868+41381667</f>
        <v>127367911</v>
      </c>
      <c r="D35" s="193">
        <f>SUM(D36:D39)</f>
        <v>118124237</v>
      </c>
      <c r="E35" s="173">
        <f t="shared" si="0"/>
        <v>23.189978670009413</v>
      </c>
      <c r="F35" s="174">
        <f>D35/C35*100</f>
        <v>92.7425409371753</v>
      </c>
      <c r="G35" s="179">
        <f>D35-'[7]Februāris'!D35</f>
        <v>36329760</v>
      </c>
      <c r="H35" s="101" t="s">
        <v>10</v>
      </c>
      <c r="I35" s="177">
        <f>ROUND(B35/1000,0)</f>
        <v>509376</v>
      </c>
      <c r="J35" s="177">
        <f>ROUND(C35/1000,0)</f>
        <v>127368</v>
      </c>
      <c r="K35" s="177">
        <f>SUM(K36:K39)</f>
        <v>118124</v>
      </c>
      <c r="L35" s="180">
        <f>K35/I35*100</f>
        <v>23.18994220379445</v>
      </c>
      <c r="M35" s="180">
        <f>K35/J35*100</f>
        <v>92.74229005715722</v>
      </c>
      <c r="N35" s="179">
        <f>K35-'[7]Februāris'!K35</f>
        <v>36330</v>
      </c>
    </row>
    <row r="36" spans="1:14" ht="17.25" customHeight="1">
      <c r="A36" s="113" t="s">
        <v>11</v>
      </c>
      <c r="B36" s="197" t="s">
        <v>848</v>
      </c>
      <c r="C36" s="197" t="s">
        <v>848</v>
      </c>
      <c r="D36" s="198">
        <v>108795763</v>
      </c>
      <c r="E36" s="173"/>
      <c r="F36" s="188" t="s">
        <v>848</v>
      </c>
      <c r="G36" s="179">
        <f>D36-'[7]Februāris'!D36</f>
        <v>32849148</v>
      </c>
      <c r="H36" s="113" t="s">
        <v>11</v>
      </c>
      <c r="I36" s="197" t="s">
        <v>848</v>
      </c>
      <c r="J36" s="197" t="s">
        <v>848</v>
      </c>
      <c r="K36" s="177">
        <f t="shared" si="5"/>
        <v>108796</v>
      </c>
      <c r="L36" s="189" t="s">
        <v>848</v>
      </c>
      <c r="M36" s="189" t="s">
        <v>848</v>
      </c>
      <c r="N36" s="179">
        <f>K36-'[7]Februāris'!K36</f>
        <v>32849</v>
      </c>
    </row>
    <row r="37" spans="1:14" ht="17.25" customHeight="1">
      <c r="A37" s="113" t="s">
        <v>12</v>
      </c>
      <c r="B37" s="197" t="s">
        <v>848</v>
      </c>
      <c r="C37" s="197" t="s">
        <v>848</v>
      </c>
      <c r="D37" s="198">
        <v>9019647</v>
      </c>
      <c r="E37" s="173"/>
      <c r="F37" s="188" t="s">
        <v>848</v>
      </c>
      <c r="G37" s="179">
        <f>D37-'[7]Februāris'!D37</f>
        <v>3376174</v>
      </c>
      <c r="H37" s="113" t="s">
        <v>12</v>
      </c>
      <c r="I37" s="197" t="s">
        <v>848</v>
      </c>
      <c r="J37" s="197" t="s">
        <v>848</v>
      </c>
      <c r="K37" s="177">
        <f t="shared" si="5"/>
        <v>9020</v>
      </c>
      <c r="L37" s="189" t="s">
        <v>848</v>
      </c>
      <c r="M37" s="189" t="s">
        <v>848</v>
      </c>
      <c r="N37" s="179">
        <f>K37-'[7]Februāris'!K37</f>
        <v>3377</v>
      </c>
    </row>
    <row r="38" spans="1:14" ht="17.25" customHeight="1">
      <c r="A38" s="113" t="s">
        <v>13</v>
      </c>
      <c r="B38" s="197" t="s">
        <v>848</v>
      </c>
      <c r="C38" s="197" t="s">
        <v>848</v>
      </c>
      <c r="D38" s="198">
        <v>215981</v>
      </c>
      <c r="E38" s="173"/>
      <c r="F38" s="188" t="s">
        <v>848</v>
      </c>
      <c r="G38" s="179">
        <f>D38-'[7]Februāris'!D38</f>
        <v>78138</v>
      </c>
      <c r="H38" s="113" t="s">
        <v>13</v>
      </c>
      <c r="I38" s="197" t="s">
        <v>848</v>
      </c>
      <c r="J38" s="197" t="s">
        <v>848</v>
      </c>
      <c r="K38" s="177">
        <f t="shared" si="5"/>
        <v>216</v>
      </c>
      <c r="L38" s="189" t="s">
        <v>848</v>
      </c>
      <c r="M38" s="189" t="s">
        <v>848</v>
      </c>
      <c r="N38" s="179">
        <f>K38-'[7]Februāris'!K38</f>
        <v>78</v>
      </c>
    </row>
    <row r="39" spans="1:14" ht="17.25" customHeight="1">
      <c r="A39" s="113" t="s">
        <v>14</v>
      </c>
      <c r="B39" s="197" t="s">
        <v>848</v>
      </c>
      <c r="C39" s="197" t="s">
        <v>848</v>
      </c>
      <c r="D39" s="199">
        <v>92846</v>
      </c>
      <c r="E39" s="173"/>
      <c r="F39" s="188" t="s">
        <v>848</v>
      </c>
      <c r="G39" s="179">
        <f>D39-'[7]Februāris'!D39</f>
        <v>26300</v>
      </c>
      <c r="H39" s="113" t="s">
        <v>14</v>
      </c>
      <c r="I39" s="197" t="s">
        <v>848</v>
      </c>
      <c r="J39" s="197" t="s">
        <v>848</v>
      </c>
      <c r="K39" s="177">
        <f>ROUND(D39/1000,0)-1</f>
        <v>92</v>
      </c>
      <c r="L39" s="189" t="s">
        <v>848</v>
      </c>
      <c r="M39" s="189" t="s">
        <v>848</v>
      </c>
      <c r="N39" s="179">
        <f>K39-'[7]Februāris'!K39</f>
        <v>26</v>
      </c>
    </row>
    <row r="40" spans="1:14" ht="26.25">
      <c r="A40" s="101" t="s">
        <v>15</v>
      </c>
      <c r="B40" s="200">
        <v>84850</v>
      </c>
      <c r="C40" s="200">
        <v>14850</v>
      </c>
      <c r="D40" s="200">
        <f>'[5]Marts'!$Z$29</f>
        <v>5011</v>
      </c>
      <c r="E40" s="173">
        <f t="shared" si="0"/>
        <v>5.90571596935769</v>
      </c>
      <c r="F40" s="174">
        <f aca="true" t="shared" si="6" ref="F40:F47">D40/C40*100</f>
        <v>33.744107744107744</v>
      </c>
      <c r="G40" s="179">
        <f>D40-'[7]Februāris'!D40</f>
        <v>5011</v>
      </c>
      <c r="H40" s="101" t="s">
        <v>15</v>
      </c>
      <c r="I40" s="177">
        <f aca="true" t="shared" si="7" ref="I40:J47">ROUND(B40/1000,0)</f>
        <v>85</v>
      </c>
      <c r="J40" s="177">
        <f t="shared" si="7"/>
        <v>15</v>
      </c>
      <c r="K40" s="177">
        <f t="shared" si="5"/>
        <v>5</v>
      </c>
      <c r="L40" s="180">
        <f aca="true" t="shared" si="8" ref="L40:L45">K40/I40*100</f>
        <v>5.88235294117647</v>
      </c>
      <c r="M40" s="180">
        <f>K40/J40*100</f>
        <v>33.33333333333333</v>
      </c>
      <c r="N40" s="179">
        <f>K40-'[7]Februāris'!K40</f>
        <v>5</v>
      </c>
    </row>
    <row r="41" spans="1:14" ht="39">
      <c r="A41" s="101" t="s">
        <v>16</v>
      </c>
      <c r="B41" s="200">
        <v>1201200</v>
      </c>
      <c r="C41" s="197">
        <f>200200+100100</f>
        <v>300300</v>
      </c>
      <c r="D41" s="177">
        <v>300300</v>
      </c>
      <c r="E41" s="173">
        <f t="shared" si="0"/>
        <v>25</v>
      </c>
      <c r="F41" s="188" t="s">
        <v>848</v>
      </c>
      <c r="G41" s="179">
        <f>D41-'[7]Februāris'!D41</f>
        <v>100100</v>
      </c>
      <c r="H41" s="101" t="s">
        <v>16</v>
      </c>
      <c r="I41" s="177">
        <f t="shared" si="7"/>
        <v>1201</v>
      </c>
      <c r="J41" s="177">
        <f t="shared" si="7"/>
        <v>300</v>
      </c>
      <c r="K41" s="177">
        <f t="shared" si="5"/>
        <v>300</v>
      </c>
      <c r="L41" s="180">
        <f t="shared" si="8"/>
        <v>24.979184013322232</v>
      </c>
      <c r="M41" s="180">
        <f>K41/J41*100</f>
        <v>100</v>
      </c>
      <c r="N41" s="179">
        <f>K41-'[7]Februāris'!K41</f>
        <v>100</v>
      </c>
    </row>
    <row r="42" spans="1:14" ht="17.25" customHeight="1">
      <c r="A42" s="201" t="s">
        <v>17</v>
      </c>
      <c r="B42" s="202">
        <f>SUM(B43:B44)</f>
        <v>33237707</v>
      </c>
      <c r="C42" s="202">
        <f>SUM(C43:C44)</f>
        <v>6944844</v>
      </c>
      <c r="D42" s="202">
        <f>SUM(D43:D44)</f>
        <v>4764601</v>
      </c>
      <c r="E42" s="173">
        <f t="shared" si="0"/>
        <v>14.334926894926896</v>
      </c>
      <c r="F42" s="174">
        <f t="shared" si="6"/>
        <v>68.60630706751655</v>
      </c>
      <c r="G42" s="179">
        <f>D42-'[7]Februāris'!D42</f>
        <v>608417</v>
      </c>
      <c r="H42" s="201" t="s">
        <v>17</v>
      </c>
      <c r="I42" s="175">
        <f>SUM(I43:I44)</f>
        <v>33237</v>
      </c>
      <c r="J42" s="175">
        <f>SUM(J43:J44)</f>
        <v>6945</v>
      </c>
      <c r="K42" s="175">
        <f>SUM(K43:K44)</f>
        <v>4765</v>
      </c>
      <c r="L42" s="176">
        <f t="shared" si="8"/>
        <v>14.336432289316123</v>
      </c>
      <c r="M42" s="176">
        <f>K42/J42*100</f>
        <v>68.61051115910726</v>
      </c>
      <c r="N42" s="172">
        <f>K42-'[7]Februāris'!K42</f>
        <v>608</v>
      </c>
    </row>
    <row r="43" spans="1:14" ht="15">
      <c r="A43" s="101" t="s">
        <v>18</v>
      </c>
      <c r="B43" s="186">
        <f>11728286+810000</f>
        <v>12538286</v>
      </c>
      <c r="C43" s="186">
        <v>4343659</v>
      </c>
      <c r="D43" s="177">
        <f>'[5]Marts'!$Z$31</f>
        <v>3825475</v>
      </c>
      <c r="E43" s="173">
        <f t="shared" si="0"/>
        <v>30.51035045778984</v>
      </c>
      <c r="F43" s="174">
        <f t="shared" si="6"/>
        <v>88.07033425045566</v>
      </c>
      <c r="G43" s="179">
        <f>D43-'[7]Februāris'!D43</f>
        <v>290489</v>
      </c>
      <c r="H43" s="101" t="s">
        <v>18</v>
      </c>
      <c r="I43" s="177">
        <f t="shared" si="7"/>
        <v>12538</v>
      </c>
      <c r="J43" s="177">
        <f>ROUND(C43/1000,0)-1</f>
        <v>4343</v>
      </c>
      <c r="K43" s="177">
        <f t="shared" si="5"/>
        <v>3825</v>
      </c>
      <c r="L43" s="180">
        <f t="shared" si="8"/>
        <v>30.507257935874943</v>
      </c>
      <c r="M43" s="180">
        <f>K43/J43*100</f>
        <v>88.07276076444855</v>
      </c>
      <c r="N43" s="179">
        <f>K43-'[7]Februāris'!K43</f>
        <v>290</v>
      </c>
    </row>
    <row r="44" spans="1:14" ht="15">
      <c r="A44" s="101" t="s">
        <v>19</v>
      </c>
      <c r="B44" s="186">
        <v>20699421</v>
      </c>
      <c r="C44" s="186">
        <f>1956665+234780+215420+194320</f>
        <v>2601185</v>
      </c>
      <c r="D44" s="177">
        <f>'[5]Marts'!$Z$32</f>
        <v>939126</v>
      </c>
      <c r="E44" s="173">
        <f t="shared" si="0"/>
        <v>4.536967483293373</v>
      </c>
      <c r="F44" s="174">
        <f t="shared" si="6"/>
        <v>36.103775779116056</v>
      </c>
      <c r="G44" s="179">
        <f>D44-'[7]Februāris'!D44</f>
        <v>317928</v>
      </c>
      <c r="H44" s="101" t="s">
        <v>19</v>
      </c>
      <c r="I44" s="177">
        <f>ROUND(B44/1000,0)</f>
        <v>20699</v>
      </c>
      <c r="J44" s="177">
        <f>ROUND(C44/1000,0)+1</f>
        <v>2602</v>
      </c>
      <c r="K44" s="177">
        <f>ROUND(D44/1000,0)+1</f>
        <v>940</v>
      </c>
      <c r="L44" s="180">
        <f t="shared" si="8"/>
        <v>4.541282187545292</v>
      </c>
      <c r="M44" s="180">
        <f>K44/J44*100</f>
        <v>36.1260568793236</v>
      </c>
      <c r="N44" s="179">
        <f>K44-'[7]Februāris'!K44</f>
        <v>318</v>
      </c>
    </row>
    <row r="45" spans="1:14" ht="30">
      <c r="A45" s="190" t="s">
        <v>20</v>
      </c>
      <c r="B45" s="184">
        <v>6699203</v>
      </c>
      <c r="C45" s="203" t="s">
        <v>848</v>
      </c>
      <c r="D45" s="184">
        <f>D46-D47</f>
        <v>1973327</v>
      </c>
      <c r="E45" s="173">
        <f t="shared" si="0"/>
        <v>29.456145753457534</v>
      </c>
      <c r="F45" s="188" t="s">
        <v>848</v>
      </c>
      <c r="G45" s="179">
        <f>D45-'[7]Februāris'!D45</f>
        <v>848792</v>
      </c>
      <c r="H45" s="190" t="s">
        <v>20</v>
      </c>
      <c r="I45" s="175">
        <f t="shared" si="7"/>
        <v>6699</v>
      </c>
      <c r="J45" s="204" t="s">
        <v>848</v>
      </c>
      <c r="K45" s="175">
        <f t="shared" si="5"/>
        <v>1973</v>
      </c>
      <c r="L45" s="176">
        <f t="shared" si="8"/>
        <v>29.452157038363936</v>
      </c>
      <c r="M45" s="205" t="s">
        <v>848</v>
      </c>
      <c r="N45" s="172">
        <f>K45-'[7]Februāris'!K45</f>
        <v>848</v>
      </c>
    </row>
    <row r="46" spans="1:14" ht="15">
      <c r="A46" s="109" t="s">
        <v>21</v>
      </c>
      <c r="B46" s="203" t="s">
        <v>848</v>
      </c>
      <c r="C46" s="177">
        <v>2444300</v>
      </c>
      <c r="D46" s="177">
        <f>'[5]Marts'!$Z$34</f>
        <v>2039041</v>
      </c>
      <c r="E46" s="173"/>
      <c r="F46" s="174">
        <f t="shared" si="6"/>
        <v>83.42024301435994</v>
      </c>
      <c r="G46" s="179">
        <f>D46-'[7]Februāris'!D46</f>
        <v>900049</v>
      </c>
      <c r="H46" s="109" t="s">
        <v>21</v>
      </c>
      <c r="I46" s="203" t="s">
        <v>848</v>
      </c>
      <c r="J46" s="177">
        <f t="shared" si="7"/>
        <v>2444</v>
      </c>
      <c r="K46" s="177">
        <f t="shared" si="5"/>
        <v>2039</v>
      </c>
      <c r="L46" s="189" t="s">
        <v>848</v>
      </c>
      <c r="M46" s="180">
        <f>K46/J46*100</f>
        <v>83.42880523731587</v>
      </c>
      <c r="N46" s="179">
        <f>K46-'[7]Februāris'!K46</f>
        <v>900</v>
      </c>
    </row>
    <row r="47" spans="1:14" ht="26.25">
      <c r="A47" s="123" t="s">
        <v>22</v>
      </c>
      <c r="B47" s="203" t="s">
        <v>848</v>
      </c>
      <c r="C47" s="177">
        <v>23063</v>
      </c>
      <c r="D47" s="198">
        <f>-'[5]Marts'!$Z$35</f>
        <v>65714</v>
      </c>
      <c r="E47" s="173"/>
      <c r="F47" s="174">
        <f t="shared" si="6"/>
        <v>284.93257598751245</v>
      </c>
      <c r="G47" s="179">
        <f>D47-'[7]Februāris'!D47</f>
        <v>51257</v>
      </c>
      <c r="H47" s="123" t="s">
        <v>22</v>
      </c>
      <c r="I47" s="203" t="s">
        <v>848</v>
      </c>
      <c r="J47" s="177">
        <f t="shared" si="7"/>
        <v>23</v>
      </c>
      <c r="K47" s="177">
        <f t="shared" si="5"/>
        <v>66</v>
      </c>
      <c r="L47" s="189" t="s">
        <v>848</v>
      </c>
      <c r="M47" s="180">
        <f>K47/J47*100</f>
        <v>286.95652173913044</v>
      </c>
      <c r="N47" s="179">
        <f>K47-'[7]Februāris'!K47</f>
        <v>52</v>
      </c>
    </row>
    <row r="48" spans="1:14" ht="17.25" customHeight="1">
      <c r="A48" s="190" t="s">
        <v>23</v>
      </c>
      <c r="B48" s="202">
        <f>B10-B15-B45</f>
        <v>-46327102</v>
      </c>
      <c r="C48" s="203" t="s">
        <v>848</v>
      </c>
      <c r="D48" s="202">
        <f>D10-D15-D45</f>
        <v>-9956304</v>
      </c>
      <c r="E48" s="173">
        <f t="shared" si="0"/>
        <v>21.49131624939544</v>
      </c>
      <c r="F48" s="188" t="s">
        <v>848</v>
      </c>
      <c r="G48" s="179"/>
      <c r="H48" s="190" t="s">
        <v>23</v>
      </c>
      <c r="I48" s="202">
        <f>I10-I15-I45</f>
        <v>-46327</v>
      </c>
      <c r="J48" s="204" t="s">
        <v>848</v>
      </c>
      <c r="K48" s="175">
        <f>K10-K15-K45</f>
        <v>-9957</v>
      </c>
      <c r="L48" s="176">
        <f>K48/I48*100</f>
        <v>21.492865931314352</v>
      </c>
      <c r="M48" s="189" t="s">
        <v>848</v>
      </c>
      <c r="N48" s="175">
        <f>N10-N15-N45</f>
        <v>623</v>
      </c>
    </row>
    <row r="49" spans="1:14" ht="17.25" customHeight="1">
      <c r="A49" s="190" t="s">
        <v>867</v>
      </c>
      <c r="B49" s="184">
        <f>-B48</f>
        <v>46327102</v>
      </c>
      <c r="C49" s="187" t="s">
        <v>848</v>
      </c>
      <c r="D49" s="184">
        <f>-D48</f>
        <v>9956304</v>
      </c>
      <c r="E49" s="173">
        <f t="shared" si="0"/>
        <v>21.49131624939544</v>
      </c>
      <c r="F49" s="188" t="s">
        <v>848</v>
      </c>
      <c r="G49" s="179">
        <f>D49-'[7]Februāris'!D49</f>
        <v>-623274</v>
      </c>
      <c r="H49" s="190" t="s">
        <v>867</v>
      </c>
      <c r="I49" s="184">
        <f>-I48</f>
        <v>46327</v>
      </c>
      <c r="J49" s="206" t="s">
        <v>848</v>
      </c>
      <c r="K49" s="184">
        <f>-K48</f>
        <v>9957</v>
      </c>
      <c r="L49" s="176">
        <f>K49/I49*100</f>
        <v>21.492865931314352</v>
      </c>
      <c r="M49" s="189" t="s">
        <v>848</v>
      </c>
      <c r="N49" s="184">
        <f>-N48</f>
        <v>-623</v>
      </c>
    </row>
    <row r="50" spans="1:14" ht="17.25" customHeight="1">
      <c r="A50" s="101" t="s">
        <v>24</v>
      </c>
      <c r="B50" s="177">
        <v>48698241</v>
      </c>
      <c r="C50" s="187">
        <f>'[6]Marts'!$C$17</f>
        <v>24474015</v>
      </c>
      <c r="D50" s="177">
        <f>'[5]Marts'!$Z$43+'[5]Marts'!$Z$39</f>
        <v>14653149</v>
      </c>
      <c r="E50" s="173">
        <f t="shared" si="0"/>
        <v>30.089688455071713</v>
      </c>
      <c r="F50" s="174">
        <f>D50/C50*100</f>
        <v>59.87227269412069</v>
      </c>
      <c r="G50" s="179">
        <f>D50-'[7]Februāris'!D50</f>
        <v>-652205</v>
      </c>
      <c r="H50" s="101" t="s">
        <v>24</v>
      </c>
      <c r="I50" s="177">
        <f>ROUND(B50/1000,0)</f>
        <v>48698</v>
      </c>
      <c r="J50" s="177">
        <f>ROUND(C50/1000,0)</f>
        <v>24474</v>
      </c>
      <c r="K50" s="177">
        <f>ROUND(D50/1000,0)</f>
        <v>14653</v>
      </c>
      <c r="L50" s="180">
        <f>K50/I50*100</f>
        <v>30.089531397593326</v>
      </c>
      <c r="M50" s="180">
        <f>K50/J50*100</f>
        <v>59.871700580207566</v>
      </c>
      <c r="N50" s="179">
        <f>K50-'[7]Februāris'!K50</f>
        <v>-652</v>
      </c>
    </row>
    <row r="51" spans="1:14" ht="39">
      <c r="A51" s="101" t="s">
        <v>25</v>
      </c>
      <c r="B51" s="177">
        <f>-(B48+B50)</f>
        <v>-2371139</v>
      </c>
      <c r="C51" s="188" t="s">
        <v>848</v>
      </c>
      <c r="D51" s="177">
        <f>-(D48+D50)</f>
        <v>-4696845</v>
      </c>
      <c r="E51" s="173">
        <f t="shared" si="0"/>
        <v>198.0839166324707</v>
      </c>
      <c r="F51" s="188" t="s">
        <v>848</v>
      </c>
      <c r="G51" s="179">
        <f>D51-'[7]Februāris'!D51</f>
        <v>28931</v>
      </c>
      <c r="H51" s="101" t="s">
        <v>25</v>
      </c>
      <c r="I51" s="177">
        <f>-(I48+I50)</f>
        <v>-2371</v>
      </c>
      <c r="J51" s="188" t="s">
        <v>848</v>
      </c>
      <c r="K51" s="177">
        <f>ROUND(D51/1000,0)+1</f>
        <v>-4696</v>
      </c>
      <c r="L51" s="180">
        <f>K51/I51*100</f>
        <v>198.059890341628</v>
      </c>
      <c r="M51" s="189" t="s">
        <v>848</v>
      </c>
      <c r="N51" s="179">
        <f>K51-'[7]Februāris'!K51-1</f>
        <v>29</v>
      </c>
    </row>
    <row r="52" spans="1:14" ht="17.25" customHeight="1">
      <c r="A52" s="207"/>
      <c r="B52" s="79"/>
      <c r="C52" s="79"/>
      <c r="D52" s="158"/>
      <c r="E52" s="208"/>
      <c r="F52" s="209"/>
      <c r="G52" s="42"/>
      <c r="H52" s="207"/>
      <c r="I52" s="79"/>
      <c r="J52" s="79"/>
      <c r="K52" s="158"/>
      <c r="L52" s="208"/>
      <c r="M52" s="209"/>
      <c r="N52" s="42"/>
    </row>
    <row r="53" spans="1:14" ht="14.25" hidden="1">
      <c r="A53" s="210" t="s">
        <v>26</v>
      </c>
      <c r="B53" s="79"/>
      <c r="C53" s="79"/>
      <c r="D53" s="158"/>
      <c r="E53" s="208"/>
      <c r="F53" s="209"/>
      <c r="G53" s="42"/>
      <c r="H53" s="210" t="s">
        <v>26</v>
      </c>
      <c r="I53" s="79"/>
      <c r="J53" s="79"/>
      <c r="K53" s="158"/>
      <c r="L53" s="208"/>
      <c r="M53" s="209"/>
      <c r="N53" s="42"/>
    </row>
    <row r="54" spans="1:14" ht="12.75" hidden="1">
      <c r="A54" s="101" t="s">
        <v>27</v>
      </c>
      <c r="B54" s="110"/>
      <c r="C54" s="110"/>
      <c r="D54" s="211"/>
      <c r="E54" s="95"/>
      <c r="F54" s="188"/>
      <c r="G54" s="29"/>
      <c r="H54" s="101" t="s">
        <v>27</v>
      </c>
      <c r="I54" s="110"/>
      <c r="J54" s="110"/>
      <c r="K54" s="211"/>
      <c r="L54" s="95"/>
      <c r="M54" s="188"/>
      <c r="N54" s="29"/>
    </row>
    <row r="55" spans="1:14" ht="12.75" hidden="1">
      <c r="A55" s="29" t="s">
        <v>879</v>
      </c>
      <c r="B55" s="110"/>
      <c r="C55" s="110"/>
      <c r="D55" s="211"/>
      <c r="E55" s="95"/>
      <c r="F55" s="188"/>
      <c r="G55" s="29"/>
      <c r="H55" s="29" t="s">
        <v>879</v>
      </c>
      <c r="I55" s="110"/>
      <c r="J55" s="110"/>
      <c r="K55" s="211"/>
      <c r="L55" s="95"/>
      <c r="M55" s="188"/>
      <c r="N55" s="29"/>
    </row>
    <row r="56" spans="1:14" ht="25.5" hidden="1">
      <c r="A56" s="101" t="s">
        <v>28</v>
      </c>
      <c r="B56" s="110"/>
      <c r="C56" s="110"/>
      <c r="D56" s="211"/>
      <c r="E56" s="95"/>
      <c r="F56" s="188"/>
      <c r="G56" s="29"/>
      <c r="H56" s="101" t="s">
        <v>28</v>
      </c>
      <c r="I56" s="110"/>
      <c r="J56" s="110"/>
      <c r="K56" s="211"/>
      <c r="L56" s="95"/>
      <c r="M56" s="188"/>
      <c r="N56" s="29"/>
    </row>
    <row r="57" spans="1:14" ht="17.25" customHeight="1">
      <c r="A57" s="42"/>
      <c r="B57" s="79"/>
      <c r="C57" s="79"/>
      <c r="D57" s="158"/>
      <c r="E57" s="208"/>
      <c r="F57" s="209"/>
      <c r="G57" s="42"/>
      <c r="H57" s="42"/>
      <c r="I57" s="79"/>
      <c r="J57" s="79"/>
      <c r="K57" s="158"/>
      <c r="L57" s="208"/>
      <c r="M57" s="209"/>
      <c r="N57" s="42"/>
    </row>
    <row r="58" spans="1:14" ht="17.25" customHeight="1">
      <c r="A58" s="5"/>
      <c r="B58" s="212"/>
      <c r="C58" s="212"/>
      <c r="D58" s="213"/>
      <c r="E58" s="208"/>
      <c r="F58" s="214"/>
      <c r="G58" s="5"/>
      <c r="H58" s="5"/>
      <c r="I58" s="212"/>
      <c r="J58" s="212"/>
      <c r="K58" s="213"/>
      <c r="L58" s="208"/>
      <c r="M58" s="214"/>
      <c r="N58" s="5"/>
    </row>
    <row r="59" spans="2:14" ht="17.25" customHeight="1">
      <c r="B59" s="212"/>
      <c r="C59" s="212"/>
      <c r="D59" s="213"/>
      <c r="E59" s="215"/>
      <c r="F59" s="214"/>
      <c r="G59" s="5"/>
      <c r="I59" s="212"/>
      <c r="J59" s="212"/>
      <c r="K59" s="213"/>
      <c r="L59" s="215"/>
      <c r="M59" s="214"/>
      <c r="N59" s="5"/>
    </row>
    <row r="60" spans="2:14" ht="17.25" customHeight="1">
      <c r="B60" s="5"/>
      <c r="C60" s="5"/>
      <c r="D60" s="5"/>
      <c r="E60" s="216"/>
      <c r="F60" s="217"/>
      <c r="G60" s="5"/>
      <c r="I60" s="5"/>
      <c r="J60" s="5"/>
      <c r="K60" s="5"/>
      <c r="L60" s="216"/>
      <c r="M60" s="217"/>
      <c r="N60" s="5"/>
    </row>
    <row r="61" spans="2:14" ht="17.25" customHeight="1">
      <c r="B61" s="212"/>
      <c r="C61" s="218"/>
      <c r="D61" s="213"/>
      <c r="E61" s="218"/>
      <c r="F61" s="214"/>
      <c r="G61" s="5"/>
      <c r="I61" s="212"/>
      <c r="J61" s="218"/>
      <c r="K61" s="213"/>
      <c r="L61" s="218"/>
      <c r="M61" s="214"/>
      <c r="N61" s="5"/>
    </row>
    <row r="62" spans="2:13" ht="17.25" customHeight="1">
      <c r="B62" s="167"/>
      <c r="C62" s="167"/>
      <c r="E62" s="219"/>
      <c r="F62" s="220"/>
      <c r="I62" s="167"/>
      <c r="J62" s="167"/>
      <c r="L62" s="219"/>
      <c r="M62" s="220"/>
    </row>
    <row r="63" spans="2:13" ht="17.25" customHeight="1">
      <c r="B63" s="167"/>
      <c r="C63" s="167"/>
      <c r="E63" s="219"/>
      <c r="F63" s="220"/>
      <c r="H63" s="207"/>
      <c r="I63" s="207"/>
      <c r="J63" s="207"/>
      <c r="K63" s="207"/>
      <c r="L63" s="207"/>
      <c r="M63" s="207"/>
    </row>
    <row r="64" spans="1:14" ht="17.25" customHeight="1">
      <c r="A64" s="80" t="s">
        <v>916</v>
      </c>
      <c r="B64" s="9"/>
      <c r="C64" s="9"/>
      <c r="E64" s="218" t="s">
        <v>917</v>
      </c>
      <c r="F64" s="220"/>
      <c r="H64" s="221" t="s">
        <v>29</v>
      </c>
      <c r="I64" s="221"/>
      <c r="J64" s="221"/>
      <c r="K64" s="221"/>
      <c r="M64" s="221"/>
      <c r="N64" s="221" t="s">
        <v>830</v>
      </c>
    </row>
    <row r="65" spans="2:13" ht="17.25" customHeight="1">
      <c r="B65" s="222"/>
      <c r="C65" s="219"/>
      <c r="D65" s="223"/>
      <c r="E65" s="219"/>
      <c r="F65" s="220"/>
      <c r="H65" s="207"/>
      <c r="I65" s="207"/>
      <c r="J65" s="207"/>
      <c r="K65" s="207"/>
      <c r="L65" s="207"/>
      <c r="M65" s="207"/>
    </row>
    <row r="66" spans="2:13" ht="17.25" customHeight="1">
      <c r="B66" s="222"/>
      <c r="C66" s="219"/>
      <c r="D66" s="223"/>
      <c r="E66" s="219"/>
      <c r="F66" s="220"/>
      <c r="I66" s="222"/>
      <c r="J66" s="219"/>
      <c r="K66" s="223"/>
      <c r="L66" s="219"/>
      <c r="M66" s="220"/>
    </row>
    <row r="67" spans="2:13" ht="17.25" customHeight="1">
      <c r="B67" s="167"/>
      <c r="C67" s="167"/>
      <c r="E67" s="219"/>
      <c r="F67" s="220"/>
      <c r="I67" s="167"/>
      <c r="J67" s="167"/>
      <c r="L67" s="219"/>
      <c r="M67" s="220"/>
    </row>
    <row r="68" spans="2:13" ht="17.25" customHeight="1">
      <c r="B68" s="167"/>
      <c r="C68" s="167"/>
      <c r="E68" s="219"/>
      <c r="F68" s="220"/>
      <c r="I68" s="167"/>
      <c r="J68" s="167"/>
      <c r="L68" s="219"/>
      <c r="M68" s="220"/>
    </row>
    <row r="69" spans="5:13" ht="17.25" customHeight="1">
      <c r="E69" s="219"/>
      <c r="F69" s="220"/>
      <c r="L69" s="219"/>
      <c r="M69" s="220"/>
    </row>
    <row r="70" spans="1:13" ht="17.25" customHeight="1">
      <c r="A70" s="221"/>
      <c r="E70" s="219"/>
      <c r="F70" s="220"/>
      <c r="H70" s="221"/>
      <c r="L70" s="219"/>
      <c r="M70" s="220"/>
    </row>
    <row r="71" spans="5:13" ht="17.25" customHeight="1">
      <c r="E71" s="219"/>
      <c r="F71" s="220"/>
      <c r="L71" s="219"/>
      <c r="M71" s="220"/>
    </row>
    <row r="72" spans="5:13" ht="17.25" customHeight="1">
      <c r="E72" s="219"/>
      <c r="F72" s="220"/>
      <c r="L72" s="219"/>
      <c r="M72" s="220"/>
    </row>
    <row r="79" ht="17.25" customHeight="1">
      <c r="A79" s="8" t="s">
        <v>915</v>
      </c>
    </row>
    <row r="80" ht="17.25" customHeight="1">
      <c r="A80" s="8" t="s">
        <v>30</v>
      </c>
    </row>
    <row r="89" ht="17.25" customHeight="1">
      <c r="H89" s="8" t="s">
        <v>915</v>
      </c>
    </row>
    <row r="90" ht="17.25" customHeight="1">
      <c r="H90" s="8" t="s">
        <v>31</v>
      </c>
    </row>
    <row r="91" ht="17.25" customHeight="1">
      <c r="A91" s="4"/>
    </row>
    <row r="92" spans="1:8" ht="17.25" customHeight="1">
      <c r="A92" s="4"/>
      <c r="H92" s="4"/>
    </row>
  </sheetData>
  <mergeCells count="7">
    <mergeCell ref="A6:G6"/>
    <mergeCell ref="H6:N6"/>
    <mergeCell ref="H2:N2"/>
    <mergeCell ref="A4:G4"/>
    <mergeCell ref="H4:N4"/>
    <mergeCell ref="A5:G5"/>
    <mergeCell ref="H5:N5"/>
  </mergeCells>
  <printOptions/>
  <pageMargins left="0.75" right="0.19" top="0.33" bottom="0.4" header="0.17" footer="0.18"/>
  <pageSetup fitToHeight="2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8"/>
  <sheetViews>
    <sheetView workbookViewId="0" topLeftCell="G1">
      <selection activeCell="A7" sqref="A7"/>
    </sheetView>
  </sheetViews>
  <sheetFormatPr defaultColWidth="9.140625" defaultRowHeight="17.25" customHeight="1"/>
  <cols>
    <col min="1" max="1" width="46.8515625" style="42" hidden="1" customWidth="1"/>
    <col min="2" max="2" width="10.8515625" style="42" hidden="1" customWidth="1"/>
    <col min="3" max="3" width="13.140625" style="42" hidden="1" customWidth="1"/>
    <col min="4" max="4" width="11.7109375" style="42" hidden="1" customWidth="1"/>
    <col min="5" max="5" width="8.7109375" style="42" hidden="1" customWidth="1"/>
    <col min="6" max="6" width="12.8515625" style="42" hidden="1" customWidth="1"/>
    <col min="7" max="7" width="43.140625" style="42" customWidth="1"/>
    <col min="8" max="8" width="9.140625" style="42" customWidth="1"/>
    <col min="9" max="9" width="12.00390625" style="42" customWidth="1"/>
    <col min="10" max="10" width="11.7109375" style="42" customWidth="1"/>
    <col min="11" max="11" width="8.7109375" style="42" customWidth="1"/>
    <col min="12" max="12" width="10.140625" style="42" customWidth="1"/>
  </cols>
  <sheetData>
    <row r="2" spans="1:12" ht="17.25" customHeight="1">
      <c r="A2" s="42" t="s">
        <v>898</v>
      </c>
      <c r="F2" s="145" t="s">
        <v>899</v>
      </c>
      <c r="G2" s="42" t="s">
        <v>898</v>
      </c>
      <c r="L2" s="145" t="s">
        <v>899</v>
      </c>
    </row>
    <row r="4" spans="1:12" ht="17.25" customHeight="1">
      <c r="A4" s="754" t="s">
        <v>900</v>
      </c>
      <c r="B4" s="754"/>
      <c r="C4" s="754"/>
      <c r="D4" s="754"/>
      <c r="E4" s="754"/>
      <c r="F4" s="754"/>
      <c r="G4" s="754" t="s">
        <v>900</v>
      </c>
      <c r="H4" s="754"/>
      <c r="I4" s="754"/>
      <c r="J4" s="754"/>
      <c r="K4" s="754"/>
      <c r="L4" s="754"/>
    </row>
    <row r="5" spans="1:12" ht="17.25" customHeight="1">
      <c r="A5" s="754" t="s">
        <v>901</v>
      </c>
      <c r="B5" s="754"/>
      <c r="C5" s="754"/>
      <c r="D5" s="754"/>
      <c r="E5" s="754"/>
      <c r="F5" s="754"/>
      <c r="G5" s="755" t="s">
        <v>793</v>
      </c>
      <c r="H5" s="755"/>
      <c r="I5" s="755"/>
      <c r="J5" s="755"/>
      <c r="K5" s="755"/>
      <c r="L5" s="755"/>
    </row>
    <row r="6" spans="6:12" ht="17.25" customHeight="1">
      <c r="F6" s="145" t="s">
        <v>902</v>
      </c>
      <c r="L6" s="145" t="s">
        <v>837</v>
      </c>
    </row>
    <row r="7" spans="1:12" ht="51">
      <c r="A7" s="146" t="s">
        <v>748</v>
      </c>
      <c r="B7" s="91" t="s">
        <v>903</v>
      </c>
      <c r="C7" s="91" t="s">
        <v>749</v>
      </c>
      <c r="D7" s="91" t="s">
        <v>751</v>
      </c>
      <c r="E7" s="91" t="s">
        <v>904</v>
      </c>
      <c r="F7" s="91" t="s">
        <v>905</v>
      </c>
      <c r="G7" s="146" t="s">
        <v>748</v>
      </c>
      <c r="H7" s="91" t="s">
        <v>903</v>
      </c>
      <c r="I7" s="91" t="s">
        <v>749</v>
      </c>
      <c r="J7" s="91" t="s">
        <v>751</v>
      </c>
      <c r="K7" s="91" t="s">
        <v>906</v>
      </c>
      <c r="L7" s="91" t="s">
        <v>797</v>
      </c>
    </row>
    <row r="8" spans="1:12" ht="17.25" customHeight="1">
      <c r="A8" s="146">
        <v>1</v>
      </c>
      <c r="B8" s="146">
        <v>2</v>
      </c>
      <c r="C8" s="91">
        <v>3</v>
      </c>
      <c r="D8" s="91">
        <v>4</v>
      </c>
      <c r="E8" s="91">
        <v>5</v>
      </c>
      <c r="F8" s="147">
        <v>6</v>
      </c>
      <c r="G8" s="146">
        <v>1</v>
      </c>
      <c r="H8" s="146">
        <v>2</v>
      </c>
      <c r="I8" s="91">
        <v>3</v>
      </c>
      <c r="J8" s="91">
        <v>4</v>
      </c>
      <c r="K8" s="91">
        <v>5</v>
      </c>
      <c r="L8" s="147">
        <v>6</v>
      </c>
    </row>
    <row r="9" spans="1:14" ht="30" customHeight="1">
      <c r="A9" s="107" t="s">
        <v>907</v>
      </c>
      <c r="B9" s="142"/>
      <c r="C9" s="148">
        <f>SUM(C10:C23)-C14</f>
        <v>771845803</v>
      </c>
      <c r="D9" s="148">
        <f>SUM(D10:D13,D15:D24)</f>
        <v>174142980</v>
      </c>
      <c r="E9" s="149">
        <f>D9/C9*100</f>
        <v>22.56188727374605</v>
      </c>
      <c r="F9" s="148">
        <f>D9-'[4]Februāris'!D9</f>
        <v>55189780</v>
      </c>
      <c r="G9" s="141" t="s">
        <v>907</v>
      </c>
      <c r="H9" s="147"/>
      <c r="I9" s="148">
        <f>SUM(I10:I13,I15:I24)</f>
        <v>771845</v>
      </c>
      <c r="J9" s="148">
        <f>SUM(J10:J13,J15:J24)</f>
        <v>174143</v>
      </c>
      <c r="K9" s="149">
        <f>J9/I9*100</f>
        <v>22.56191333752243</v>
      </c>
      <c r="L9" s="148">
        <f>SUM(L10:L13,L15:L24)</f>
        <v>55189</v>
      </c>
      <c r="N9" s="150"/>
    </row>
    <row r="10" spans="1:14" ht="30" customHeight="1">
      <c r="A10" s="109" t="s">
        <v>800</v>
      </c>
      <c r="B10" s="151">
        <v>1</v>
      </c>
      <c r="C10" s="152">
        <v>756987</v>
      </c>
      <c r="D10" s="153">
        <f>'[5]Marts'!$P$7</f>
        <v>27893</v>
      </c>
      <c r="E10" s="149">
        <f aca="true" t="shared" si="0" ref="E10:E23">D10/C10*100</f>
        <v>3.684739632252602</v>
      </c>
      <c r="F10" s="148">
        <f>D10-'[4]Februāris'!D10</f>
        <v>11547</v>
      </c>
      <c r="G10" s="109" t="s">
        <v>800</v>
      </c>
      <c r="H10" s="151">
        <v>1</v>
      </c>
      <c r="I10" s="153">
        <f aca="true" t="shared" si="1" ref="I10:J24">ROUND(C10/1000,0)</f>
        <v>757</v>
      </c>
      <c r="J10" s="153">
        <f t="shared" si="1"/>
        <v>28</v>
      </c>
      <c r="K10" s="154">
        <f>J10/I10*100</f>
        <v>3.6988110964332894</v>
      </c>
      <c r="L10" s="153">
        <f>J10-'[4]Februāris'!J10</f>
        <v>12</v>
      </c>
      <c r="N10" s="150"/>
    </row>
    <row r="11" spans="1:14" ht="30" customHeight="1">
      <c r="A11" s="29" t="s">
        <v>802</v>
      </c>
      <c r="B11" s="151">
        <v>2</v>
      </c>
      <c r="C11" s="152"/>
      <c r="D11" s="153"/>
      <c r="E11" s="149"/>
      <c r="F11" s="148">
        <f>D11-'[4]Februāris'!D11</f>
        <v>0</v>
      </c>
      <c r="G11" s="29" t="s">
        <v>802</v>
      </c>
      <c r="H11" s="151">
        <v>2</v>
      </c>
      <c r="I11" s="153">
        <f t="shared" si="1"/>
        <v>0</v>
      </c>
      <c r="J11" s="153">
        <f t="shared" si="1"/>
        <v>0</v>
      </c>
      <c r="K11" s="154"/>
      <c r="L11" s="153">
        <f>J11-'[4]Februāris'!J11</f>
        <v>0</v>
      </c>
      <c r="N11" s="150"/>
    </row>
    <row r="12" spans="1:14" ht="30" customHeight="1">
      <c r="A12" s="101" t="s">
        <v>804</v>
      </c>
      <c r="B12" s="151">
        <v>3</v>
      </c>
      <c r="C12" s="152"/>
      <c r="D12" s="153"/>
      <c r="E12" s="149"/>
      <c r="F12" s="148">
        <f>D12-'[4]Februāris'!D12</f>
        <v>0</v>
      </c>
      <c r="G12" s="101" t="s">
        <v>804</v>
      </c>
      <c r="H12" s="151">
        <v>3</v>
      </c>
      <c r="I12" s="153">
        <f t="shared" si="1"/>
        <v>0</v>
      </c>
      <c r="J12" s="153">
        <f t="shared" si="1"/>
        <v>0</v>
      </c>
      <c r="K12" s="154"/>
      <c r="L12" s="153">
        <f>J12-'[4]Februāris'!J12</f>
        <v>0</v>
      </c>
      <c r="N12" s="150"/>
    </row>
    <row r="13" spans="1:14" ht="30" customHeight="1">
      <c r="A13" s="29" t="s">
        <v>908</v>
      </c>
      <c r="B13" s="151">
        <v>4</v>
      </c>
      <c r="C13" s="152">
        <f>1238299+C14</f>
        <v>7937502</v>
      </c>
      <c r="D13" s="153">
        <f>'[5]Marts'!$O$7+D14</f>
        <v>2249277</v>
      </c>
      <c r="E13" s="149">
        <f t="shared" si="0"/>
        <v>28.33734089137867</v>
      </c>
      <c r="F13" s="148">
        <f>D13-'[4]Februāris'!D13</f>
        <v>870238</v>
      </c>
      <c r="G13" s="29" t="s">
        <v>909</v>
      </c>
      <c r="H13" s="151">
        <v>4</v>
      </c>
      <c r="I13" s="153">
        <f>ROUND(C13/1000,0)-1</f>
        <v>7937</v>
      </c>
      <c r="J13" s="153">
        <f t="shared" si="1"/>
        <v>2249</v>
      </c>
      <c r="K13" s="154">
        <f aca="true" t="shared" si="2" ref="K13:K18">J13/I13*100</f>
        <v>28.335643190122212</v>
      </c>
      <c r="L13" s="153">
        <f>J13-'[4]Februāris'!J13</f>
        <v>870</v>
      </c>
      <c r="N13" s="150"/>
    </row>
    <row r="14" spans="1:14" ht="30" customHeight="1">
      <c r="A14" s="155" t="s">
        <v>910</v>
      </c>
      <c r="B14" s="151"/>
      <c r="C14" s="152">
        <v>6699203</v>
      </c>
      <c r="D14" s="153">
        <f>'[5]Marts'!$O$33</f>
        <v>1973327</v>
      </c>
      <c r="E14" s="149"/>
      <c r="F14" s="148">
        <f>D14-'[4]Februāris'!D14</f>
        <v>848792</v>
      </c>
      <c r="G14" s="155" t="s">
        <v>910</v>
      </c>
      <c r="H14" s="151"/>
      <c r="I14" s="153">
        <f t="shared" si="1"/>
        <v>6699</v>
      </c>
      <c r="J14" s="153">
        <f t="shared" si="1"/>
        <v>1973</v>
      </c>
      <c r="K14" s="154">
        <f t="shared" si="2"/>
        <v>29.452157038363936</v>
      </c>
      <c r="L14" s="153">
        <f>J14-'[4]Februāris'!J14</f>
        <v>848</v>
      </c>
      <c r="N14" s="150"/>
    </row>
    <row r="15" spans="1:14" ht="30" customHeight="1">
      <c r="A15" s="29" t="s">
        <v>808</v>
      </c>
      <c r="B15" s="151">
        <v>5</v>
      </c>
      <c r="C15" s="152">
        <v>141458002</v>
      </c>
      <c r="D15" s="156">
        <f>'[5]Marts'!$D$7</f>
        <v>32063344</v>
      </c>
      <c r="E15" s="149">
        <f t="shared" si="0"/>
        <v>22.66633456338511</v>
      </c>
      <c r="F15" s="148">
        <f>D15-'[4]Februāris'!D15</f>
        <v>12205750</v>
      </c>
      <c r="G15" s="29" t="s">
        <v>808</v>
      </c>
      <c r="H15" s="151">
        <v>5</v>
      </c>
      <c r="I15" s="153">
        <f t="shared" si="1"/>
        <v>141458</v>
      </c>
      <c r="J15" s="153">
        <f t="shared" si="1"/>
        <v>32063</v>
      </c>
      <c r="K15" s="154">
        <f t="shared" si="2"/>
        <v>22.666091702130668</v>
      </c>
      <c r="L15" s="153">
        <f>J15-'[4]Februāris'!J15</f>
        <v>12205</v>
      </c>
      <c r="N15" s="150"/>
    </row>
    <row r="16" spans="1:14" ht="30" customHeight="1">
      <c r="A16" s="101" t="s">
        <v>810</v>
      </c>
      <c r="B16" s="151">
        <v>6</v>
      </c>
      <c r="C16" s="152">
        <v>531273828</v>
      </c>
      <c r="D16" s="156">
        <f>'[5]Marts'!$C$7</f>
        <v>121951690</v>
      </c>
      <c r="E16" s="149">
        <f t="shared" si="0"/>
        <v>22.95458266014941</v>
      </c>
      <c r="F16" s="148">
        <f>D16-'[4]Februāris'!D16</f>
        <v>37482532</v>
      </c>
      <c r="G16" s="101" t="s">
        <v>810</v>
      </c>
      <c r="H16" s="151">
        <v>6</v>
      </c>
      <c r="I16" s="153">
        <f t="shared" si="1"/>
        <v>531274</v>
      </c>
      <c r="J16" s="153">
        <f t="shared" si="1"/>
        <v>121952</v>
      </c>
      <c r="K16" s="154">
        <f t="shared" si="2"/>
        <v>22.954633578906552</v>
      </c>
      <c r="L16" s="153">
        <f>J16-'[4]Februāris'!J16</f>
        <v>37483</v>
      </c>
      <c r="N16" s="150"/>
    </row>
    <row r="17" spans="1:14" ht="30" customHeight="1">
      <c r="A17" s="101" t="s">
        <v>812</v>
      </c>
      <c r="B17" s="151">
        <v>7</v>
      </c>
      <c r="C17" s="152">
        <v>9370924</v>
      </c>
      <c r="D17" s="156">
        <f>'[5]Marts'!$E$7</f>
        <v>512908</v>
      </c>
      <c r="E17" s="149">
        <f t="shared" si="0"/>
        <v>5.473398354313833</v>
      </c>
      <c r="F17" s="148">
        <f>D17-'[4]Februāris'!D17</f>
        <v>132838</v>
      </c>
      <c r="G17" s="101" t="s">
        <v>812</v>
      </c>
      <c r="H17" s="151">
        <v>7</v>
      </c>
      <c r="I17" s="153">
        <f t="shared" si="1"/>
        <v>9371</v>
      </c>
      <c r="J17" s="153">
        <f t="shared" si="1"/>
        <v>513</v>
      </c>
      <c r="K17" s="154">
        <f t="shared" si="2"/>
        <v>5.474335716572405</v>
      </c>
      <c r="L17" s="153">
        <f>J17-'[4]Februāris'!J17</f>
        <v>133</v>
      </c>
      <c r="N17" s="150"/>
    </row>
    <row r="18" spans="1:14" ht="30" customHeight="1">
      <c r="A18" s="29" t="s">
        <v>911</v>
      </c>
      <c r="B18" s="151">
        <v>8</v>
      </c>
      <c r="C18" s="152">
        <f>1508663+2272860</f>
        <v>3781523</v>
      </c>
      <c r="D18" s="156">
        <f>'[5]Marts'!$N$7+'[5]Marts'!$Q$7</f>
        <v>1105847</v>
      </c>
      <c r="E18" s="149">
        <f t="shared" si="0"/>
        <v>29.24342916861804</v>
      </c>
      <c r="F18" s="148">
        <f>D18-'[4]Februāris'!D18</f>
        <v>354374</v>
      </c>
      <c r="G18" s="29" t="s">
        <v>911</v>
      </c>
      <c r="H18" s="151">
        <v>8</v>
      </c>
      <c r="I18" s="153">
        <f t="shared" si="1"/>
        <v>3782</v>
      </c>
      <c r="J18" s="153">
        <f t="shared" si="1"/>
        <v>1106</v>
      </c>
      <c r="K18" s="154">
        <f t="shared" si="2"/>
        <v>29.243786356425172</v>
      </c>
      <c r="L18" s="153">
        <f>J18-'[4]Februāris'!J18</f>
        <v>355</v>
      </c>
      <c r="N18" s="150"/>
    </row>
    <row r="19" spans="1:14" ht="30" customHeight="1">
      <c r="A19" s="29" t="s">
        <v>816</v>
      </c>
      <c r="B19" s="151">
        <v>9</v>
      </c>
      <c r="C19" s="152"/>
      <c r="D19" s="156"/>
      <c r="E19" s="149"/>
      <c r="F19" s="148">
        <f>D19-'[4]Februāris'!D19</f>
        <v>0</v>
      </c>
      <c r="G19" s="29" t="s">
        <v>816</v>
      </c>
      <c r="H19" s="151">
        <v>9</v>
      </c>
      <c r="I19" s="153">
        <f t="shared" si="1"/>
        <v>0</v>
      </c>
      <c r="J19" s="153">
        <f t="shared" si="1"/>
        <v>0</v>
      </c>
      <c r="K19" s="154"/>
      <c r="L19" s="153">
        <f>J19-'[4]Februāris'!J19</f>
        <v>0</v>
      </c>
      <c r="N19" s="150"/>
    </row>
    <row r="20" spans="1:14" ht="30" customHeight="1">
      <c r="A20" s="101" t="s">
        <v>912</v>
      </c>
      <c r="B20" s="157">
        <v>10</v>
      </c>
      <c r="C20" s="152">
        <v>500000</v>
      </c>
      <c r="D20" s="156">
        <f>'[5]Marts'!$L$7</f>
        <v>65030</v>
      </c>
      <c r="E20" s="149">
        <f t="shared" si="0"/>
        <v>13.006</v>
      </c>
      <c r="F20" s="148">
        <f>D20-'[4]Februāris'!D20</f>
        <v>31381</v>
      </c>
      <c r="G20" s="101" t="s">
        <v>912</v>
      </c>
      <c r="H20" s="157">
        <v>10</v>
      </c>
      <c r="I20" s="153">
        <f t="shared" si="1"/>
        <v>500</v>
      </c>
      <c r="J20" s="153">
        <f>ROUND(D20/1000,0)</f>
        <v>65</v>
      </c>
      <c r="K20" s="154">
        <f>J20/I20*100</f>
        <v>13</v>
      </c>
      <c r="L20" s="153">
        <f>J20-'[4]Februāris'!J20</f>
        <v>30</v>
      </c>
      <c r="N20" s="150"/>
    </row>
    <row r="21" spans="1:14" ht="30" customHeight="1">
      <c r="A21" s="101" t="s">
        <v>820</v>
      </c>
      <c r="B21" s="157">
        <v>11</v>
      </c>
      <c r="C21" s="152"/>
      <c r="D21" s="156"/>
      <c r="E21" s="149"/>
      <c r="F21" s="148">
        <f>D21-'[4]Februāris'!D21</f>
        <v>0</v>
      </c>
      <c r="G21" s="101" t="s">
        <v>820</v>
      </c>
      <c r="H21" s="157">
        <v>11</v>
      </c>
      <c r="I21" s="153">
        <f t="shared" si="1"/>
        <v>0</v>
      </c>
      <c r="J21" s="153">
        <f t="shared" si="1"/>
        <v>0</v>
      </c>
      <c r="K21" s="154"/>
      <c r="L21" s="153">
        <f>J21-'[4]Februāris'!J21</f>
        <v>0</v>
      </c>
      <c r="N21" s="150"/>
    </row>
    <row r="22" spans="1:14" ht="30" customHeight="1">
      <c r="A22" s="29" t="s">
        <v>822</v>
      </c>
      <c r="B22" s="151">
        <v>12</v>
      </c>
      <c r="C22" s="152">
        <f>69029520+700000+2000000+926917</f>
        <v>72656437</v>
      </c>
      <c r="D22" s="156">
        <f>'[5]Marts'!$F$7+'[5]Marts'!$G$7+'[5]Marts'!$I$7</f>
        <v>15446140</v>
      </c>
      <c r="E22" s="149">
        <f t="shared" si="0"/>
        <v>21.259148724840443</v>
      </c>
      <c r="F22" s="148">
        <f>D22-'[4]Februāris'!D22</f>
        <v>3836836</v>
      </c>
      <c r="G22" s="29" t="s">
        <v>822</v>
      </c>
      <c r="H22" s="151">
        <v>12</v>
      </c>
      <c r="I22" s="153">
        <f t="shared" si="1"/>
        <v>72656</v>
      </c>
      <c r="J22" s="153">
        <f t="shared" si="1"/>
        <v>15446</v>
      </c>
      <c r="K22" s="154">
        <f>J22/I22*100</f>
        <v>21.25908390222418</v>
      </c>
      <c r="L22" s="153">
        <f>J22-'[4]Februāris'!J22</f>
        <v>3837</v>
      </c>
      <c r="N22" s="150"/>
    </row>
    <row r="23" spans="1:12" ht="30" customHeight="1">
      <c r="A23" s="29" t="s">
        <v>824</v>
      </c>
      <c r="B23" s="151">
        <v>13</v>
      </c>
      <c r="C23" s="152">
        <f>2874300+1205000+31300</f>
        <v>4110600</v>
      </c>
      <c r="D23" s="153">
        <f>'[5]Marts'!$W$7+'[5]Marts'!$X$7+'[5]Marts'!$K$7</f>
        <v>720851</v>
      </c>
      <c r="E23" s="149">
        <f t="shared" si="0"/>
        <v>17.53639371381307</v>
      </c>
      <c r="F23" s="148">
        <f>D23-'[4]Februāris'!D23</f>
        <v>264284</v>
      </c>
      <c r="G23" s="29" t="s">
        <v>824</v>
      </c>
      <c r="H23" s="151">
        <v>13</v>
      </c>
      <c r="I23" s="153">
        <f>ROUND(C23/1000,0)-1</f>
        <v>4110</v>
      </c>
      <c r="J23" s="153">
        <f t="shared" si="1"/>
        <v>721</v>
      </c>
      <c r="K23" s="154">
        <f>J23/I23*100</f>
        <v>17.54257907542579</v>
      </c>
      <c r="L23" s="153">
        <f>J23-'[4]Februāris'!J23</f>
        <v>264</v>
      </c>
    </row>
    <row r="24" spans="1:12" ht="30" customHeight="1">
      <c r="A24" s="101" t="s">
        <v>913</v>
      </c>
      <c r="B24" s="151">
        <v>14</v>
      </c>
      <c r="C24" s="153"/>
      <c r="D24" s="153"/>
      <c r="E24" s="149"/>
      <c r="F24" s="148">
        <f>D24-'[4]Februāris'!D24</f>
        <v>0</v>
      </c>
      <c r="G24" s="101" t="s">
        <v>913</v>
      </c>
      <c r="H24" s="151">
        <v>14</v>
      </c>
      <c r="I24" s="153">
        <f t="shared" si="1"/>
        <v>0</v>
      </c>
      <c r="J24" s="153"/>
      <c r="K24" s="154"/>
      <c r="L24" s="153">
        <f>J24-'[4]Februāris'!L24</f>
        <v>0</v>
      </c>
    </row>
    <row r="25" spans="2:14" ht="17.25" customHeight="1">
      <c r="B25" s="49"/>
      <c r="C25" s="158"/>
      <c r="D25" s="158"/>
      <c r="E25" s="159"/>
      <c r="H25" s="49"/>
      <c r="I25" s="158"/>
      <c r="J25" s="158"/>
      <c r="K25" s="159"/>
      <c r="N25" s="160">
        <f>SUM(N10:N24)</f>
        <v>0</v>
      </c>
    </row>
    <row r="26" spans="2:11" ht="17.25" customHeight="1">
      <c r="B26" s="49"/>
      <c r="C26" s="158"/>
      <c r="D26" s="158"/>
      <c r="E26" s="159"/>
      <c r="H26" s="49"/>
      <c r="I26" s="158"/>
      <c r="J26" s="158"/>
      <c r="K26" s="159"/>
    </row>
    <row r="27" spans="2:11" ht="17.25" customHeight="1">
      <c r="B27" s="49"/>
      <c r="C27" s="158"/>
      <c r="D27" s="158"/>
      <c r="E27" s="159"/>
      <c r="G27" s="80" t="s">
        <v>914</v>
      </c>
      <c r="H27" s="9"/>
      <c r="I27" s="9"/>
      <c r="J27" s="9" t="s">
        <v>830</v>
      </c>
      <c r="K27" s="159"/>
    </row>
    <row r="28" spans="2:11" ht="17.25" customHeight="1">
      <c r="B28" s="49"/>
      <c r="C28" s="158"/>
      <c r="D28" s="158"/>
      <c r="E28" s="159"/>
      <c r="H28" s="49"/>
      <c r="I28" s="158"/>
      <c r="J28" s="158"/>
      <c r="K28" s="159"/>
    </row>
    <row r="29" spans="2:11" ht="17.25" customHeight="1">
      <c r="B29" s="49"/>
      <c r="C29" s="158"/>
      <c r="D29" s="158"/>
      <c r="E29" s="159"/>
      <c r="H29" s="49"/>
      <c r="I29" s="158"/>
      <c r="J29" s="158"/>
      <c r="K29" s="159"/>
    </row>
    <row r="30" spans="2:11" ht="17.25" customHeight="1">
      <c r="B30" s="49"/>
      <c r="C30" s="158"/>
      <c r="D30" s="158"/>
      <c r="E30" s="159"/>
      <c r="H30" s="49"/>
      <c r="I30" s="158"/>
      <c r="J30" s="158"/>
      <c r="K30" s="159"/>
    </row>
    <row r="31" spans="4:11" ht="17.25" customHeight="1">
      <c r="D31" s="158"/>
      <c r="E31" s="159"/>
      <c r="J31" s="158"/>
      <c r="K31" s="159"/>
    </row>
    <row r="32" spans="2:11" ht="17.25" customHeight="1">
      <c r="B32" s="49"/>
      <c r="C32" s="158"/>
      <c r="D32" s="158"/>
      <c r="E32" s="159"/>
      <c r="H32" s="49"/>
      <c r="I32" s="158"/>
      <c r="J32" s="158"/>
      <c r="K32" s="159"/>
    </row>
    <row r="33" spans="2:11" ht="17.25" customHeight="1">
      <c r="B33" s="49"/>
      <c r="C33" s="158"/>
      <c r="D33" s="158"/>
      <c r="E33" s="159"/>
      <c r="H33" s="49"/>
      <c r="I33" s="158"/>
      <c r="J33" s="158"/>
      <c r="K33" s="159"/>
    </row>
    <row r="34" spans="2:11" ht="17.25" customHeight="1">
      <c r="B34" s="49"/>
      <c r="C34" s="158"/>
      <c r="D34" s="158"/>
      <c r="E34" s="159"/>
      <c r="G34" s="42" t="s">
        <v>915</v>
      </c>
      <c r="H34" s="49"/>
      <c r="I34" s="158"/>
      <c r="J34" s="158"/>
      <c r="K34" s="159"/>
    </row>
    <row r="35" spans="1:11" ht="17.25" customHeight="1">
      <c r="A35" s="80" t="s">
        <v>916</v>
      </c>
      <c r="B35" s="9"/>
      <c r="C35" s="9"/>
      <c r="D35" s="9" t="s">
        <v>917</v>
      </c>
      <c r="E35" s="4"/>
      <c r="G35" s="42" t="s">
        <v>832</v>
      </c>
      <c r="I35" s="158"/>
      <c r="J35" s="158"/>
      <c r="K35" s="159"/>
    </row>
    <row r="36" spans="6:12" ht="17.25" customHeight="1">
      <c r="F36" s="158"/>
      <c r="K36" s="4"/>
      <c r="L36" s="158"/>
    </row>
    <row r="37" spans="3:11" ht="17.25" customHeight="1">
      <c r="C37" s="158"/>
      <c r="D37" s="158"/>
      <c r="E37" s="159"/>
      <c r="I37" s="158"/>
      <c r="J37" s="158"/>
      <c r="K37" s="159"/>
    </row>
    <row r="38" spans="3:11" ht="17.25" customHeight="1">
      <c r="C38" s="158"/>
      <c r="D38" s="158"/>
      <c r="E38" s="159"/>
      <c r="I38" s="158"/>
      <c r="J38" s="158"/>
      <c r="K38" s="159"/>
    </row>
    <row r="39" spans="3:11" ht="17.25" customHeight="1">
      <c r="C39" s="158"/>
      <c r="D39" s="158"/>
      <c r="E39" s="159"/>
      <c r="I39" s="158"/>
      <c r="J39" s="158"/>
      <c r="K39" s="159"/>
    </row>
    <row r="40" spans="3:11" ht="17.25" customHeight="1">
      <c r="C40" s="158"/>
      <c r="D40" s="158"/>
      <c r="E40" s="159"/>
      <c r="I40" s="158"/>
      <c r="J40" s="158"/>
      <c r="K40" s="159"/>
    </row>
    <row r="41" spans="3:11" ht="17.25" customHeight="1">
      <c r="C41" s="158"/>
      <c r="D41" s="158"/>
      <c r="E41" s="159"/>
      <c r="I41" s="158"/>
      <c r="J41" s="158"/>
      <c r="K41" s="159"/>
    </row>
    <row r="42" spans="3:11" ht="17.25" customHeight="1">
      <c r="C42" s="158"/>
      <c r="D42" s="158"/>
      <c r="E42" s="159"/>
      <c r="I42" s="158"/>
      <c r="J42" s="158"/>
      <c r="K42" s="159"/>
    </row>
    <row r="43" spans="3:11" ht="17.25" customHeight="1">
      <c r="C43" s="158"/>
      <c r="D43" s="158"/>
      <c r="E43" s="159"/>
      <c r="I43" s="158"/>
      <c r="J43" s="158"/>
      <c r="K43" s="159"/>
    </row>
    <row r="44" spans="3:11" ht="17.25" customHeight="1">
      <c r="C44" s="158"/>
      <c r="D44" s="158"/>
      <c r="E44" s="159"/>
      <c r="I44" s="158"/>
      <c r="J44" s="158"/>
      <c r="K44" s="159"/>
    </row>
    <row r="45" spans="3:11" ht="17.25" customHeight="1">
      <c r="C45" s="158"/>
      <c r="D45" s="158"/>
      <c r="E45" s="159"/>
      <c r="I45" s="158"/>
      <c r="J45" s="158"/>
      <c r="K45" s="159"/>
    </row>
    <row r="46" spans="3:11" ht="17.25" customHeight="1">
      <c r="C46" s="158"/>
      <c r="D46" s="158"/>
      <c r="E46" s="159"/>
      <c r="I46" s="158"/>
      <c r="J46" s="158"/>
      <c r="K46" s="159"/>
    </row>
    <row r="47" spans="1:11" ht="17.25" customHeight="1">
      <c r="A47" s="5"/>
      <c r="C47" s="158"/>
      <c r="D47" s="158"/>
      <c r="E47" s="159"/>
      <c r="G47" s="5"/>
      <c r="I47" s="158"/>
      <c r="J47" s="158"/>
      <c r="K47" s="159"/>
    </row>
    <row r="48" spans="1:11" ht="17.25" customHeight="1">
      <c r="A48" s="5"/>
      <c r="C48" s="158"/>
      <c r="D48" s="158"/>
      <c r="E48" s="159"/>
      <c r="G48" s="5"/>
      <c r="I48" s="158"/>
      <c r="J48" s="158"/>
      <c r="K48" s="159"/>
    </row>
    <row r="49" spans="3:11" ht="17.25" customHeight="1">
      <c r="C49" s="158"/>
      <c r="D49" s="158"/>
      <c r="E49" s="159"/>
      <c r="I49" s="158"/>
      <c r="J49" s="158"/>
      <c r="K49" s="159"/>
    </row>
    <row r="50" spans="3:11" ht="17.25" customHeight="1">
      <c r="C50" s="158"/>
      <c r="D50" s="158"/>
      <c r="E50" s="159"/>
      <c r="I50" s="158"/>
      <c r="J50" s="158"/>
      <c r="K50" s="159"/>
    </row>
    <row r="51" spans="3:11" ht="17.25" customHeight="1">
      <c r="C51" s="158"/>
      <c r="D51" s="158"/>
      <c r="E51" s="159"/>
      <c r="I51" s="158"/>
      <c r="J51" s="158"/>
      <c r="K51" s="159"/>
    </row>
    <row r="52" spans="3:11" ht="17.25" customHeight="1">
      <c r="C52" s="158"/>
      <c r="D52" s="158"/>
      <c r="E52" s="159"/>
      <c r="I52" s="158"/>
      <c r="J52" s="158"/>
      <c r="K52" s="159"/>
    </row>
    <row r="53" spans="3:11" ht="17.25" customHeight="1">
      <c r="C53" s="158"/>
      <c r="E53" s="159"/>
      <c r="I53" s="158"/>
      <c r="K53" s="159"/>
    </row>
    <row r="54" spans="3:11" ht="17.25" customHeight="1">
      <c r="C54" s="158"/>
      <c r="E54" s="159"/>
      <c r="I54" s="158"/>
      <c r="K54" s="159"/>
    </row>
    <row r="55" spans="3:11" ht="17.25" customHeight="1">
      <c r="C55" s="158"/>
      <c r="E55" s="159"/>
      <c r="I55" s="158"/>
      <c r="K55" s="159"/>
    </row>
    <row r="56" spans="3:11" ht="17.25" customHeight="1">
      <c r="C56" s="158"/>
      <c r="E56" s="159"/>
      <c r="I56" s="158"/>
      <c r="K56" s="159"/>
    </row>
    <row r="57" spans="3:11" ht="17.25" customHeight="1">
      <c r="C57" s="158"/>
      <c r="E57" s="159"/>
      <c r="I57" s="158"/>
      <c r="K57" s="159"/>
    </row>
    <row r="58" spans="3:11" ht="17.25" customHeight="1">
      <c r="C58" s="158"/>
      <c r="E58" s="159"/>
      <c r="I58" s="158"/>
      <c r="K58" s="159"/>
    </row>
    <row r="59" spans="3:11" ht="17.25" customHeight="1">
      <c r="C59" s="158"/>
      <c r="E59" s="159"/>
      <c r="I59" s="158"/>
      <c r="K59" s="159"/>
    </row>
    <row r="60" spans="3:11" ht="17.25" customHeight="1">
      <c r="C60" s="158"/>
      <c r="E60" s="159"/>
      <c r="I60" s="158"/>
      <c r="K60" s="159"/>
    </row>
    <row r="61" spans="3:11" ht="17.25" customHeight="1">
      <c r="C61" s="158"/>
      <c r="E61" s="159"/>
      <c r="I61" s="158"/>
      <c r="K61" s="159"/>
    </row>
    <row r="62" spans="3:11" ht="17.25" customHeight="1">
      <c r="C62" s="158"/>
      <c r="E62" s="159"/>
      <c r="I62" s="158"/>
      <c r="K62" s="159"/>
    </row>
    <row r="63" spans="3:11" ht="17.25" customHeight="1">
      <c r="C63" s="158"/>
      <c r="E63" s="159"/>
      <c r="I63" s="158"/>
      <c r="K63" s="159"/>
    </row>
    <row r="64" spans="3:11" ht="17.25" customHeight="1">
      <c r="C64" s="158"/>
      <c r="E64" s="159"/>
      <c r="I64" s="158"/>
      <c r="K64" s="159"/>
    </row>
    <row r="65" spans="3:11" ht="17.25" customHeight="1">
      <c r="C65" s="158"/>
      <c r="E65" s="159"/>
      <c r="I65" s="158"/>
      <c r="K65" s="159"/>
    </row>
    <row r="66" spans="3:11" ht="17.25" customHeight="1">
      <c r="C66" s="158"/>
      <c r="E66" s="159"/>
      <c r="I66" s="158"/>
      <c r="K66" s="159"/>
    </row>
    <row r="67" spans="3:11" ht="17.25" customHeight="1">
      <c r="C67" s="158"/>
      <c r="E67" s="159"/>
      <c r="I67" s="158"/>
      <c r="K67" s="159"/>
    </row>
    <row r="68" spans="3:11" ht="17.25" customHeight="1">
      <c r="C68" s="158"/>
      <c r="E68" s="159"/>
      <c r="I68" s="158"/>
      <c r="K68" s="159"/>
    </row>
    <row r="69" spans="3:11" ht="17.25" customHeight="1">
      <c r="C69" s="158"/>
      <c r="E69" s="159"/>
      <c r="I69" s="158"/>
      <c r="K69" s="159"/>
    </row>
    <row r="70" spans="3:11" ht="17.25" customHeight="1">
      <c r="C70" s="158"/>
      <c r="E70" s="159"/>
      <c r="I70" s="158"/>
      <c r="K70" s="159"/>
    </row>
    <row r="71" spans="3:11" ht="17.25" customHeight="1">
      <c r="C71" s="158"/>
      <c r="E71" s="159"/>
      <c r="I71" s="158"/>
      <c r="K71" s="159"/>
    </row>
    <row r="72" spans="3:11" ht="17.25" customHeight="1">
      <c r="C72" s="158"/>
      <c r="E72" s="159"/>
      <c r="I72" s="158"/>
      <c r="K72" s="159"/>
    </row>
    <row r="73" spans="3:11" ht="17.25" customHeight="1">
      <c r="C73" s="158"/>
      <c r="E73" s="159"/>
      <c r="I73" s="158"/>
      <c r="K73" s="159"/>
    </row>
    <row r="74" spans="3:11" ht="17.25" customHeight="1">
      <c r="C74" s="158"/>
      <c r="E74" s="159"/>
      <c r="I74" s="158"/>
      <c r="K74" s="159"/>
    </row>
    <row r="75" spans="3:11" ht="17.25" customHeight="1">
      <c r="C75" s="158"/>
      <c r="E75" s="159"/>
      <c r="I75" s="158"/>
      <c r="K75" s="159"/>
    </row>
    <row r="76" spans="3:11" ht="17.25" customHeight="1">
      <c r="C76" s="158"/>
      <c r="E76" s="159"/>
      <c r="I76" s="158"/>
      <c r="K76" s="159"/>
    </row>
    <row r="77" spans="3:11" ht="17.25" customHeight="1">
      <c r="C77" s="158"/>
      <c r="E77" s="159"/>
      <c r="I77" s="158"/>
      <c r="K77" s="159"/>
    </row>
    <row r="78" spans="3:11" ht="17.25" customHeight="1">
      <c r="C78" s="158"/>
      <c r="E78" s="159"/>
      <c r="I78" s="158"/>
      <c r="K78" s="159"/>
    </row>
    <row r="79" spans="3:11" ht="17.25" customHeight="1">
      <c r="C79" s="158"/>
      <c r="E79" s="159"/>
      <c r="I79" s="158"/>
      <c r="K79" s="159"/>
    </row>
    <row r="80" spans="2:10" ht="17.25" customHeight="1">
      <c r="B80" s="158"/>
      <c r="D80" s="159"/>
      <c r="H80" s="158"/>
      <c r="J80" s="159"/>
    </row>
    <row r="81" spans="2:10" ht="17.25" customHeight="1">
      <c r="B81" s="158"/>
      <c r="D81" s="159"/>
      <c r="H81" s="158"/>
      <c r="J81" s="159"/>
    </row>
    <row r="82" spans="2:10" ht="17.25" customHeight="1">
      <c r="B82" s="158"/>
      <c r="D82" s="159"/>
      <c r="H82" s="158"/>
      <c r="J82" s="159"/>
    </row>
    <row r="83" spans="2:10" ht="17.25" customHeight="1">
      <c r="B83" s="158"/>
      <c r="D83" s="159"/>
      <c r="H83" s="158"/>
      <c r="J83" s="159"/>
    </row>
    <row r="84" spans="2:10" ht="17.25" customHeight="1">
      <c r="B84" s="158"/>
      <c r="D84" s="159"/>
      <c r="H84" s="158"/>
      <c r="J84" s="159"/>
    </row>
    <row r="85" spans="2:10" ht="17.25" customHeight="1">
      <c r="B85" s="158"/>
      <c r="D85" s="159"/>
      <c r="H85" s="158"/>
      <c r="J85" s="159"/>
    </row>
    <row r="86" spans="2:10" ht="17.25" customHeight="1">
      <c r="B86" s="158"/>
      <c r="D86" s="159"/>
      <c r="H86" s="158"/>
      <c r="J86" s="159"/>
    </row>
    <row r="87" spans="2:10" ht="17.25" customHeight="1">
      <c r="B87" s="158"/>
      <c r="D87" s="159"/>
      <c r="H87" s="158"/>
      <c r="J87" s="159"/>
    </row>
    <row r="88" spans="2:10" ht="17.25" customHeight="1">
      <c r="B88" s="158"/>
      <c r="D88" s="159"/>
      <c r="H88" s="158"/>
      <c r="J88" s="159"/>
    </row>
    <row r="89" spans="2:10" ht="17.25" customHeight="1">
      <c r="B89" s="158"/>
      <c r="D89" s="159"/>
      <c r="H89" s="158"/>
      <c r="J89" s="159"/>
    </row>
    <row r="90" spans="2:10" ht="17.25" customHeight="1">
      <c r="B90" s="158"/>
      <c r="D90" s="159"/>
      <c r="H90" s="158"/>
      <c r="J90" s="159"/>
    </row>
    <row r="91" spans="2:10" ht="17.25" customHeight="1">
      <c r="B91" s="158"/>
      <c r="D91" s="159"/>
      <c r="H91" s="158"/>
      <c r="J91" s="159"/>
    </row>
    <row r="92" spans="2:10" ht="17.25" customHeight="1">
      <c r="B92" s="158"/>
      <c r="D92" s="159"/>
      <c r="H92" s="158"/>
      <c r="J92" s="159"/>
    </row>
    <row r="93" spans="2:10" ht="17.25" customHeight="1">
      <c r="B93" s="158"/>
      <c r="D93" s="159"/>
      <c r="H93" s="158"/>
      <c r="J93" s="159"/>
    </row>
    <row r="94" spans="2:10" ht="17.25" customHeight="1">
      <c r="B94" s="158"/>
      <c r="D94" s="159"/>
      <c r="H94" s="158"/>
      <c r="J94" s="159"/>
    </row>
    <row r="95" spans="2:10" ht="17.25" customHeight="1">
      <c r="B95" s="158"/>
      <c r="D95" s="159"/>
      <c r="H95" s="158"/>
      <c r="J95" s="159"/>
    </row>
    <row r="96" spans="2:10" ht="17.25" customHeight="1">
      <c r="B96" s="158"/>
      <c r="D96" s="159"/>
      <c r="H96" s="158"/>
      <c r="J96" s="159"/>
    </row>
    <row r="97" spans="2:10" ht="17.25" customHeight="1">
      <c r="B97" s="158"/>
      <c r="D97" s="159"/>
      <c r="H97" s="158"/>
      <c r="J97" s="159"/>
    </row>
    <row r="98" spans="2:10" ht="17.25" customHeight="1">
      <c r="B98" s="158"/>
      <c r="D98" s="159"/>
      <c r="H98" s="158"/>
      <c r="J98" s="159"/>
    </row>
    <row r="99" spans="2:10" ht="17.25" customHeight="1">
      <c r="B99" s="158"/>
      <c r="D99" s="159"/>
      <c r="H99" s="158"/>
      <c r="J99" s="159"/>
    </row>
    <row r="100" spans="2:8" ht="17.25" customHeight="1">
      <c r="B100" s="158"/>
      <c r="H100" s="158"/>
    </row>
    <row r="101" spans="2:8" ht="17.25" customHeight="1">
      <c r="B101" s="158"/>
      <c r="H101" s="158"/>
    </row>
    <row r="102" spans="2:8" ht="17.25" customHeight="1">
      <c r="B102" s="158"/>
      <c r="H102" s="158"/>
    </row>
    <row r="103" spans="2:8" ht="17.25" customHeight="1">
      <c r="B103" s="158"/>
      <c r="H103" s="158"/>
    </row>
    <row r="104" spans="2:8" ht="17.25" customHeight="1">
      <c r="B104" s="158"/>
      <c r="H104" s="158"/>
    </row>
    <row r="105" spans="2:8" ht="17.25" customHeight="1">
      <c r="B105" s="158"/>
      <c r="H105" s="158"/>
    </row>
    <row r="106" spans="2:8" ht="17.25" customHeight="1">
      <c r="B106" s="158"/>
      <c r="H106" s="158"/>
    </row>
    <row r="107" spans="2:8" ht="17.25" customHeight="1">
      <c r="B107" s="158"/>
      <c r="H107" s="158"/>
    </row>
    <row r="108" spans="2:8" ht="17.25" customHeight="1">
      <c r="B108" s="158"/>
      <c r="H108" s="158"/>
    </row>
  </sheetData>
  <mergeCells count="4">
    <mergeCell ref="A4:F4"/>
    <mergeCell ref="G4:L4"/>
    <mergeCell ref="A5:F5"/>
    <mergeCell ref="G5:L5"/>
  </mergeCells>
  <printOptions/>
  <pageMargins left="0.75" right="0.19" top="0.36" bottom="0.16" header="0.17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GuntarsM</cp:lastModifiedBy>
  <cp:lastPrinted>2001-04-17T11:39:49Z</cp:lastPrinted>
  <dcterms:created xsi:type="dcterms:W3CDTF">2001-04-17T10:24:05Z</dcterms:created>
  <dcterms:modified xsi:type="dcterms:W3CDTF">2002-09-26T10:18:57Z</dcterms:modified>
  <cp:category/>
  <cp:version/>
  <cp:contentType/>
  <cp:contentStatus/>
</cp:coreProperties>
</file>