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1.tab." sheetId="31" r:id="rId31"/>
    <sheet name="32.tab.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Print_Area" localSheetId="1">'1.tab.'!$A$1:$J$99</definedName>
    <definedName name="_xlnm.Print_Area" localSheetId="10">'10.tab.'!$F:$J</definedName>
    <definedName name="_xlnm.Print_Area" localSheetId="11">'11.tab.'!$H:$M</definedName>
    <definedName name="_xlnm.Print_Area" localSheetId="12">'12.tab.'!$H:$N</definedName>
    <definedName name="_xlnm.Print_Area" localSheetId="2">'2.tab.'!$A$1:$M$46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6">'26.tab.'!$A$1:$D$58</definedName>
    <definedName name="_xlnm.Print_Area" localSheetId="27">'27.tab.'!$K:$T</definedName>
    <definedName name="_xlnm.Print_Area" localSheetId="28">'28.tab.'!$K:$T</definedName>
    <definedName name="_xlnm.Print_Area" localSheetId="29">'29.tab.'!$F:$J</definedName>
    <definedName name="_xlnm.Print_Area" localSheetId="3">'3.tab.'!$A$1:$O$249</definedName>
    <definedName name="_xlnm.Print_Area" localSheetId="30">'31.tab.'!$A$1:$G$84</definedName>
    <definedName name="_xlnm.Print_Area" localSheetId="4">'4.tab.'!$H:$N</definedName>
    <definedName name="_xlnm.Print_Area" localSheetId="5">'5.tab.'!$H$1:$M$47</definedName>
    <definedName name="_xlnm.Print_Area" localSheetId="6">'6.tab.'!$G:$L</definedName>
    <definedName name="_xlnm.Print_Area" localSheetId="7">'7.tab.'!$H:$N</definedName>
    <definedName name="_xlnm.Print_Area" localSheetId="8">'8.tab.'!$G:$L</definedName>
    <definedName name="_xlnm.Print_Area" localSheetId="9">'9.tab.'!$F:$J</definedName>
    <definedName name="_xlnm.Print_Titles" localSheetId="1">'1.tab.'!$7:$9</definedName>
    <definedName name="_xlnm.Print_Titles" localSheetId="12">'12.tab.'!$5:$7</definedName>
    <definedName name="_xlnm.Print_Titles" localSheetId="13">'13.tab.'!$7:$8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3">'3.tab.'!$8:$9</definedName>
    <definedName name="_xlnm.Print_Titles" localSheetId="30">'31.tab.'!$6:$8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  <definedName name="Z_615B3042_FCFF_11D4_9C47_00902745261A_.wvu.PrintArea" localSheetId="30" hidden="1">'31.tab.'!$A$1:$G$87</definedName>
    <definedName name="Z_615B3042_FCFF_11D4_9C47_00902745261A_.wvu.PrintTitles" localSheetId="30" hidden="1">'31.tab.'!$6:$8</definedName>
    <definedName name="Z_640C99E1_FCCB_11D4_856D_00105A71C5B5_.wvu.PrintArea" localSheetId="30" hidden="1">'31.tab.'!$A$1:$G$87</definedName>
    <definedName name="Z_640C99E1_FCCB_11D4_856D_00105A71C5B5_.wvu.PrintTitles" localSheetId="30" hidden="1">'31.tab.'!$6:$8</definedName>
    <definedName name="Z_640C99E1_FCCB_11D4_856D_00105A71C5B5_.wvu.Rows" localSheetId="30" hidden="1">'31.tab.'!$86:$65536,'31.tab.'!$1:$85</definedName>
    <definedName name="Z_BC5FEA1E_5696_4CF4_B8B2_A5CF94385785_.wvu.PrintArea" localSheetId="30" hidden="1">'31.tab.'!$A$1:$G$87</definedName>
    <definedName name="Z_BC5FEA1E_5696_4CF4_B8B2_A5CF94385785_.wvu.PrintTitles" localSheetId="30" hidden="1">'31.tab.'!$6:$8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<sst xmlns="http://schemas.openxmlformats.org/spreadsheetml/2006/main" count="4123" uniqueCount="1033">
  <si>
    <t>Valsts kase / Pārskatu departaments</t>
  </si>
  <si>
    <t>1999.gada 15.oktobris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</si>
  <si>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</si>
  <si>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</si>
  <si>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</si>
  <si>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</si>
  <si>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</si>
  <si>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</si>
  <si>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</si>
  <si>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</si>
  <si>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</si>
  <si>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</si>
  <si>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</si>
  <si>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</si>
  <si>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</si>
  <si>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</si>
  <si>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</si>
  <si>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</si>
  <si>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</si>
  <si>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</si>
  <si>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</si>
  <si>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</si>
  <si>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</si>
  <si>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</si>
  <si>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</si>
  <si>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</si>
  <si>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</si>
  <si>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</si>
  <si>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</si>
  <si>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</si>
  <si>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</si>
  <si>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</si>
  <si>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</si>
  <si>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>1.3. Pašu ieņēmumi</t>
  </si>
  <si>
    <t xml:space="preserve">   Budžeta iestāžu ieņēmumi no maksas pakalpojumiem           un citi pašu ieņēmumi</t>
  </si>
  <si>
    <t>1.4. Ārvalstu finansu palīdzība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</si>
  <si>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</si>
  <si>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</si>
  <si>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</si>
  <si>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</si>
  <si>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</si>
  <si>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</si>
  <si>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</si>
  <si>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</si>
  <si>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</si>
  <si>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</si>
  <si>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</si>
  <si>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</si>
  <si>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</si>
  <si>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</si>
  <si>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</si>
  <si>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</si>
  <si>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</si>
  <si>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</si>
  <si>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</si>
  <si>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</si>
  <si>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</si>
  <si>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</si>
  <si>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</si>
  <si>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</si>
  <si>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</si>
  <si>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</si>
  <si>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</si>
  <si>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</si>
  <si>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</si>
  <si>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</si>
  <si>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</si>
  <si>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</si>
  <si>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</si>
  <si>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</si>
  <si>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</si>
  <si>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</si>
  <si>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</si>
  <si>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</si>
  <si>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</si>
  <si>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</si>
  <si>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</si>
  <si>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</si>
  <si>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</si>
  <si>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</si>
  <si>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</si>
  <si>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</si>
  <si>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</si>
  <si>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</si>
  <si>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</si>
  <si>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</si>
  <si>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</si>
  <si>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</si>
  <si>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</si>
  <si>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</si>
  <si>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</si>
  <si>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</si>
  <si>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</si>
  <si>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</si>
  <si>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</si>
  <si>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</si>
  <si>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</si>
  <si>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</si>
  <si>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</si>
  <si>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>37 Centrālā zemes komisija</t>
  </si>
  <si>
    <t>Centrālā zemes komisija</t>
  </si>
  <si>
    <t>44 Satversmes aizsardzības birojs</t>
  </si>
  <si>
    <t>Satversmes aizsardzības birojs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</si>
  <si>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</si>
  <si>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</si>
  <si>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</si>
  <si>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</si>
  <si>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</si>
  <si>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</si>
  <si>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</si>
  <si>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</si>
  <si>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</si>
  <si>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</si>
  <si>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</si>
  <si>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</si>
  <si>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</si>
  <si>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</si>
  <si>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</si>
  <si>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</si>
  <si>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</si>
  <si>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</si>
  <si>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</si>
  <si>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</si>
  <si>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</si>
  <si>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</si>
  <si>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</si>
  <si>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</si>
  <si>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</si>
  <si>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</si>
  <si>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</si>
  <si>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</si>
  <si>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</si>
  <si>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</si>
  <si>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</si>
  <si>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</si>
  <si>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</si>
  <si>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</si>
  <si>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</si>
  <si>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</si>
  <si>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</si>
  <si>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</si>
  <si>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</si>
  <si>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</si>
  <si>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</si>
  <si>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</si>
  <si>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</si>
  <si>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</si>
  <si>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</si>
  <si>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</si>
  <si>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</si>
  <si>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</si>
  <si>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</si>
  <si>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</si>
  <si>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</si>
  <si>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</si>
  <si>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</si>
  <si>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</si>
  <si>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</si>
  <si>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</si>
  <si>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</si>
  <si>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</si>
  <si>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</si>
  <si>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</si>
  <si>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</si>
  <si>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</si>
  <si>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</si>
  <si>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</si>
  <si>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</si>
  <si>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</si>
  <si>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</si>
  <si>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</si>
  <si>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</si>
  <si>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r>
      <t xml:space="preserve">ieņēmumi no valsts nekustamā </t>
    </r>
    <r>
      <rPr>
        <u val="single"/>
        <sz val="10"/>
        <rFont val="Arial"/>
        <family val="2"/>
      </rPr>
      <t>ī</t>
    </r>
    <r>
      <rPr>
        <sz val="10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</si>
  <si>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</si>
  <si>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</si>
  <si>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</si>
  <si>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</si>
  <si>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</si>
  <si>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</si>
  <si>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</si>
  <si>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</si>
  <si>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</si>
  <si>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</si>
  <si>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</si>
  <si>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</si>
  <si>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</si>
  <si>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</si>
  <si>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</si>
  <si>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</si>
  <si>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</si>
  <si>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</si>
  <si>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</si>
  <si>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</si>
  <si>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</si>
  <si>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</si>
  <si>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</si>
  <si>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</si>
  <si>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</si>
  <si>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</si>
  <si>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</si>
  <si>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</si>
  <si>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</si>
  <si>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</si>
  <si>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</si>
  <si>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</si>
  <si>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</si>
  <si>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</si>
  <si>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</si>
  <si>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</si>
  <si>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</si>
  <si>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</si>
  <si>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</si>
  <si>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</si>
  <si>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</si>
  <si>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</si>
  <si>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</si>
  <si>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</si>
  <si>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</si>
  <si>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</si>
  <si>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</si>
  <si>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</si>
  <si>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</si>
  <si>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</si>
  <si>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</si>
  <si>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</si>
  <si>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</si>
  <si>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</si>
  <si>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</si>
  <si>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</si>
  <si>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</si>
  <si>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</si>
  <si>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</si>
  <si>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</si>
  <si>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</si>
  <si>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</si>
  <si>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</si>
  <si>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</si>
  <si>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</si>
  <si>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</si>
  <si>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</si>
  <si>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</si>
  <si>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</si>
  <si>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</si>
  <si>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</si>
  <si>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</si>
  <si>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</si>
  <si>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</si>
  <si>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</si>
  <si>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</si>
  <si>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</si>
  <si>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</si>
  <si>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</si>
  <si>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</si>
  <si>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</si>
  <si>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</si>
  <si>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</si>
  <si>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</si>
  <si>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</si>
  <si>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</si>
  <si>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</si>
  <si>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</si>
  <si>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</si>
  <si>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</si>
  <si>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</si>
  <si>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</si>
  <si>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</si>
  <si>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</si>
  <si>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</si>
  <si>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</si>
  <si>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</si>
  <si>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</si>
  <si>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</si>
  <si>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</si>
  <si>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</si>
  <si>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</si>
  <si>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</si>
  <si>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</si>
  <si>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</si>
  <si>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1.Ieņēmumi - kopā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</si>
  <si>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</si>
  <si>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</si>
  <si>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</si>
  <si>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</si>
  <si>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</si>
  <si>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</si>
  <si>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</si>
  <si>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</si>
  <si>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</si>
  <si>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</si>
  <si>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</si>
  <si>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</si>
  <si>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</si>
  <si>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</si>
  <si>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</si>
  <si>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</si>
  <si>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</si>
  <si>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</si>
  <si>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</si>
  <si>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</si>
  <si>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</si>
  <si>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</si>
  <si>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</si>
  <si>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</si>
  <si>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</si>
  <si>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</si>
  <si>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</si>
  <si>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</si>
  <si>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</si>
  <si>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</si>
  <si>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</si>
  <si>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</si>
  <si>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</si>
  <si>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</si>
  <si>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</si>
  <si>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</si>
  <si>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</si>
  <si>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</si>
  <si>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</si>
  <si>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</si>
  <si>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 xml:space="preserve">  Indikatīvie mērķi valsts budžeta 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</si>
  <si>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</si>
  <si>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</si>
  <si>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</si>
  <si>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</si>
  <si>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</si>
  <si>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</si>
  <si>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</si>
  <si>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</si>
  <si>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</si>
  <si>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</si>
  <si>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</si>
  <si>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</si>
  <si>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</si>
  <si>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</si>
  <si>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</si>
  <si>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</si>
  <si>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</si>
  <si>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</si>
  <si>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</si>
  <si>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</si>
  <si>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</si>
  <si>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</si>
  <si>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</si>
  <si>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</si>
  <si>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</si>
  <si>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     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</si>
  <si>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</si>
  <si>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</si>
  <si>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</si>
  <si>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</si>
  <si>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</si>
  <si>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</si>
  <si>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</si>
  <si>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</si>
  <si>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</si>
  <si>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</si>
  <si>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</si>
  <si>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</si>
  <si>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</si>
  <si>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</si>
  <si>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</si>
  <si>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</si>
  <si>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</si>
  <si>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</si>
  <si>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03.000</t>
  </si>
  <si>
    <t>04.000</t>
  </si>
  <si>
    <t>05.000</t>
  </si>
  <si>
    <t>06.000</t>
  </si>
  <si>
    <t>07.000</t>
  </si>
  <si>
    <t>Brīvais laiks, sports, kultūra un reliģija</t>
  </si>
  <si>
    <t>08.000</t>
  </si>
  <si>
    <t>09.000</t>
  </si>
  <si>
    <t>Lauksaimniecība (zemkopība), mežkopība un zvejniecība</t>
  </si>
  <si>
    <t>10.000</t>
  </si>
  <si>
    <t>11.000</t>
  </si>
  <si>
    <t>12.000</t>
  </si>
  <si>
    <t>13.000</t>
  </si>
  <si>
    <t>Pārējie izdevumi, kas nav atspoguļoti pamatgrupās</t>
  </si>
  <si>
    <t>14.000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</si>
  <si>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</si>
  <si>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</si>
  <si>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</si>
  <si>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</si>
  <si>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</si>
  <si>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</si>
  <si>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</si>
  <si>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</si>
  <si>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</si>
  <si>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</si>
  <si>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</si>
  <si>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</si>
  <si>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</si>
  <si>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</si>
  <si>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</si>
  <si>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</si>
  <si>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</si>
  <si>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</si>
  <si>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</si>
  <si>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</si>
  <si>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</si>
  <si>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</si>
  <si>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</si>
  <si>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</si>
  <si>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</si>
  <si>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</si>
  <si>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</si>
  <si>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</si>
  <si>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</si>
  <si>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</si>
  <si>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</si>
  <si>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</si>
  <si>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</si>
  <si>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</si>
  <si>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</si>
  <si>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</si>
  <si>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</si>
  <si>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</si>
  <si>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</si>
  <si>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</si>
  <si>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</si>
  <si>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</si>
  <si>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</si>
  <si>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</si>
  <si>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</si>
  <si>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</si>
  <si>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</si>
  <si>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</si>
  <si>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</si>
  <si>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</si>
  <si>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</si>
  <si>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</si>
  <si>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</si>
  <si>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</si>
  <si>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</si>
  <si>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</si>
  <si>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</si>
  <si>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</si>
  <si>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</si>
  <si>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</si>
  <si>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</si>
  <si>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</si>
  <si>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</si>
  <si>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</si>
  <si>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</si>
  <si>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</si>
  <si>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</si>
  <si>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</si>
  <si>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</si>
  <si>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</si>
  <si>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</si>
  <si>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</si>
  <si>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</si>
  <si>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</si>
  <si>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</si>
  <si>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</si>
  <si>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</si>
  <si>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</si>
  <si>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</si>
  <si>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</si>
  <si>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</si>
  <si>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</si>
  <si>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</si>
  <si>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</si>
  <si>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</si>
  <si>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</si>
  <si>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</si>
  <si>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</si>
  <si>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</si>
  <si>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</si>
  <si>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</si>
  <si>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</si>
  <si>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</si>
  <si>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</si>
  <si>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</si>
  <si>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</si>
  <si>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</si>
  <si>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</si>
  <si>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</si>
  <si>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</si>
  <si>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</si>
  <si>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</si>
  <si>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</si>
  <si>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</si>
  <si>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</si>
  <si>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</si>
  <si>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</si>
  <si>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</si>
  <si>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</si>
  <si>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</si>
  <si>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</si>
  <si>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</si>
  <si>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</si>
  <si>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</si>
  <si>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</si>
  <si>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</si>
  <si>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</si>
  <si>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</si>
  <si>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</si>
  <si>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</si>
  <si>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</si>
  <si>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</si>
  <si>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</si>
  <si>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</si>
  <si>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</si>
  <si>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</si>
  <si>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</si>
  <si>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</si>
  <si>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</si>
  <si>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</si>
  <si>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</si>
  <si>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</si>
  <si>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</si>
  <si>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</si>
  <si>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</si>
  <si>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</si>
  <si>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</si>
  <si>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</si>
  <si>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</si>
  <si>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</si>
  <si>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 xml:space="preserve">Junija  mēneša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</si>
  <si>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</si>
  <si>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</si>
  <si>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</si>
  <si>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</si>
  <si>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</si>
  <si>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</si>
  <si>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</si>
  <si>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</si>
  <si>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</si>
  <si>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</si>
  <si>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</si>
  <si>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</si>
  <si>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</si>
  <si>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</si>
  <si>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</si>
  <si>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</si>
  <si>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</si>
  <si>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</si>
  <si>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</si>
  <si>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</si>
  <si>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</si>
  <si>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</si>
  <si>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</si>
  <si>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</si>
  <si>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</si>
  <si>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</si>
  <si>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</si>
  <si>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</si>
  <si>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</si>
  <si>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</si>
  <si>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</si>
  <si>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</si>
  <si>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</si>
  <si>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</si>
  <si>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</si>
  <si>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</si>
  <si>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</si>
  <si>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</si>
  <si>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</si>
  <si>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</si>
  <si>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</si>
  <si>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>Finansēšana                   -(5-9)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</si>
  <si>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</si>
  <si>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</si>
  <si>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</si>
  <si>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</si>
  <si>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</si>
  <si>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</si>
  <si>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</si>
  <si>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</si>
  <si>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</si>
  <si>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</si>
  <si>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</si>
  <si>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</si>
  <si>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</si>
  <si>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</si>
  <si>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</si>
  <si>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</si>
  <si>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</si>
  <si>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</si>
  <si>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</si>
  <si>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</si>
  <si>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</si>
  <si>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</si>
  <si>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</si>
  <si>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</si>
  <si>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</si>
  <si>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</si>
  <si>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</si>
  <si>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</si>
  <si>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</si>
  <si>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</si>
  <si>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</si>
  <si>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</si>
  <si>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</si>
  <si>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</si>
  <si>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</si>
  <si>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</si>
  <si>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</si>
  <si>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</si>
  <si>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</si>
  <si>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</si>
  <si>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</si>
  <si>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</si>
  <si>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</si>
  <si>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</si>
  <si>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</si>
  <si>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</si>
  <si>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</si>
  <si>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</si>
  <si>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</si>
  <si>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</si>
  <si>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</si>
  <si>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</si>
  <si>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</si>
  <si>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</si>
  <si>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</si>
  <si>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</si>
  <si>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</si>
  <si>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</si>
  <si>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</si>
  <si>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</si>
  <si>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</si>
  <si>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</si>
  <si>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</si>
  <si>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</si>
  <si>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</si>
  <si>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</si>
  <si>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</si>
  <si>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</si>
  <si>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</si>
  <si>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</si>
  <si>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</si>
  <si>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</si>
  <si>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</si>
  <si>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</si>
  <si>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Fiskālais deficīts    (-), 
pārpalikums (+)      (2-5)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</si>
  <si>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</si>
  <si>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</si>
  <si>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</si>
  <si>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</si>
  <si>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</si>
  <si>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</si>
  <si>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</si>
  <si>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</si>
  <si>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</si>
  <si>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</si>
  <si>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</si>
  <si>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</si>
  <si>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</si>
  <si>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</si>
  <si>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</si>
  <si>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</si>
  <si>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</si>
  <si>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</si>
  <si>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</si>
  <si>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</si>
  <si>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</si>
  <si>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</si>
  <si>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</si>
  <si>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</si>
  <si>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</si>
  <si>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</si>
  <si>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</si>
  <si>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</si>
  <si>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</si>
  <si>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</si>
  <si>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</si>
  <si>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</si>
  <si>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</si>
  <si>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</si>
  <si>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</si>
  <si>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</si>
  <si>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</si>
  <si>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</si>
  <si>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</si>
  <si>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</si>
  <si>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</si>
  <si>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</si>
  <si>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</si>
  <si>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</si>
  <si>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</si>
  <si>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</si>
  <si>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 xml:space="preserve">fiskālajam deficītam: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</si>
  <si>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</si>
  <si>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</si>
  <si>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</si>
  <si>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</si>
  <si>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</si>
  <si>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</si>
  <si>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</si>
  <si>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</si>
  <si>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</si>
  <si>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</si>
  <si>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</si>
  <si>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</si>
  <si>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</si>
  <si>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</si>
  <si>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</si>
  <si>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</si>
  <si>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</si>
  <si>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</si>
  <si>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</si>
  <si>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</si>
  <si>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</si>
  <si>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</si>
  <si>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</si>
  <si>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</si>
  <si>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</si>
  <si>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</si>
  <si>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</si>
  <si>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</si>
  <si>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</si>
  <si>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</si>
  <si>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</si>
  <si>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</si>
  <si>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</si>
  <si>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</si>
  <si>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</si>
  <si>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</si>
  <si>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</si>
  <si>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</si>
  <si>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</si>
  <si>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</si>
  <si>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</si>
  <si>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</si>
  <si>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</si>
  <si>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</si>
  <si>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</si>
  <si>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</si>
  <si>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</si>
  <si>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</si>
  <si>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</si>
  <si>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</si>
  <si>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Kopā: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</si>
  <si>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</si>
  <si>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</si>
  <si>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</si>
  <si>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</si>
  <si>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</si>
  <si>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</si>
  <si>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</si>
  <si>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</si>
  <si>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</si>
  <si>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</si>
  <si>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</si>
  <si>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Centralizētā bruņojuma un munīcijas 
     nodrošināsanas izdevumi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</si>
  <si>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</si>
  <si>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</si>
  <si>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</si>
  <si>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</si>
  <si>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</si>
  <si>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</si>
  <si>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</si>
  <si>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Aizņēmums no pamatbudžeta *</t>
  </si>
  <si>
    <t>Izdevumi**</t>
  </si>
  <si>
    <t>]</t>
  </si>
  <si>
    <t xml:space="preserve">Ieņēmumi </t>
  </si>
  <si>
    <t xml:space="preserve">Uzturēšanas izdevumi </t>
  </si>
  <si>
    <t>Pārbaude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</si>
  <si>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</si>
  <si>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</si>
  <si>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</si>
  <si>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</si>
  <si>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</si>
  <si>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</si>
  <si>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</si>
  <si>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</si>
  <si>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</si>
  <si>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</si>
  <si>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</si>
  <si>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</si>
  <si>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</si>
  <si>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</si>
  <si>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</si>
  <si>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</si>
  <si>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</si>
  <si>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</si>
  <si>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</si>
  <si>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</si>
  <si>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</si>
  <si>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</si>
  <si>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</si>
  <si>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</si>
  <si>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</si>
  <si>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</si>
  <si>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</si>
  <si>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</si>
  <si>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</si>
  <si>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</si>
  <si>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</si>
  <si>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</si>
  <si>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</si>
  <si>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</si>
  <si>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</si>
  <si>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</si>
  <si>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</si>
  <si>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</si>
  <si>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</si>
  <si>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</si>
  <si>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</si>
  <si>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</si>
  <si>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</si>
  <si>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</si>
  <si>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</si>
  <si>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</si>
  <si>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</si>
  <si>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</si>
  <si>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</si>
  <si>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</si>
  <si>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</si>
  <si>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</si>
  <si>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</si>
  <si>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</si>
  <si>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</si>
  <si>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</si>
  <si>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</si>
  <si>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</si>
  <si>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</si>
  <si>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</si>
  <si>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</si>
  <si>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</si>
  <si>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</si>
  <si>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</si>
  <si>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</si>
  <si>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</si>
  <si>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</si>
  <si>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</si>
  <si>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</si>
  <si>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</si>
  <si>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</si>
  <si>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</si>
  <si>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</si>
  <si>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>(2001. gada janvāris - jūlijs)</t>
  </si>
  <si>
    <t>Jūlija mēneša izpilde</t>
  </si>
  <si>
    <t>Valsts kases pārvaldnieka v.i.                                                                                                V. Lindemanis</t>
  </si>
  <si>
    <t>2001.gada 15. augusts</t>
  </si>
  <si>
    <t xml:space="preserve">Jūlija mēneša izpilde </t>
  </si>
  <si>
    <t xml:space="preserve">               - Pārējie nodokļi</t>
  </si>
  <si>
    <t xml:space="preserve">               Azartspēļu un izložu nodoklis</t>
  </si>
  <si>
    <t xml:space="preserve">             Dabas resursu nodoklis</t>
  </si>
  <si>
    <t xml:space="preserve">       Nenodokļu ieņēmumi</t>
  </si>
  <si>
    <t xml:space="preserve">       Maksas pakalpojumi un citi pašu ieņēmumi</t>
  </si>
  <si>
    <t xml:space="preserve">       Ārvalstu finansu palīdzība</t>
  </si>
  <si>
    <t xml:space="preserve">          naudas līdzekļu atlikumu izmaiņas</t>
  </si>
  <si>
    <t xml:space="preserve">          aizņēmumi no valsts pamatbudžeta</t>
  </si>
  <si>
    <t>Valsts kases pārvaldnieka v.i.                                                                                     V. Lindemanis</t>
  </si>
  <si>
    <t>2001.gada 15.augusts</t>
  </si>
  <si>
    <t xml:space="preserve">             (2001.gada janvāris - jūlijs)</t>
  </si>
  <si>
    <t xml:space="preserve">jūlija mēneša  izpilde </t>
  </si>
  <si>
    <t xml:space="preserve">Jūlija mēneša  izpilde </t>
  </si>
  <si>
    <t>Pārējie nodokļi</t>
  </si>
  <si>
    <t xml:space="preserve">    Azartspēļu un izložu nodoklis</t>
  </si>
  <si>
    <t xml:space="preserve">     Izložu un azartspēļu valsts nodeva</t>
  </si>
  <si>
    <t xml:space="preserve">           Izložu un azartspēļu valsts nodeva </t>
  </si>
  <si>
    <t xml:space="preserve">     Valsts nodeva par azartspēļu iekārtu marķēšanu</t>
  </si>
  <si>
    <t xml:space="preserve">     Pārskaitījums valsts pamatbudžetā sociālās
     apdrošināšanas iemaksu administrēšanai                         </t>
  </si>
  <si>
    <t xml:space="preserve">     VAS "Latvijas meži" fiksētais maksājums</t>
  </si>
  <si>
    <t xml:space="preserve">      Iemaksas no Dzelzceļa infrastruktūras fonda</t>
  </si>
  <si>
    <t xml:space="preserve">      Apdrošināšanas uzraudzības inspekcijas vienreizējā  iemaksa Finansu un kapitāla tirgus komisijas izveidei</t>
  </si>
  <si>
    <t xml:space="preserve">      Ieņēmumi no  valsts rezervēs esošo materiālo vērtību realizācijas</t>
  </si>
  <si>
    <t xml:space="preserve">Valsts kases pārvaldnieka v.i.                                                             </t>
  </si>
  <si>
    <t>V.Lindemanis</t>
  </si>
  <si>
    <t xml:space="preserve">Valsts kases pārvaldnieka v.i.                                                                         </t>
  </si>
  <si>
    <t>(2001.gada janvāris-jūlijs)</t>
  </si>
  <si>
    <t>(2001.gada janvāris - jūlijs)</t>
  </si>
  <si>
    <t>47 Nacionālā radio un televīzijas padome</t>
  </si>
  <si>
    <t xml:space="preserve">Valsts kases pārvaldnieka v.i.                                                                 V.Lindemanis                                                </t>
  </si>
  <si>
    <t xml:space="preserve">              (2001.gada janvāris-jūlijs)</t>
  </si>
  <si>
    <t xml:space="preserve">    aizņēmumi *</t>
  </si>
  <si>
    <t>naudas līdzekļu atlikumu izmaiņas palielinājums (-) vai samazinājums (+)</t>
  </si>
  <si>
    <t>* mēneša izpilde koriģēta saskaņā ar budžeta grozījumiem</t>
  </si>
  <si>
    <t xml:space="preserve">Valsts kases pārvaldnieka v.i.                                                                          </t>
  </si>
  <si>
    <t xml:space="preserve">    (2001.gada janvāris-jūlijs)</t>
  </si>
  <si>
    <t xml:space="preserve">Jūlija  mēneša  izpilde </t>
  </si>
  <si>
    <t xml:space="preserve">Valsts kases pārvaldnieka v.i.                                                                      </t>
  </si>
  <si>
    <t xml:space="preserve">    Atskaitījumi no ostas maksām</t>
  </si>
  <si>
    <t>* t.sk.aizņēmums no pamatbudžeta saskaņā ar FM rīkojumu   3 600 tūkst.ls</t>
  </si>
  <si>
    <t xml:space="preserve">Valsts kases pārvaldnieka v.i.                                                            </t>
  </si>
  <si>
    <t xml:space="preserve">Jūlija
 mēneša  izpilde </t>
  </si>
  <si>
    <t xml:space="preserve">Valsts kases pārvaldnieka v.i.                                                         </t>
  </si>
  <si>
    <t xml:space="preserve">Valsts kases pārvaldnieka v.i.                                              </t>
  </si>
  <si>
    <t>(2001. gada janvāris-jūlijs)</t>
  </si>
  <si>
    <t xml:space="preserve">Valsts kases pārvaldnieks                                                                           </t>
  </si>
  <si>
    <t xml:space="preserve">Valsts kases pārvaldnieka v.i.                                                              </t>
  </si>
  <si>
    <t>2001. gada 15.augusts</t>
  </si>
  <si>
    <t xml:space="preserve">Valsts kases pārvaldnieka v.i.                                                                   </t>
  </si>
  <si>
    <t>(tūkst.ls)</t>
  </si>
  <si>
    <t>Pārējie izdevumi, kas nav atspoguļoti pamatgrupās (ieskaitot tīros aizdevumus)*</t>
  </si>
  <si>
    <t xml:space="preserve">* iekļauta Šveices valdības  palīdzība 54 tūkst.latu </t>
  </si>
  <si>
    <t>(2001.gada jūlijs)</t>
  </si>
  <si>
    <t xml:space="preserve">Valsts kases pārvaldnieka.v.i.                                         </t>
  </si>
  <si>
    <t>(2001.gada janvāris -jūlijs)</t>
  </si>
  <si>
    <t xml:space="preserve"> No valsts pamatbudžeta saņemtā dotācija PFIF 4 363  tūkst. latu</t>
  </si>
  <si>
    <t>* nesadalītais atlikums uz perioda beigām -1 708 tūkst.latu</t>
  </si>
  <si>
    <t xml:space="preserve">Valsts kases pārvaldnieka v.i.                                                        </t>
  </si>
  <si>
    <t xml:space="preserve">Valsts kases pārvaldnieka v.i.                                                    </t>
  </si>
  <si>
    <t>(2001.gada  janvāris - jūlijs)</t>
  </si>
  <si>
    <t xml:space="preserve">Valsts kases pārvaldnieka.v.i                                                             </t>
  </si>
  <si>
    <t>Valsts kases pārvaldnieka v.i</t>
  </si>
  <si>
    <t>Valsts kases pārvaldnieka v.i.</t>
  </si>
  <si>
    <t>(2001.gada janvāris- jūlijs)</t>
  </si>
  <si>
    <t>1. janvāris - 30. jūnijs, 2001 : kontroles rādītājs</t>
  </si>
  <si>
    <t>1. janvāris - 31. jūlijs, 2001 : kontroles rādītājs *</t>
  </si>
  <si>
    <t>* t.s. VAS "Privatizācijas aģentūra" izdevumi - 4 milj.latu</t>
  </si>
  <si>
    <t>31. jūlijam, 2001 : kontroles rādītājs</t>
  </si>
  <si>
    <t xml:space="preserve">  nodokļu ieņēmumiem: </t>
  </si>
  <si>
    <t xml:space="preserve">1. janvāris - 30. jūnijs, 2001 (indikatīvā robeža) </t>
  </si>
  <si>
    <t>1. janvāris - 31. jūlijs, 2001 (indikatīvā robeža) *</t>
  </si>
  <si>
    <t xml:space="preserve">Rādītāji pārrēķināti saskaņā ar SVF norādījumiem. Nodokļu ieņēmumus (689 673 tūkst.latu) sastāda pamatbudžeta nodokļu </t>
  </si>
  <si>
    <t xml:space="preserve">ieņēmumi (341 063 tūkst.latu) plus speciālā budžeta nodokļu ieņēmumi (348 610 tūkst.latu) </t>
  </si>
  <si>
    <t>2001. gada 15. augusts</t>
  </si>
  <si>
    <t>(2001. gada julijs)</t>
  </si>
  <si>
    <t>Valsts kases pārvaldnieka v.i.                                                                                                               V. Lindemanis</t>
  </si>
  <si>
    <t>(2001. gada jūlijs)</t>
  </si>
  <si>
    <t>Valsts kases pārvaldnieka v.i.                                                                                                                V. Lindemanis</t>
  </si>
  <si>
    <r>
      <t xml:space="preserve">Programmas "Valsts aizsardzība, drošība un integrācija NATO" izpilde 
</t>
    </r>
    <r>
      <rPr>
        <sz val="12"/>
        <rFont val="Arial"/>
        <family val="2"/>
      </rPr>
      <t>(2001. gada janvāris - jūlijs)</t>
    </r>
  </si>
  <si>
    <t>Valsts kases pārvaldnieka v.i.                                                                         V. Lindemanis</t>
  </si>
  <si>
    <t>31.tabula</t>
  </si>
  <si>
    <t>Ārvalstu finansu palīdzības ( ISPA) un valsts budžeta līdzdalības maksājumi</t>
  </si>
  <si>
    <t>2001.gada janvāris - jūlijs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</si>
  <si>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</si>
  <si>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</si>
  <si>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</si>
  <si>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</si>
  <si>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</si>
  <si>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</si>
  <si>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</si>
  <si>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</si>
  <si>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 xml:space="preserve">Ārvalstu finansu palīdzība 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</si>
  <si>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</si>
  <si>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</si>
  <si>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</si>
  <si>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</si>
  <si>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</si>
  <si>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</si>
  <si>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</si>
  <si>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</si>
  <si>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</si>
  <si>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</si>
  <si>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</si>
  <si>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</si>
  <si>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</si>
  <si>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</si>
  <si>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</si>
  <si>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</si>
  <si>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</si>
  <si>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</si>
  <si>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</si>
  <si>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</si>
  <si>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 xml:space="preserve">Valsts kases pārvaldnieka v.i.                                                                    </t>
  </si>
  <si>
    <t>V. Lindemanis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</si>
  <si>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</si>
  <si>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</si>
  <si>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</si>
  <si>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</si>
  <si>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</si>
  <si>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</si>
  <si>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</si>
  <si>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</si>
  <si>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</si>
  <si>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</si>
  <si>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</si>
  <si>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</si>
  <si>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</si>
  <si>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</si>
  <si>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</si>
  <si>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</si>
  <si>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</si>
  <si>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</si>
  <si>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</si>
  <si>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</si>
  <si>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</si>
  <si>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</si>
  <si>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</si>
  <si>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Ārvalstu finansu palīdzība 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</si>
  <si>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</si>
  <si>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</si>
  <si>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</si>
  <si>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</si>
  <si>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</si>
  <si>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</si>
  <si>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</si>
  <si>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</si>
  <si>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</si>
  <si>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</si>
  <si>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</si>
  <si>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</si>
  <si>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</si>
  <si>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</si>
  <si>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</si>
  <si>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</si>
  <si>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</si>
  <si>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</si>
  <si>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</si>
  <si>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</si>
  <si>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</si>
  <si>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</si>
  <si>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</si>
  <si>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</si>
  <si>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</si>
  <si>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</si>
  <si>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</si>
  <si>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</si>
  <si>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</si>
  <si>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</si>
  <si>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</si>
  <si>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</si>
  <si>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</si>
  <si>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</si>
  <si>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</si>
  <si>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</si>
  <si>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</si>
  <si>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</si>
  <si>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</si>
  <si>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</si>
  <si>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</si>
  <si>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</si>
  <si>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</si>
  <si>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</si>
  <si>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</si>
  <si>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Jūnija mēneša  izpilde </t>
  </si>
  <si>
    <t xml:space="preserve">jūnija  mēneša  izpilde </t>
  </si>
  <si>
    <t xml:space="preserve">              (2001.gada janvāris-jūnijs)</t>
  </si>
  <si>
    <t xml:space="preserve">                t.sk.   pensijas 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</si>
  <si>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</si>
  <si>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</si>
  <si>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</si>
  <si>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</si>
  <si>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</si>
  <si>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</si>
  <si>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</si>
  <si>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>C.5. Valsts speciālā budžeta fiskālais deficīts (-), pārpalikums (+), (C.3.- C.4.)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</si>
</sst>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0%"/>
    <numFmt numFmtId="195" formatCode="##0,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#,##0.000"/>
    <numFmt numFmtId="203" formatCode="###%"/>
    <numFmt numFmtId="204" formatCode="0.000"/>
    <numFmt numFmtId="205" formatCode="0.0000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_ ;\-0\ "/>
    <numFmt numFmtId="212" formatCode="##,###,##0.00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</numFmts>
  <fonts count="34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RimTimes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21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21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21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2" fillId="0" borderId="1" xfId="21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10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2" fontId="1" fillId="0" borderId="1" xfId="21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21" applyNumberFormat="1" applyFont="1" applyFill="1" applyBorder="1" applyAlignment="1">
      <alignment/>
    </xf>
    <xf numFmtId="178" fontId="1" fillId="0" borderId="1" xfId="21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0" fillId="0" borderId="2" xfId="0" applyFont="1" applyFill="1" applyBorder="1" applyAlignment="1">
      <alignment wrapText="1"/>
    </xf>
    <xf numFmtId="175" fontId="6" fillId="0" borderId="1" xfId="21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175" fontId="0" fillId="0" borderId="1" xfId="21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21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Continuous"/>
    </xf>
    <xf numFmtId="178" fontId="0" fillId="0" borderId="0" xfId="0" applyNumberFormat="1" applyFont="1" applyAlignment="1">
      <alignment horizontal="centerContinuous"/>
    </xf>
    <xf numFmtId="2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21" applyNumberFormat="1" applyFont="1" applyBorder="1" applyAlignment="1">
      <alignment/>
    </xf>
    <xf numFmtId="184" fontId="5" fillId="0" borderId="1" xfId="21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21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21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0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180" fontId="0" fillId="0" borderId="1" xfId="0" applyNumberFormat="1" applyFont="1" applyFill="1" applyBorder="1" applyAlignment="1">
      <alignment horizontal="center" wrapText="1"/>
    </xf>
    <xf numFmtId="180" fontId="11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2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172" fontId="1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 wrapText="1"/>
    </xf>
    <xf numFmtId="3" fontId="20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21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21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21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vertical="top" wrapText="1"/>
    </xf>
    <xf numFmtId="49" fontId="21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2" fillId="0" borderId="0" xfId="0" applyFont="1" applyAlignment="1">
      <alignment/>
    </xf>
    <xf numFmtId="0" fontId="2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1" fillId="0" borderId="0" xfId="0" applyFont="1" applyBorder="1" applyAlignment="1">
      <alignment wrapText="1"/>
    </xf>
    <xf numFmtId="9" fontId="6" fillId="0" borderId="1" xfId="21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175" fontId="10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center" wrapText="1"/>
    </xf>
    <xf numFmtId="3" fontId="26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21" applyNumberFormat="1" applyFont="1" applyBorder="1" applyAlignment="1">
      <alignment horizontal="right"/>
    </xf>
    <xf numFmtId="175" fontId="0" fillId="0" borderId="1" xfId="21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4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3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4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1" fillId="0" borderId="0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175" fontId="10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3" fontId="10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3" fontId="1" fillId="0" borderId="3" xfId="0" applyNumberFormat="1" applyFont="1" applyBorder="1" applyAlignment="1">
      <alignment horizontal="center"/>
    </xf>
    <xf numFmtId="175" fontId="1" fillId="0" borderId="3" xfId="0" applyNumberFormat="1" applyFont="1" applyBorder="1" applyAlignment="1">
      <alignment horizontal="right"/>
    </xf>
    <xf numFmtId="2" fontId="15" fillId="0" borderId="0" xfId="0" applyNumberFormat="1" applyFont="1" applyAlignment="1" applyProtection="1">
      <alignment horizontal="center"/>
      <protection locked="0"/>
    </xf>
    <xf numFmtId="178" fontId="5" fillId="0" borderId="0" xfId="0" applyNumberFormat="1" applyFont="1" applyFill="1" applyAlignment="1" applyProtection="1">
      <alignment horizontal="center"/>
      <protection locked="0"/>
    </xf>
    <xf numFmtId="0" fontId="0" fillId="0" borderId="3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center"/>
    </xf>
    <xf numFmtId="175" fontId="0" fillId="0" borderId="3" xfId="0" applyNumberFormat="1" applyFont="1" applyBorder="1" applyAlignment="1">
      <alignment horizontal="right"/>
    </xf>
    <xf numFmtId="0" fontId="0" fillId="0" borderId="1" xfId="0" applyBorder="1" applyAlignment="1">
      <alignment wrapText="1"/>
    </xf>
    <xf numFmtId="178" fontId="0" fillId="0" borderId="1" xfId="21" applyNumberFormat="1" applyFont="1" applyBorder="1" applyAlignment="1">
      <alignment horizontal="center"/>
    </xf>
    <xf numFmtId="0" fontId="0" fillId="0" borderId="21" xfId="0" applyBorder="1" applyAlignment="1">
      <alignment wrapText="1"/>
    </xf>
    <xf numFmtId="3" fontId="0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3" fontId="1" fillId="0" borderId="21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8" fontId="6" fillId="0" borderId="1" xfId="0" applyNumberFormat="1" applyFont="1" applyBorder="1" applyAlignment="1">
      <alignment horizontal="right" vertical="center" wrapText="1"/>
    </xf>
    <xf numFmtId="178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24" fillId="0" borderId="4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8" fontId="3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0" fontId="32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3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3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3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11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49" fontId="2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4" xfId="0" applyFont="1" applyFill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0" fontId="23" fillId="0" borderId="20" xfId="0" applyFont="1" applyBorder="1" applyAlignment="1" applyProtection="1">
      <alignment horizontal="center" vertical="center" wrapText="1"/>
      <protection locked="0"/>
    </xf>
    <xf numFmtId="0" fontId="23" fillId="0" borderId="4" xfId="0" applyFont="1" applyBorder="1" applyAlignment="1" applyProtection="1">
      <alignment horizontal="center" vertical="center" wrapText="1"/>
      <protection locked="0"/>
    </xf>
    <xf numFmtId="49" fontId="23" fillId="0" borderId="20" xfId="0" applyNumberFormat="1" applyFont="1" applyBorder="1" applyAlignment="1" applyProtection="1">
      <alignment horizontal="center" vertical="center" wrapText="1"/>
      <protection locked="0"/>
    </xf>
    <xf numFmtId="49" fontId="23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3" fillId="0" borderId="1" xfId="0" applyFont="1" applyFill="1" applyBorder="1" applyAlignment="1">
      <alignment horizontal="left" wrapText="1"/>
    </xf>
    <xf numFmtId="0" fontId="33" fillId="0" borderId="24" xfId="0" applyFont="1" applyFill="1" applyBorder="1" applyAlignment="1">
      <alignment horizontal="left" wrapText="1"/>
    </xf>
    <xf numFmtId="0" fontId="33" fillId="0" borderId="19" xfId="0" applyFont="1" applyFill="1" applyBorder="1" applyAlignment="1">
      <alignment horizontal="left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9.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9.ta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ziedojdav_darba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3-1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7tab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</sheetNames>
    <sheetDataSet>
      <sheetData sheetId="4">
        <row r="182">
          <cell r="L182">
            <v>14</v>
          </cell>
        </row>
      </sheetData>
      <sheetData sheetId="5">
        <row r="23">
          <cell r="D23">
            <v>577337</v>
          </cell>
          <cell r="L23">
            <v>577</v>
          </cell>
        </row>
        <row r="25">
          <cell r="D25">
            <v>552737.28</v>
          </cell>
          <cell r="L25">
            <v>553</v>
          </cell>
        </row>
        <row r="26">
          <cell r="D26">
            <v>24159.72</v>
          </cell>
          <cell r="L26">
            <v>24</v>
          </cell>
        </row>
        <row r="29">
          <cell r="D29">
            <v>3437357</v>
          </cell>
          <cell r="L29">
            <v>3437</v>
          </cell>
        </row>
        <row r="30">
          <cell r="D30">
            <v>171252.53</v>
          </cell>
          <cell r="L30">
            <v>171</v>
          </cell>
        </row>
        <row r="32">
          <cell r="D32">
            <v>2729556.78</v>
          </cell>
          <cell r="L32">
            <v>2730</v>
          </cell>
        </row>
        <row r="33">
          <cell r="D33">
            <v>634481.04</v>
          </cell>
          <cell r="L33">
            <v>634</v>
          </cell>
        </row>
        <row r="36">
          <cell r="D36">
            <v>1461887</v>
          </cell>
          <cell r="L36">
            <v>1462</v>
          </cell>
        </row>
        <row r="37">
          <cell r="D37">
            <v>142992.29</v>
          </cell>
          <cell r="L37">
            <v>143</v>
          </cell>
        </row>
        <row r="38">
          <cell r="D38">
            <v>21710.51</v>
          </cell>
          <cell r="L38">
            <v>22</v>
          </cell>
        </row>
        <row r="40">
          <cell r="D40">
            <v>1553558.41</v>
          </cell>
          <cell r="L40">
            <v>1554</v>
          </cell>
        </row>
        <row r="41">
          <cell r="D41">
            <v>62184.84</v>
          </cell>
          <cell r="L41">
            <v>62</v>
          </cell>
        </row>
        <row r="44">
          <cell r="D44">
            <v>23657301</v>
          </cell>
          <cell r="L44">
            <v>23657</v>
          </cell>
        </row>
        <row r="45">
          <cell r="D45">
            <v>832928.4</v>
          </cell>
          <cell r="L45">
            <v>833</v>
          </cell>
        </row>
        <row r="47">
          <cell r="D47">
            <v>20799064.13</v>
          </cell>
          <cell r="L47">
            <v>20799</v>
          </cell>
        </row>
        <row r="48">
          <cell r="D48">
            <v>1959384.05</v>
          </cell>
          <cell r="L48">
            <v>1959</v>
          </cell>
        </row>
        <row r="51">
          <cell r="D51">
            <v>5679927</v>
          </cell>
          <cell r="L51">
            <v>5680</v>
          </cell>
        </row>
        <row r="52">
          <cell r="D52">
            <v>72287.63</v>
          </cell>
          <cell r="L52">
            <v>72</v>
          </cell>
        </row>
        <row r="54">
          <cell r="D54">
            <v>5333810.21</v>
          </cell>
          <cell r="L54">
            <v>5334</v>
          </cell>
        </row>
        <row r="55">
          <cell r="D55">
            <v>165985.12</v>
          </cell>
          <cell r="L55">
            <v>166</v>
          </cell>
        </row>
        <row r="58">
          <cell r="D58">
            <v>2307617</v>
          </cell>
          <cell r="L58">
            <v>2308</v>
          </cell>
        </row>
        <row r="59">
          <cell r="D59">
            <v>11722.22</v>
          </cell>
          <cell r="L59">
            <v>12</v>
          </cell>
        </row>
        <row r="60">
          <cell r="D60">
            <v>287409.98</v>
          </cell>
          <cell r="L60">
            <v>287</v>
          </cell>
        </row>
        <row r="61">
          <cell r="D61">
            <v>468798</v>
          </cell>
          <cell r="L61">
            <v>469</v>
          </cell>
        </row>
        <row r="63">
          <cell r="D63">
            <v>2869150.71</v>
          </cell>
          <cell r="L63">
            <v>2869</v>
          </cell>
        </row>
        <row r="64">
          <cell r="D64">
            <v>101048.71</v>
          </cell>
          <cell r="L64">
            <v>101</v>
          </cell>
        </row>
        <row r="67">
          <cell r="D67">
            <v>44434613</v>
          </cell>
          <cell r="L67">
            <v>44435</v>
          </cell>
        </row>
        <row r="68">
          <cell r="D68">
            <v>275646.07</v>
          </cell>
          <cell r="L68">
            <v>276</v>
          </cell>
        </row>
        <row r="69">
          <cell r="D69">
            <v>2096599.19</v>
          </cell>
          <cell r="L69">
            <v>2097</v>
          </cell>
        </row>
        <row r="70">
          <cell r="D70">
            <v>858094</v>
          </cell>
          <cell r="L70">
            <v>858</v>
          </cell>
        </row>
        <row r="72">
          <cell r="D72">
            <v>42994061.54</v>
          </cell>
          <cell r="L72">
            <v>42994</v>
          </cell>
        </row>
        <row r="73">
          <cell r="D73">
            <v>2971779.17</v>
          </cell>
          <cell r="L73">
            <v>2972</v>
          </cell>
        </row>
        <row r="74">
          <cell r="D74">
            <v>12770965</v>
          </cell>
          <cell r="L74">
            <v>12771</v>
          </cell>
        </row>
        <row r="75">
          <cell r="D75">
            <v>-11071853.450000003</v>
          </cell>
          <cell r="L75">
            <v>-11072</v>
          </cell>
        </row>
        <row r="78">
          <cell r="D78">
            <v>38020065</v>
          </cell>
          <cell r="L78">
            <v>38020</v>
          </cell>
        </row>
        <row r="79">
          <cell r="D79">
            <v>3421024.66</v>
          </cell>
          <cell r="L79">
            <v>3421</v>
          </cell>
        </row>
        <row r="80">
          <cell r="D80">
            <v>231706.81</v>
          </cell>
          <cell r="L80">
            <v>232</v>
          </cell>
        </row>
        <row r="82">
          <cell r="D82">
            <v>36377015.47</v>
          </cell>
          <cell r="L82">
            <v>36377</v>
          </cell>
        </row>
        <row r="83">
          <cell r="D83">
            <v>4078971.35</v>
          </cell>
          <cell r="L83">
            <v>4079</v>
          </cell>
        </row>
        <row r="86">
          <cell r="D86">
            <v>27889395</v>
          </cell>
          <cell r="L86">
            <v>27890</v>
          </cell>
        </row>
        <row r="87">
          <cell r="D87">
            <v>305490.08</v>
          </cell>
          <cell r="L87">
            <v>305</v>
          </cell>
        </row>
        <row r="88">
          <cell r="D88">
            <v>9469880.31</v>
          </cell>
          <cell r="L88">
            <v>9470</v>
          </cell>
        </row>
        <row r="89">
          <cell r="D89">
            <v>1536131</v>
          </cell>
          <cell r="L89">
            <v>1536</v>
          </cell>
        </row>
        <row r="91">
          <cell r="D91">
            <v>34126961.1</v>
          </cell>
          <cell r="L91">
            <v>34127</v>
          </cell>
        </row>
        <row r="92">
          <cell r="D92">
            <v>1875966.3</v>
          </cell>
          <cell r="L92">
            <v>1876</v>
          </cell>
        </row>
        <row r="95">
          <cell r="D95">
            <v>25488320</v>
          </cell>
          <cell r="L95">
            <v>25488</v>
          </cell>
        </row>
        <row r="96">
          <cell r="D96">
            <v>3862153.69</v>
          </cell>
          <cell r="L96">
            <v>3862</v>
          </cell>
        </row>
        <row r="97">
          <cell r="D97">
            <v>535594</v>
          </cell>
          <cell r="L97">
            <v>535</v>
          </cell>
        </row>
        <row r="99">
          <cell r="D99">
            <v>25822415.05</v>
          </cell>
          <cell r="L99">
            <v>25822</v>
          </cell>
        </row>
        <row r="100">
          <cell r="D100">
            <v>2156133.52</v>
          </cell>
          <cell r="L100">
            <v>2156</v>
          </cell>
        </row>
        <row r="103">
          <cell r="D103">
            <v>4227318</v>
          </cell>
          <cell r="L103">
            <v>4228</v>
          </cell>
        </row>
        <row r="104">
          <cell r="D104">
            <v>6011.81</v>
          </cell>
          <cell r="L104">
            <v>6</v>
          </cell>
        </row>
        <row r="105">
          <cell r="D105">
            <v>1114750</v>
          </cell>
          <cell r="L105">
            <v>1115</v>
          </cell>
        </row>
        <row r="107">
          <cell r="D107">
            <v>3525616.64</v>
          </cell>
          <cell r="L107">
            <v>3526</v>
          </cell>
        </row>
        <row r="108">
          <cell r="D108">
            <v>1243413.41</v>
          </cell>
          <cell r="L108">
            <v>1243</v>
          </cell>
        </row>
        <row r="111">
          <cell r="D111">
            <v>78460228</v>
          </cell>
          <cell r="L111">
            <v>78460</v>
          </cell>
        </row>
        <row r="112">
          <cell r="D112">
            <v>394.82</v>
          </cell>
        </row>
        <row r="113">
          <cell r="D113">
            <v>2090037.96</v>
          </cell>
          <cell r="L113">
            <v>2090</v>
          </cell>
        </row>
        <row r="114">
          <cell r="D114">
            <v>59718.24</v>
          </cell>
          <cell r="L114">
            <v>60</v>
          </cell>
        </row>
        <row r="116">
          <cell r="D116">
            <v>78994607.25</v>
          </cell>
          <cell r="L116">
            <v>78995</v>
          </cell>
        </row>
        <row r="117">
          <cell r="D117">
            <v>1368287.84</v>
          </cell>
          <cell r="L117">
            <v>1368</v>
          </cell>
        </row>
        <row r="120">
          <cell r="D120">
            <v>12422714</v>
          </cell>
          <cell r="L120">
            <v>12423</v>
          </cell>
        </row>
        <row r="121">
          <cell r="D121">
            <v>416914.3</v>
          </cell>
          <cell r="L121">
            <v>417</v>
          </cell>
        </row>
        <row r="122">
          <cell r="D122">
            <v>486079</v>
          </cell>
          <cell r="L122">
            <v>486</v>
          </cell>
        </row>
        <row r="124">
          <cell r="D124">
            <v>11314262.05</v>
          </cell>
          <cell r="L124">
            <v>11314</v>
          </cell>
        </row>
        <row r="125">
          <cell r="D125">
            <v>1877585.09</v>
          </cell>
          <cell r="L125">
            <v>1878</v>
          </cell>
        </row>
        <row r="128">
          <cell r="D128">
            <v>3577894</v>
          </cell>
          <cell r="L128">
            <v>3578</v>
          </cell>
        </row>
        <row r="129">
          <cell r="D129">
            <v>652699.13</v>
          </cell>
          <cell r="L129">
            <v>653</v>
          </cell>
        </row>
        <row r="130">
          <cell r="D130">
            <v>1545225</v>
          </cell>
          <cell r="L130">
            <v>1545</v>
          </cell>
        </row>
        <row r="132">
          <cell r="D132">
            <v>3288504.51</v>
          </cell>
          <cell r="L132">
            <v>3289</v>
          </cell>
        </row>
        <row r="133">
          <cell r="D133">
            <v>1957739.36</v>
          </cell>
          <cell r="L133">
            <v>1958</v>
          </cell>
        </row>
        <row r="136">
          <cell r="D136">
            <v>9073404</v>
          </cell>
          <cell r="L136">
            <v>9073</v>
          </cell>
        </row>
        <row r="137">
          <cell r="D137">
            <v>1292789.36</v>
          </cell>
          <cell r="L137">
            <v>1293</v>
          </cell>
        </row>
        <row r="138">
          <cell r="D138">
            <v>69653.02</v>
          </cell>
          <cell r="L138">
            <v>70</v>
          </cell>
        </row>
        <row r="140">
          <cell r="D140">
            <v>9790809.87</v>
          </cell>
          <cell r="L140">
            <v>9791</v>
          </cell>
        </row>
        <row r="141">
          <cell r="D141">
            <v>276306.18</v>
          </cell>
          <cell r="L141">
            <v>276</v>
          </cell>
        </row>
        <row r="144">
          <cell r="D144">
            <v>2688318</v>
          </cell>
          <cell r="L144">
            <v>2688</v>
          </cell>
        </row>
        <row r="145">
          <cell r="D145">
            <v>4054288.51</v>
          </cell>
          <cell r="L145">
            <v>4054</v>
          </cell>
        </row>
        <row r="147">
          <cell r="D147">
            <v>6338145.3</v>
          </cell>
          <cell r="L147">
            <v>6338</v>
          </cell>
        </row>
        <row r="148">
          <cell r="D148">
            <v>271952.46</v>
          </cell>
          <cell r="L148">
            <v>272</v>
          </cell>
        </row>
        <row r="151">
          <cell r="D151">
            <v>586251</v>
          </cell>
          <cell r="L151">
            <v>586</v>
          </cell>
        </row>
        <row r="152">
          <cell r="D152">
            <v>231</v>
          </cell>
        </row>
        <row r="155">
          <cell r="D155">
            <v>576326.17</v>
          </cell>
          <cell r="L155">
            <v>576</v>
          </cell>
        </row>
        <row r="156">
          <cell r="D156">
            <v>6682.82</v>
          </cell>
          <cell r="L156">
            <v>7</v>
          </cell>
        </row>
        <row r="158">
          <cell r="L158">
            <v>364</v>
          </cell>
        </row>
        <row r="159">
          <cell r="D159">
            <v>363784</v>
          </cell>
          <cell r="L159">
            <v>364</v>
          </cell>
        </row>
        <row r="162">
          <cell r="D162">
            <v>363773.81</v>
          </cell>
          <cell r="L162">
            <v>364</v>
          </cell>
        </row>
        <row r="165">
          <cell r="D165">
            <v>151852</v>
          </cell>
          <cell r="L165">
            <v>153</v>
          </cell>
        </row>
        <row r="166">
          <cell r="D166">
            <v>1595.38</v>
          </cell>
        </row>
        <row r="168">
          <cell r="D168">
            <v>145799.9</v>
          </cell>
          <cell r="L168">
            <v>146</v>
          </cell>
        </row>
        <row r="169">
          <cell r="D169">
            <v>8659.57</v>
          </cell>
          <cell r="L169">
            <v>9</v>
          </cell>
        </row>
        <row r="172">
          <cell r="D172">
            <v>3112327</v>
          </cell>
          <cell r="L172">
            <v>3112</v>
          </cell>
        </row>
        <row r="173">
          <cell r="D173">
            <v>8623.79</v>
          </cell>
          <cell r="L173">
            <v>9</v>
          </cell>
        </row>
        <row r="175">
          <cell r="D175">
            <v>3014159.48</v>
          </cell>
          <cell r="L175">
            <v>3014</v>
          </cell>
        </row>
        <row r="176">
          <cell r="D176">
            <v>34710.11</v>
          </cell>
          <cell r="L176">
            <v>35</v>
          </cell>
        </row>
        <row r="179">
          <cell r="D179">
            <v>173282</v>
          </cell>
          <cell r="L179">
            <v>173</v>
          </cell>
        </row>
        <row r="181">
          <cell r="D181">
            <v>132384.5</v>
          </cell>
          <cell r="L181">
            <v>132</v>
          </cell>
        </row>
        <row r="182">
          <cell r="D182">
            <v>13557.23</v>
          </cell>
        </row>
        <row r="185">
          <cell r="D185">
            <v>25108</v>
          </cell>
          <cell r="L185">
            <v>25</v>
          </cell>
        </row>
        <row r="187">
          <cell r="D187">
            <v>23998.22</v>
          </cell>
          <cell r="L187">
            <v>24</v>
          </cell>
        </row>
        <row r="190">
          <cell r="D190">
            <v>1098117</v>
          </cell>
          <cell r="L190">
            <v>1098</v>
          </cell>
        </row>
        <row r="193">
          <cell r="D193">
            <v>545790</v>
          </cell>
          <cell r="L193">
            <v>546</v>
          </cell>
        </row>
        <row r="196">
          <cell r="D196">
            <v>3380434</v>
          </cell>
          <cell r="L196">
            <v>3380</v>
          </cell>
        </row>
        <row r="197">
          <cell r="D197">
            <v>2170</v>
          </cell>
        </row>
        <row r="199">
          <cell r="D199">
            <v>3296300.06</v>
          </cell>
          <cell r="L199">
            <v>3296</v>
          </cell>
        </row>
        <row r="200">
          <cell r="D200">
            <v>65811.51</v>
          </cell>
          <cell r="L200">
            <v>66</v>
          </cell>
        </row>
        <row r="203">
          <cell r="D203">
            <v>48095</v>
          </cell>
          <cell r="L203">
            <v>48</v>
          </cell>
        </row>
        <row r="205">
          <cell r="D205">
            <v>48095</v>
          </cell>
          <cell r="L205">
            <v>48</v>
          </cell>
        </row>
        <row r="208">
          <cell r="D208">
            <v>348952</v>
          </cell>
          <cell r="L208">
            <v>349</v>
          </cell>
        </row>
        <row r="210">
          <cell r="D210">
            <v>480883.17</v>
          </cell>
          <cell r="L210">
            <v>481</v>
          </cell>
        </row>
        <row r="212">
          <cell r="D212">
            <v>726683.17</v>
          </cell>
          <cell r="L212">
            <v>727</v>
          </cell>
        </row>
        <row r="216">
          <cell r="D216">
            <v>658348</v>
          </cell>
          <cell r="L216">
            <v>658</v>
          </cell>
        </row>
        <row r="218">
          <cell r="D218">
            <v>230435.91</v>
          </cell>
          <cell r="L218">
            <v>230</v>
          </cell>
        </row>
        <row r="220">
          <cell r="D220">
            <v>671131.88</v>
          </cell>
          <cell r="L220">
            <v>671</v>
          </cell>
        </row>
        <row r="221">
          <cell r="D221">
            <v>136557</v>
          </cell>
          <cell r="L221">
            <v>137</v>
          </cell>
        </row>
        <row r="231">
          <cell r="D231">
            <v>64986831</v>
          </cell>
          <cell r="L231">
            <v>64987</v>
          </cell>
        </row>
        <row r="233">
          <cell r="D233">
            <v>59414271</v>
          </cell>
          <cell r="L233">
            <v>59414</v>
          </cell>
        </row>
        <row r="234">
          <cell r="D234">
            <v>2871496.77</v>
          </cell>
          <cell r="L234">
            <v>2871</v>
          </cell>
        </row>
        <row r="237">
          <cell r="D237">
            <v>3966042</v>
          </cell>
          <cell r="L237">
            <v>3966</v>
          </cell>
        </row>
        <row r="239">
          <cell r="D239">
            <v>3855434.49</v>
          </cell>
          <cell r="L239">
            <v>3855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Sheet1"/>
      <sheetName val="Sheet3"/>
    </sheetNames>
    <sheetDataSet>
      <sheetData sheetId="5">
        <row r="9">
          <cell r="D9">
            <v>356685479</v>
          </cell>
        </row>
        <row r="10">
          <cell r="D10">
            <v>62993</v>
          </cell>
          <cell r="J10">
            <v>63</v>
          </cell>
        </row>
        <row r="13">
          <cell r="D13">
            <v>4092119</v>
          </cell>
          <cell r="J13">
            <v>4092</v>
          </cell>
        </row>
        <row r="14">
          <cell r="D14">
            <v>3503854</v>
          </cell>
          <cell r="J14">
            <v>3504</v>
          </cell>
        </row>
        <row r="15">
          <cell r="D15">
            <v>70181744</v>
          </cell>
          <cell r="J15">
            <v>70182</v>
          </cell>
        </row>
        <row r="16">
          <cell r="D16">
            <v>246684241</v>
          </cell>
          <cell r="J16">
            <v>246684</v>
          </cell>
        </row>
        <row r="17">
          <cell r="D17">
            <v>1614991</v>
          </cell>
          <cell r="J17">
            <v>1615</v>
          </cell>
        </row>
        <row r="18">
          <cell r="D18">
            <v>1771615</v>
          </cell>
          <cell r="J18">
            <v>1772</v>
          </cell>
        </row>
        <row r="20">
          <cell r="D20">
            <v>265315</v>
          </cell>
          <cell r="J20">
            <v>266</v>
          </cell>
        </row>
        <row r="22">
          <cell r="D22">
            <v>30716942</v>
          </cell>
          <cell r="J22">
            <v>30717</v>
          </cell>
        </row>
        <row r="23">
          <cell r="D23">
            <v>1295519</v>
          </cell>
          <cell r="J23">
            <v>1296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marts"/>
      <sheetName val="aprīlis"/>
      <sheetName val="maijs"/>
      <sheetName val="jūnijs"/>
      <sheetName val="jūlijs"/>
      <sheetName val="Sheet2"/>
      <sheetName val="Sheet1"/>
      <sheetName val="Natalija"/>
      <sheetName val="darbam"/>
    </sheetNames>
    <sheetDataSet>
      <sheetData sheetId="5">
        <row r="21">
          <cell r="C21">
            <v>14015</v>
          </cell>
        </row>
        <row r="26">
          <cell r="C26">
            <v>17630</v>
          </cell>
        </row>
        <row r="29">
          <cell r="C29">
            <v>17171</v>
          </cell>
        </row>
        <row r="31">
          <cell r="C31">
            <v>2374</v>
          </cell>
        </row>
        <row r="32">
          <cell r="C32">
            <v>15690</v>
          </cell>
        </row>
        <row r="34">
          <cell r="C34">
            <v>2838</v>
          </cell>
        </row>
        <row r="36">
          <cell r="C36">
            <v>2718</v>
          </cell>
        </row>
        <row r="39">
          <cell r="C39">
            <v>55558</v>
          </cell>
        </row>
        <row r="41">
          <cell r="C41">
            <v>58066</v>
          </cell>
        </row>
        <row r="44">
          <cell r="C44">
            <v>4939</v>
          </cell>
        </row>
        <row r="46">
          <cell r="C46">
            <v>39968</v>
          </cell>
        </row>
        <row r="47">
          <cell r="C47">
            <v>140</v>
          </cell>
        </row>
        <row r="49">
          <cell r="C49">
            <v>114748</v>
          </cell>
        </row>
        <row r="51">
          <cell r="C51">
            <v>60073</v>
          </cell>
        </row>
        <row r="52">
          <cell r="C52">
            <v>48128</v>
          </cell>
        </row>
        <row r="54">
          <cell r="C54">
            <v>622011</v>
          </cell>
        </row>
        <row r="56">
          <cell r="C56">
            <v>556406</v>
          </cell>
        </row>
        <row r="57">
          <cell r="C57">
            <v>35523</v>
          </cell>
        </row>
        <row r="59">
          <cell r="C59">
            <v>120499</v>
          </cell>
        </row>
        <row r="61">
          <cell r="C61">
            <v>116501</v>
          </cell>
        </row>
        <row r="62">
          <cell r="C62">
            <v>27888</v>
          </cell>
        </row>
        <row r="69">
          <cell r="C69">
            <v>357142</v>
          </cell>
        </row>
        <row r="71">
          <cell r="C71">
            <v>415012</v>
          </cell>
        </row>
        <row r="72">
          <cell r="C72">
            <v>11071</v>
          </cell>
        </row>
        <row r="74">
          <cell r="C74">
            <v>57433</v>
          </cell>
        </row>
        <row r="76">
          <cell r="C76">
            <v>30171</v>
          </cell>
        </row>
        <row r="77">
          <cell r="C77">
            <v>630</v>
          </cell>
        </row>
        <row r="79">
          <cell r="C79">
            <v>20941</v>
          </cell>
        </row>
        <row r="81">
          <cell r="C81">
            <v>12858</v>
          </cell>
        </row>
        <row r="82">
          <cell r="C82">
            <v>8800</v>
          </cell>
        </row>
        <row r="84">
          <cell r="C84">
            <v>604584</v>
          </cell>
        </row>
        <row r="86">
          <cell r="C86">
            <v>452952</v>
          </cell>
        </row>
        <row r="87">
          <cell r="C87">
            <v>39258</v>
          </cell>
        </row>
        <row r="139">
          <cell r="C139">
            <v>34078</v>
          </cell>
        </row>
        <row r="141">
          <cell r="C141">
            <v>21934</v>
          </cell>
        </row>
        <row r="144">
          <cell r="C144">
            <v>10305</v>
          </cell>
        </row>
        <row r="146">
          <cell r="C146">
            <v>13093</v>
          </cell>
        </row>
        <row r="147">
          <cell r="C147">
            <v>794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darbam"/>
      <sheetName val="Sheet1"/>
      <sheetName val="februāris"/>
    </sheetNames>
    <sheetDataSet>
      <sheetData sheetId="0">
        <row r="66">
          <cell r="C66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jūlijs"/>
      <sheetName val="Natalija"/>
      <sheetName val="darbam"/>
      <sheetName val="Sheet3"/>
    </sheetNames>
    <sheetDataSet>
      <sheetData sheetId="6">
        <row r="10">
          <cell r="C10">
            <v>1719949</v>
          </cell>
        </row>
        <row r="11">
          <cell r="C11">
            <v>248703</v>
          </cell>
        </row>
        <row r="12">
          <cell r="C12">
            <v>53595</v>
          </cell>
        </row>
        <row r="13">
          <cell r="C13">
            <v>2001689</v>
          </cell>
        </row>
        <row r="14">
          <cell r="C14">
            <v>1813768</v>
          </cell>
        </row>
        <row r="15">
          <cell r="C15">
            <v>1571912</v>
          </cell>
        </row>
        <row r="16">
          <cell r="C16">
            <v>287560</v>
          </cell>
        </row>
        <row r="17">
          <cell r="C17">
            <v>39952</v>
          </cell>
        </row>
        <row r="18">
          <cell r="C18">
            <v>1244400</v>
          </cell>
        </row>
        <row r="19">
          <cell r="C19">
            <v>1021953</v>
          </cell>
        </row>
        <row r="20">
          <cell r="C20">
            <v>222447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241856</v>
          </cell>
        </row>
        <row r="26">
          <cell r="C26">
            <v>8200</v>
          </cell>
        </row>
        <row r="27">
          <cell r="C27">
            <v>300</v>
          </cell>
        </row>
        <row r="28">
          <cell r="C28">
            <v>0</v>
          </cell>
        </row>
        <row r="29">
          <cell r="C29">
            <v>111245</v>
          </cell>
        </row>
        <row r="30">
          <cell r="C30">
            <v>122111</v>
          </cell>
        </row>
        <row r="31">
          <cell r="C31">
            <v>187921</v>
          </cell>
        </row>
        <row r="32">
          <cell r="C32">
            <v>187921</v>
          </cell>
        </row>
        <row r="33">
          <cell r="C33">
            <v>0</v>
          </cell>
        </row>
        <row r="34">
          <cell r="C34">
            <v>20558</v>
          </cell>
        </row>
        <row r="35">
          <cell r="C35">
            <v>-20558</v>
          </cell>
        </row>
        <row r="36">
          <cell r="C36">
            <v>-20558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Sheet3"/>
    </sheetNames>
    <sheetDataSet>
      <sheetData sheetId="3">
        <row r="16">
          <cell r="B16">
            <v>325901</v>
          </cell>
        </row>
        <row r="17">
          <cell r="B17">
            <v>45102</v>
          </cell>
        </row>
        <row r="18">
          <cell r="B18">
            <v>1580421</v>
          </cell>
        </row>
        <row r="19">
          <cell r="B19">
            <v>1342353</v>
          </cell>
        </row>
        <row r="20">
          <cell r="B20">
            <v>238068</v>
          </cell>
        </row>
        <row r="21">
          <cell r="B21">
            <v>0</v>
          </cell>
        </row>
        <row r="23">
          <cell r="B23">
            <v>0</v>
          </cell>
        </row>
        <row r="26">
          <cell r="B26">
            <v>12300</v>
          </cell>
        </row>
        <row r="27">
          <cell r="B27">
            <v>300</v>
          </cell>
        </row>
        <row r="28">
          <cell r="B28">
            <v>0</v>
          </cell>
        </row>
        <row r="29">
          <cell r="B29">
            <v>126448</v>
          </cell>
        </row>
        <row r="30">
          <cell r="B30">
            <v>157707</v>
          </cell>
        </row>
        <row r="32">
          <cell r="B32">
            <v>210199</v>
          </cell>
        </row>
        <row r="33">
          <cell r="B33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Sheet2"/>
      <sheetName val="Sheet1"/>
      <sheetName val="Natalija"/>
      <sheetName val="darbam"/>
    </sheetNames>
    <sheetDataSet>
      <sheetData sheetId="5">
        <row r="10">
          <cell r="D10">
            <v>190511</v>
          </cell>
        </row>
        <row r="11">
          <cell r="D11">
            <v>18463</v>
          </cell>
        </row>
        <row r="12">
          <cell r="D12">
            <v>118306</v>
          </cell>
        </row>
        <row r="13">
          <cell r="D13">
            <v>779147</v>
          </cell>
        </row>
        <row r="14">
          <cell r="D14">
            <v>263226</v>
          </cell>
        </row>
        <row r="15">
          <cell r="D15">
            <v>13155</v>
          </cell>
        </row>
        <row r="16">
          <cell r="D16">
            <v>17793</v>
          </cell>
        </row>
        <row r="17">
          <cell r="D17">
            <v>449362</v>
          </cell>
        </row>
        <row r="19">
          <cell r="D19">
            <v>46223</v>
          </cell>
        </row>
        <row r="22">
          <cell r="D22">
            <v>51910</v>
          </cell>
        </row>
        <row r="23">
          <cell r="D23">
            <v>53595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8">
          <cell r="D8">
            <v>9279260</v>
          </cell>
          <cell r="K8">
            <v>9279</v>
          </cell>
        </row>
        <row r="9">
          <cell r="D9">
            <v>7638779</v>
          </cell>
          <cell r="K9">
            <v>7639</v>
          </cell>
        </row>
        <row r="10">
          <cell r="D10">
            <v>3536885</v>
          </cell>
          <cell r="K10">
            <v>3538</v>
          </cell>
        </row>
        <row r="11">
          <cell r="D11">
            <v>4101894</v>
          </cell>
          <cell r="K11">
            <v>4101</v>
          </cell>
        </row>
        <row r="12">
          <cell r="D12">
            <v>1640481</v>
          </cell>
          <cell r="K12">
            <v>1640</v>
          </cell>
        </row>
        <row r="13">
          <cell r="D13">
            <v>977692</v>
          </cell>
          <cell r="K13">
            <v>977</v>
          </cell>
        </row>
        <row r="14">
          <cell r="D14">
            <v>662789</v>
          </cell>
          <cell r="K14">
            <v>663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34785</v>
          </cell>
          <cell r="K18">
            <v>35</v>
          </cell>
        </row>
        <row r="19">
          <cell r="D19">
            <v>21711</v>
          </cell>
          <cell r="K19">
            <v>22</v>
          </cell>
        </row>
        <row r="20">
          <cell r="D20">
            <v>21711</v>
          </cell>
          <cell r="K20">
            <v>22</v>
          </cell>
        </row>
        <row r="21">
          <cell r="D21">
            <v>13074</v>
          </cell>
          <cell r="K21">
            <v>13</v>
          </cell>
        </row>
        <row r="22">
          <cell r="D22">
            <v>13074</v>
          </cell>
          <cell r="K22">
            <v>13</v>
          </cell>
        </row>
        <row r="23">
          <cell r="D23">
            <v>0</v>
          </cell>
          <cell r="K23">
            <v>0</v>
          </cell>
        </row>
        <row r="24">
          <cell r="D24">
            <v>0</v>
          </cell>
          <cell r="K24">
            <v>0</v>
          </cell>
        </row>
        <row r="25">
          <cell r="K25">
            <v>0</v>
          </cell>
        </row>
        <row r="26">
          <cell r="D26">
            <v>477278</v>
          </cell>
          <cell r="K26">
            <v>477</v>
          </cell>
        </row>
        <row r="27">
          <cell r="D27">
            <v>468798</v>
          </cell>
          <cell r="K27">
            <v>469</v>
          </cell>
        </row>
        <row r="28">
          <cell r="D28">
            <v>425473</v>
          </cell>
          <cell r="K28">
            <v>426</v>
          </cell>
        </row>
        <row r="29">
          <cell r="D29">
            <v>43325</v>
          </cell>
          <cell r="K29">
            <v>43</v>
          </cell>
        </row>
        <row r="30">
          <cell r="D30">
            <v>8480</v>
          </cell>
          <cell r="K30">
            <v>8</v>
          </cell>
        </row>
        <row r="31">
          <cell r="D31">
            <v>8480</v>
          </cell>
          <cell r="K31">
            <v>8</v>
          </cell>
        </row>
        <row r="32">
          <cell r="D32">
            <v>1058531</v>
          </cell>
          <cell r="K32">
            <v>1058</v>
          </cell>
        </row>
        <row r="33">
          <cell r="D33">
            <v>858094</v>
          </cell>
          <cell r="K33">
            <v>858</v>
          </cell>
        </row>
        <row r="34">
          <cell r="D34">
            <v>266102</v>
          </cell>
          <cell r="K34">
            <v>266</v>
          </cell>
        </row>
        <row r="35">
          <cell r="D35">
            <v>591992</v>
          </cell>
          <cell r="K35">
            <v>592</v>
          </cell>
        </row>
        <row r="36">
          <cell r="D36">
            <v>200437</v>
          </cell>
          <cell r="K36">
            <v>200</v>
          </cell>
        </row>
        <row r="37">
          <cell r="D37">
            <v>2453</v>
          </cell>
          <cell r="K37">
            <v>2</v>
          </cell>
        </row>
        <row r="38">
          <cell r="D38">
            <v>197984</v>
          </cell>
          <cell r="K38">
            <v>198</v>
          </cell>
        </row>
        <row r="39">
          <cell r="D39">
            <v>232653</v>
          </cell>
          <cell r="K39">
            <v>233</v>
          </cell>
        </row>
        <row r="40">
          <cell r="D40">
            <v>231707</v>
          </cell>
          <cell r="K40">
            <v>232</v>
          </cell>
        </row>
        <row r="41">
          <cell r="D41">
            <v>47596</v>
          </cell>
          <cell r="K41">
            <v>48</v>
          </cell>
        </row>
        <row r="42">
          <cell r="D42">
            <v>184111</v>
          </cell>
          <cell r="K42">
            <v>184</v>
          </cell>
        </row>
        <row r="43">
          <cell r="D43">
            <v>946</v>
          </cell>
          <cell r="K43">
            <v>1</v>
          </cell>
        </row>
        <row r="44">
          <cell r="K44">
            <v>0</v>
          </cell>
        </row>
        <row r="45">
          <cell r="D45">
            <v>946</v>
          </cell>
          <cell r="K45">
            <v>1</v>
          </cell>
        </row>
        <row r="46">
          <cell r="D46">
            <v>2307425</v>
          </cell>
          <cell r="K46">
            <v>2307</v>
          </cell>
        </row>
        <row r="47">
          <cell r="D47">
            <v>1536131</v>
          </cell>
          <cell r="K47">
            <v>1536</v>
          </cell>
        </row>
        <row r="48">
          <cell r="D48">
            <v>1460737</v>
          </cell>
          <cell r="K48">
            <v>1461</v>
          </cell>
        </row>
        <row r="49">
          <cell r="D49">
            <v>75394</v>
          </cell>
          <cell r="K49">
            <v>75</v>
          </cell>
        </row>
        <row r="50">
          <cell r="D50">
            <v>771294</v>
          </cell>
          <cell r="K50">
            <v>771</v>
          </cell>
        </row>
        <row r="51">
          <cell r="D51">
            <v>771294</v>
          </cell>
          <cell r="K51">
            <v>771</v>
          </cell>
        </row>
        <row r="52">
          <cell r="D52">
            <v>669958</v>
          </cell>
          <cell r="K52">
            <v>670</v>
          </cell>
        </row>
        <row r="53">
          <cell r="D53">
            <v>535594</v>
          </cell>
          <cell r="K53">
            <v>535</v>
          </cell>
        </row>
        <row r="54">
          <cell r="D54">
            <v>114884</v>
          </cell>
          <cell r="K54">
            <v>114</v>
          </cell>
        </row>
        <row r="55">
          <cell r="D55">
            <v>420710</v>
          </cell>
          <cell r="K55">
            <v>421</v>
          </cell>
        </row>
        <row r="56">
          <cell r="D56">
            <v>134364</v>
          </cell>
          <cell r="K56">
            <v>135</v>
          </cell>
        </row>
        <row r="57">
          <cell r="D57">
            <v>771</v>
          </cell>
          <cell r="K57">
            <v>1</v>
          </cell>
        </row>
        <row r="58">
          <cell r="D58">
            <v>133593</v>
          </cell>
          <cell r="K58">
            <v>134</v>
          </cell>
        </row>
        <row r="59">
          <cell r="D59">
            <v>1389750</v>
          </cell>
          <cell r="K59">
            <v>1390</v>
          </cell>
        </row>
        <row r="60">
          <cell r="D60">
            <v>1114750</v>
          </cell>
          <cell r="K60">
            <v>1115</v>
          </cell>
        </row>
        <row r="61">
          <cell r="D61">
            <v>225676</v>
          </cell>
          <cell r="K61">
            <v>226</v>
          </cell>
        </row>
        <row r="62">
          <cell r="D62">
            <v>889074</v>
          </cell>
          <cell r="K62">
            <v>889</v>
          </cell>
        </row>
        <row r="63">
          <cell r="D63">
            <v>275000</v>
          </cell>
          <cell r="K63">
            <v>275</v>
          </cell>
        </row>
        <row r="64">
          <cell r="D64">
            <v>275000</v>
          </cell>
          <cell r="K64">
            <v>275</v>
          </cell>
        </row>
        <row r="65">
          <cell r="D65">
            <v>174101</v>
          </cell>
          <cell r="K65">
            <v>174</v>
          </cell>
        </row>
        <row r="66">
          <cell r="D66">
            <v>59718</v>
          </cell>
          <cell r="K66">
            <v>60</v>
          </cell>
        </row>
        <row r="67">
          <cell r="D67">
            <v>59718</v>
          </cell>
          <cell r="K67">
            <v>60</v>
          </cell>
        </row>
        <row r="68">
          <cell r="K68">
            <v>0</v>
          </cell>
        </row>
        <row r="69">
          <cell r="D69">
            <v>114383</v>
          </cell>
          <cell r="K69">
            <v>114</v>
          </cell>
        </row>
        <row r="70">
          <cell r="D70">
            <v>93201</v>
          </cell>
          <cell r="K70">
            <v>93</v>
          </cell>
        </row>
        <row r="71">
          <cell r="D71">
            <v>21182</v>
          </cell>
          <cell r="K71">
            <v>21</v>
          </cell>
        </row>
        <row r="72">
          <cell r="D72">
            <v>529083</v>
          </cell>
          <cell r="K72">
            <v>529</v>
          </cell>
        </row>
        <row r="73">
          <cell r="D73">
            <v>486079</v>
          </cell>
          <cell r="K73">
            <v>486</v>
          </cell>
        </row>
        <row r="74">
          <cell r="D74">
            <v>129379</v>
          </cell>
          <cell r="K74">
            <v>129</v>
          </cell>
        </row>
        <row r="75">
          <cell r="D75">
            <v>356700</v>
          </cell>
          <cell r="K75">
            <v>357</v>
          </cell>
        </row>
        <row r="76">
          <cell r="D76">
            <v>43004</v>
          </cell>
          <cell r="K76">
            <v>43</v>
          </cell>
        </row>
        <row r="77">
          <cell r="D77">
            <v>15603</v>
          </cell>
          <cell r="K77">
            <v>16</v>
          </cell>
        </row>
        <row r="78">
          <cell r="D78">
            <v>27401</v>
          </cell>
          <cell r="K78">
            <v>27</v>
          </cell>
        </row>
        <row r="79">
          <cell r="D79">
            <v>1545225</v>
          </cell>
          <cell r="K79">
            <v>1545</v>
          </cell>
        </row>
        <row r="80">
          <cell r="D80">
            <v>1545225</v>
          </cell>
          <cell r="K80">
            <v>1545</v>
          </cell>
        </row>
        <row r="81">
          <cell r="D81">
            <v>4637</v>
          </cell>
          <cell r="K81">
            <v>5</v>
          </cell>
        </row>
        <row r="82">
          <cell r="D82">
            <v>1540588</v>
          </cell>
          <cell r="K82">
            <v>1540</v>
          </cell>
        </row>
        <row r="83">
          <cell r="D83">
            <v>0</v>
          </cell>
          <cell r="K83">
            <v>0</v>
          </cell>
        </row>
        <row r="85">
          <cell r="K85">
            <v>0</v>
          </cell>
        </row>
        <row r="86">
          <cell r="D86">
            <v>69653</v>
          </cell>
          <cell r="K86">
            <v>70</v>
          </cell>
        </row>
        <row r="87">
          <cell r="D87">
            <v>69653</v>
          </cell>
          <cell r="K87">
            <v>70</v>
          </cell>
        </row>
        <row r="88">
          <cell r="D88">
            <v>69653</v>
          </cell>
          <cell r="K88">
            <v>70</v>
          </cell>
        </row>
        <row r="89">
          <cell r="D89">
            <v>0</v>
          </cell>
          <cell r="K89">
            <v>0</v>
          </cell>
        </row>
        <row r="90">
          <cell r="K90">
            <v>0</v>
          </cell>
        </row>
        <row r="91">
          <cell r="D91">
            <v>16683</v>
          </cell>
          <cell r="K91">
            <v>17</v>
          </cell>
        </row>
        <row r="92">
          <cell r="D92">
            <v>0</v>
          </cell>
          <cell r="K92">
            <v>0</v>
          </cell>
        </row>
        <row r="93">
          <cell r="K93">
            <v>0</v>
          </cell>
        </row>
        <row r="94">
          <cell r="K94">
            <v>0</v>
          </cell>
        </row>
        <row r="95">
          <cell r="D95">
            <v>16683</v>
          </cell>
          <cell r="K95">
            <v>17</v>
          </cell>
        </row>
        <row r="96">
          <cell r="D96">
            <v>10000</v>
          </cell>
          <cell r="K96">
            <v>10</v>
          </cell>
        </row>
        <row r="97">
          <cell r="D97">
            <v>6683</v>
          </cell>
          <cell r="K97">
            <v>7</v>
          </cell>
        </row>
        <row r="98">
          <cell r="D98">
            <v>543699</v>
          </cell>
          <cell r="K98">
            <v>544</v>
          </cell>
        </row>
        <row r="99">
          <cell r="D99">
            <v>480883</v>
          </cell>
          <cell r="K99">
            <v>481</v>
          </cell>
        </row>
        <row r="100">
          <cell r="D100">
            <v>480883</v>
          </cell>
          <cell r="K100">
            <v>481</v>
          </cell>
        </row>
        <row r="101">
          <cell r="K101">
            <v>0</v>
          </cell>
        </row>
        <row r="102">
          <cell r="D102">
            <v>62816</v>
          </cell>
          <cell r="K102">
            <v>63</v>
          </cell>
        </row>
        <row r="103">
          <cell r="D103">
            <v>62816</v>
          </cell>
          <cell r="K103">
            <v>63</v>
          </cell>
        </row>
        <row r="104">
          <cell r="D104">
            <v>230436</v>
          </cell>
          <cell r="K104">
            <v>230</v>
          </cell>
        </row>
        <row r="105">
          <cell r="D105">
            <v>230436</v>
          </cell>
          <cell r="K105">
            <v>230</v>
          </cell>
        </row>
        <row r="106">
          <cell r="D106">
            <v>230436</v>
          </cell>
          <cell r="K106">
            <v>230</v>
          </cell>
        </row>
        <row r="107">
          <cell r="D107">
            <v>0</v>
          </cell>
          <cell r="K107">
            <v>0</v>
          </cell>
        </row>
        <row r="108">
          <cell r="K108">
            <v>0</v>
          </cell>
        </row>
        <row r="109">
          <cell r="D109">
            <v>1033629</v>
          </cell>
          <cell r="K109">
            <v>1034</v>
          </cell>
        </row>
        <row r="110">
          <cell r="D110">
            <v>1033629</v>
          </cell>
          <cell r="K110">
            <v>1034</v>
          </cell>
        </row>
        <row r="111">
          <cell r="D111">
            <v>167698</v>
          </cell>
          <cell r="K111">
            <v>168</v>
          </cell>
        </row>
        <row r="112">
          <cell r="D112">
            <v>865931</v>
          </cell>
          <cell r="K112">
            <v>866</v>
          </cell>
        </row>
        <row r="113">
          <cell r="D113">
            <v>0</v>
          </cell>
          <cell r="K113">
            <v>0</v>
          </cell>
        </row>
        <row r="114">
          <cell r="D114">
            <v>0</v>
          </cell>
          <cell r="K114">
            <v>0</v>
          </cell>
        </row>
        <row r="115">
          <cell r="D115">
            <v>0</v>
          </cell>
          <cell r="K115">
            <v>0</v>
          </cell>
        </row>
        <row r="116">
          <cell r="D116">
            <v>1033629</v>
          </cell>
          <cell r="K116">
            <v>1034</v>
          </cell>
        </row>
        <row r="117">
          <cell r="D117">
            <v>1033629</v>
          </cell>
          <cell r="K117">
            <v>1034</v>
          </cell>
        </row>
        <row r="118">
          <cell r="D118">
            <v>167698</v>
          </cell>
          <cell r="K118">
            <v>168</v>
          </cell>
        </row>
        <row r="119">
          <cell r="D119">
            <v>865931</v>
          </cell>
          <cell r="K119">
            <v>866</v>
          </cell>
        </row>
        <row r="120">
          <cell r="D120">
            <v>0</v>
          </cell>
          <cell r="K120">
            <v>0</v>
          </cell>
        </row>
        <row r="121">
          <cell r="K121">
            <v>0</v>
          </cell>
        </row>
        <row r="122">
          <cell r="D122">
            <v>0</v>
          </cell>
          <cell r="K122">
            <v>0</v>
          </cell>
        </row>
        <row r="123">
          <cell r="D123">
            <v>0</v>
          </cell>
          <cell r="K123">
            <v>0</v>
          </cell>
        </row>
        <row r="124">
          <cell r="K124">
            <v>0</v>
          </cell>
        </row>
        <row r="125">
          <cell r="D125">
            <v>0</v>
          </cell>
          <cell r="K125">
            <v>0</v>
          </cell>
        </row>
        <row r="126">
          <cell r="K126">
            <v>0</v>
          </cell>
        </row>
        <row r="127">
          <cell r="D127">
            <v>155910</v>
          </cell>
          <cell r="K127">
            <v>156</v>
          </cell>
        </row>
        <row r="128">
          <cell r="D128">
            <v>155910</v>
          </cell>
          <cell r="K128">
            <v>156</v>
          </cell>
        </row>
        <row r="129">
          <cell r="K12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11">
          <cell r="C11">
            <v>124834</v>
          </cell>
        </row>
        <row r="12">
          <cell r="C12">
            <v>9225</v>
          </cell>
        </row>
        <row r="13">
          <cell r="C13">
            <v>13356</v>
          </cell>
        </row>
        <row r="14">
          <cell r="C14">
            <v>87072</v>
          </cell>
        </row>
        <row r="15">
          <cell r="C15">
            <v>4081</v>
          </cell>
        </row>
        <row r="16">
          <cell r="C16">
            <v>13447</v>
          </cell>
        </row>
        <row r="18">
          <cell r="C18">
            <v>18653</v>
          </cell>
        </row>
        <row r="19">
          <cell r="C19">
            <v>18653</v>
          </cell>
        </row>
        <row r="20">
          <cell r="C20">
            <v>4750</v>
          </cell>
        </row>
        <row r="31">
          <cell r="C31">
            <v>4750</v>
          </cell>
        </row>
        <row r="32">
          <cell r="C32">
            <v>-3077</v>
          </cell>
        </row>
        <row r="33">
          <cell r="C33">
            <v>2477</v>
          </cell>
        </row>
        <row r="35">
          <cell r="C35">
            <v>17528</v>
          </cell>
        </row>
        <row r="37">
          <cell r="C37">
            <v>203100</v>
          </cell>
        </row>
        <row r="38">
          <cell r="C38">
            <v>17528</v>
          </cell>
        </row>
        <row r="40">
          <cell r="C40">
            <v>7475</v>
          </cell>
        </row>
        <row r="41">
          <cell r="C41">
            <v>28358</v>
          </cell>
        </row>
        <row r="44">
          <cell r="C44">
            <v>73</v>
          </cell>
        </row>
        <row r="45">
          <cell r="C45">
            <v>777</v>
          </cell>
        </row>
        <row r="48">
          <cell r="C48">
            <v>12237</v>
          </cell>
        </row>
        <row r="49">
          <cell r="C49">
            <v>3036</v>
          </cell>
        </row>
        <row r="50">
          <cell r="C50">
            <v>738</v>
          </cell>
        </row>
        <row r="53">
          <cell r="C53">
            <v>415</v>
          </cell>
        </row>
        <row r="54">
          <cell r="C54">
            <v>2114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5">
        <row r="13">
          <cell r="H13">
            <v>99224</v>
          </cell>
        </row>
        <row r="14">
          <cell r="H14">
            <v>1055</v>
          </cell>
        </row>
        <row r="15">
          <cell r="H15">
            <v>23431</v>
          </cell>
        </row>
        <row r="16">
          <cell r="H16">
            <v>12156</v>
          </cell>
        </row>
        <row r="17">
          <cell r="H17">
            <v>11275</v>
          </cell>
        </row>
        <row r="18">
          <cell r="H18">
            <v>975</v>
          </cell>
        </row>
        <row r="19">
          <cell r="H19">
            <v>567</v>
          </cell>
        </row>
        <row r="21">
          <cell r="H21">
            <v>637</v>
          </cell>
        </row>
        <row r="23">
          <cell r="H23">
            <v>352</v>
          </cell>
        </row>
        <row r="24">
          <cell r="H24">
            <v>1549</v>
          </cell>
        </row>
        <row r="25">
          <cell r="H25">
            <v>109</v>
          </cell>
        </row>
        <row r="26">
          <cell r="H26">
            <v>6805</v>
          </cell>
        </row>
        <row r="27">
          <cell r="H27">
            <v>319</v>
          </cell>
        </row>
        <row r="28">
          <cell r="H28">
            <v>91</v>
          </cell>
        </row>
        <row r="29">
          <cell r="H29">
            <v>13356</v>
          </cell>
        </row>
        <row r="32">
          <cell r="H32">
            <v>3200</v>
          </cell>
        </row>
        <row r="33">
          <cell r="H33">
            <v>243</v>
          </cell>
        </row>
        <row r="34">
          <cell r="H34">
            <v>638</v>
          </cell>
        </row>
        <row r="36">
          <cell r="H36">
            <v>134</v>
          </cell>
        </row>
        <row r="37">
          <cell r="H37">
            <v>64947</v>
          </cell>
        </row>
        <row r="40">
          <cell r="H40">
            <v>17160</v>
          </cell>
        </row>
        <row r="42">
          <cell r="H42">
            <v>21</v>
          </cell>
        </row>
        <row r="43">
          <cell r="H43">
            <v>729</v>
          </cell>
        </row>
      </sheetData>
      <sheetData sheetId="6">
        <row r="9">
          <cell r="H9">
            <v>269011</v>
          </cell>
        </row>
        <row r="11">
          <cell r="G11">
            <v>244740</v>
          </cell>
          <cell r="H11">
            <v>145715</v>
          </cell>
        </row>
        <row r="22">
          <cell r="G22">
            <v>17544</v>
          </cell>
          <cell r="H22">
            <v>10547</v>
          </cell>
        </row>
        <row r="29">
          <cell r="G29">
            <v>25315</v>
          </cell>
          <cell r="H29">
            <v>15289</v>
          </cell>
        </row>
        <row r="30">
          <cell r="G30">
            <v>152964</v>
          </cell>
          <cell r="H30">
            <v>97460</v>
          </cell>
        </row>
        <row r="31">
          <cell r="G31">
            <v>8563</v>
          </cell>
          <cell r="H31">
            <v>4732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11">
          <cell r="H11">
            <v>23177</v>
          </cell>
        </row>
        <row r="12">
          <cell r="H12">
            <v>510</v>
          </cell>
        </row>
        <row r="13">
          <cell r="H13">
            <v>2957</v>
          </cell>
        </row>
        <row r="14">
          <cell r="H14">
            <v>109670</v>
          </cell>
        </row>
        <row r="15">
          <cell r="H15">
            <v>3304</v>
          </cell>
        </row>
        <row r="16">
          <cell r="H16">
            <v>18525</v>
          </cell>
        </row>
        <row r="17">
          <cell r="H17">
            <v>34304</v>
          </cell>
        </row>
        <row r="18">
          <cell r="H18">
            <v>17387</v>
          </cell>
        </row>
        <row r="19">
          <cell r="H19">
            <v>264</v>
          </cell>
        </row>
        <row r="20">
          <cell r="H20">
            <v>745</v>
          </cell>
        </row>
        <row r="21">
          <cell r="H21">
            <v>17</v>
          </cell>
        </row>
        <row r="22">
          <cell r="H22">
            <v>5878</v>
          </cell>
        </row>
        <row r="23">
          <cell r="H23">
            <v>657</v>
          </cell>
        </row>
        <row r="24">
          <cell r="H24">
            <v>1657</v>
          </cell>
        </row>
        <row r="25">
          <cell r="H25">
            <v>376</v>
          </cell>
        </row>
        <row r="26">
          <cell r="H26">
            <v>13</v>
          </cell>
        </row>
        <row r="27">
          <cell r="H27">
            <v>972</v>
          </cell>
        </row>
        <row r="31">
          <cell r="H31">
            <v>3672</v>
          </cell>
        </row>
        <row r="32">
          <cell r="H32">
            <v>338</v>
          </cell>
        </row>
        <row r="33">
          <cell r="H33">
            <v>359</v>
          </cell>
        </row>
        <row r="35">
          <cell r="H35">
            <v>13447</v>
          </cell>
        </row>
      </sheetData>
      <sheetData sheetId="6">
        <row r="34">
          <cell r="G34">
            <v>27208</v>
          </cell>
          <cell r="H34">
            <v>15727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11">
          <cell r="D11">
            <v>911366</v>
          </cell>
        </row>
        <row r="12">
          <cell r="D12">
            <v>66140</v>
          </cell>
        </row>
        <row r="13">
          <cell r="D13">
            <v>6796</v>
          </cell>
        </row>
        <row r="14">
          <cell r="D14">
            <v>838430</v>
          </cell>
        </row>
        <row r="15">
          <cell r="D15">
            <v>944273</v>
          </cell>
        </row>
        <row r="16">
          <cell r="D16">
            <v>66140</v>
          </cell>
        </row>
        <row r="17">
          <cell r="D17">
            <v>6796</v>
          </cell>
        </row>
        <row r="18">
          <cell r="D18">
            <v>871337</v>
          </cell>
        </row>
        <row r="19">
          <cell r="D19">
            <v>-32907</v>
          </cell>
        </row>
        <row r="20">
          <cell r="D20">
            <v>-3294</v>
          </cell>
        </row>
        <row r="21">
          <cell r="D21">
            <v>15377</v>
          </cell>
        </row>
        <row r="22">
          <cell r="D22">
            <v>8753</v>
          </cell>
        </row>
        <row r="23">
          <cell r="D23">
            <v>6624</v>
          </cell>
        </row>
        <row r="24">
          <cell r="D24">
            <v>21748</v>
          </cell>
        </row>
        <row r="25">
          <cell r="D25">
            <v>11830</v>
          </cell>
        </row>
        <row r="26">
          <cell r="D26">
            <v>9918</v>
          </cell>
        </row>
        <row r="27">
          <cell r="D27">
            <v>-29613</v>
          </cell>
        </row>
        <row r="28">
          <cell r="D28">
            <v>29613</v>
          </cell>
        </row>
        <row r="29">
          <cell r="D29">
            <v>36653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-3077</v>
          </cell>
        </row>
        <row r="33">
          <cell r="D33">
            <v>3077</v>
          </cell>
        </row>
        <row r="35">
          <cell r="D35">
            <v>-62322</v>
          </cell>
        </row>
        <row r="36">
          <cell r="D36">
            <v>-48694</v>
          </cell>
        </row>
        <row r="37">
          <cell r="D37">
            <v>9338</v>
          </cell>
        </row>
        <row r="38">
          <cell r="D38">
            <v>-5253</v>
          </cell>
        </row>
        <row r="39">
          <cell r="D39">
            <v>-17713</v>
          </cell>
        </row>
        <row r="40">
          <cell r="D40">
            <v>24751</v>
          </cell>
        </row>
        <row r="41">
          <cell r="D41">
            <v>-136</v>
          </cell>
        </row>
        <row r="42">
          <cell r="D42">
            <v>-6091</v>
          </cell>
        </row>
        <row r="43">
          <cell r="D43">
            <v>-16072</v>
          </cell>
        </row>
        <row r="44">
          <cell r="D44">
            <v>28</v>
          </cell>
        </row>
        <row r="45">
          <cell r="D45">
            <v>47022</v>
          </cell>
        </row>
        <row r="46">
          <cell r="D46">
            <v>74224</v>
          </cell>
        </row>
        <row r="47">
          <cell r="D47">
            <v>8540</v>
          </cell>
        </row>
        <row r="48">
          <cell r="D48">
            <v>34882</v>
          </cell>
        </row>
        <row r="49">
          <cell r="D49">
            <v>30802</v>
          </cell>
        </row>
        <row r="50">
          <cell r="D50">
            <v>-7040</v>
          </cell>
        </row>
        <row r="51">
          <cell r="D51">
            <v>-5397</v>
          </cell>
        </row>
        <row r="52">
          <cell r="D52">
            <v>-1643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9">
          <cell r="C9">
            <v>18653</v>
          </cell>
        </row>
        <row r="10">
          <cell r="C10">
            <v>4750</v>
          </cell>
        </row>
        <row r="11">
          <cell r="C11">
            <v>889</v>
          </cell>
        </row>
        <row r="12">
          <cell r="C12">
            <v>5488</v>
          </cell>
        </row>
        <row r="13">
          <cell r="C13">
            <v>1481</v>
          </cell>
        </row>
        <row r="14">
          <cell r="C14">
            <v>6045</v>
          </cell>
        </row>
        <row r="16">
          <cell r="C16">
            <v>2479</v>
          </cell>
        </row>
        <row r="17">
          <cell r="C17">
            <v>759</v>
          </cell>
        </row>
        <row r="18">
          <cell r="C18">
            <v>4684</v>
          </cell>
        </row>
        <row r="19">
          <cell r="C19">
            <v>1409</v>
          </cell>
        </row>
        <row r="20">
          <cell r="C20">
            <v>4980</v>
          </cell>
        </row>
      </sheetData>
      <sheetData sheetId="6">
        <row r="9">
          <cell r="B9">
            <v>37811</v>
          </cell>
          <cell r="C9">
            <v>22814</v>
          </cell>
        </row>
        <row r="10">
          <cell r="B10">
            <v>9157</v>
          </cell>
          <cell r="C10">
            <v>6271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5">
        <row r="9">
          <cell r="H9">
            <v>234487</v>
          </cell>
        </row>
        <row r="13">
          <cell r="H13">
            <v>86852</v>
          </cell>
        </row>
        <row r="14">
          <cell r="H14">
            <v>20424</v>
          </cell>
        </row>
        <row r="15">
          <cell r="H15">
            <v>54712</v>
          </cell>
        </row>
        <row r="16">
          <cell r="H16">
            <v>53289</v>
          </cell>
        </row>
        <row r="17">
          <cell r="H17">
            <v>1423</v>
          </cell>
        </row>
        <row r="18">
          <cell r="H18">
            <v>2140</v>
          </cell>
        </row>
        <row r="20">
          <cell r="H20">
            <v>113</v>
          </cell>
        </row>
        <row r="21">
          <cell r="H21">
            <v>2870</v>
          </cell>
        </row>
        <row r="22">
          <cell r="H22">
            <v>13447</v>
          </cell>
        </row>
        <row r="23">
          <cell r="H23">
            <v>9226</v>
          </cell>
        </row>
        <row r="24">
          <cell r="H24">
            <v>8947</v>
          </cell>
        </row>
        <row r="25">
          <cell r="H25">
            <v>4369</v>
          </cell>
        </row>
        <row r="27">
          <cell r="H27">
            <v>7475</v>
          </cell>
        </row>
        <row r="28">
          <cell r="H28">
            <v>28358</v>
          </cell>
        </row>
        <row r="30">
          <cell r="H30">
            <v>73</v>
          </cell>
        </row>
        <row r="31">
          <cell r="H31">
            <v>777</v>
          </cell>
        </row>
        <row r="32">
          <cell r="H32">
            <v>-3742</v>
          </cell>
        </row>
      </sheetData>
      <sheetData sheetId="6">
        <row r="11">
          <cell r="G11">
            <v>396151</v>
          </cell>
          <cell r="H11">
            <v>231400</v>
          </cell>
        </row>
        <row r="27">
          <cell r="H27">
            <v>9083</v>
          </cell>
        </row>
        <row r="28">
          <cell r="H28">
            <v>34790</v>
          </cell>
        </row>
        <row r="30">
          <cell r="G30">
            <v>212</v>
          </cell>
          <cell r="H30">
            <v>78</v>
          </cell>
        </row>
        <row r="31">
          <cell r="G31">
            <v>830</v>
          </cell>
          <cell r="H31">
            <v>799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10">
          <cell r="C10">
            <v>18653</v>
          </cell>
        </row>
        <row r="11">
          <cell r="C11">
            <v>16011</v>
          </cell>
        </row>
        <row r="12">
          <cell r="C12">
            <v>12237</v>
          </cell>
        </row>
        <row r="13">
          <cell r="C13">
            <v>8072</v>
          </cell>
        </row>
        <row r="14">
          <cell r="C14">
            <v>1108</v>
          </cell>
        </row>
        <row r="15">
          <cell r="C15">
            <v>270</v>
          </cell>
        </row>
        <row r="16">
          <cell r="C16">
            <v>6694</v>
          </cell>
        </row>
        <row r="17">
          <cell r="C17">
            <v>6629</v>
          </cell>
        </row>
        <row r="18">
          <cell r="C18">
            <v>65</v>
          </cell>
        </row>
        <row r="19">
          <cell r="C19">
            <v>43</v>
          </cell>
        </row>
        <row r="20">
          <cell r="C20">
            <v>4122</v>
          </cell>
        </row>
        <row r="21">
          <cell r="C21">
            <v>110</v>
          </cell>
        </row>
        <row r="22">
          <cell r="C22">
            <v>439</v>
          </cell>
        </row>
        <row r="23">
          <cell r="C23">
            <v>112</v>
          </cell>
        </row>
        <row r="24">
          <cell r="C24">
            <v>1924</v>
          </cell>
        </row>
        <row r="25">
          <cell r="C25">
            <v>1220</v>
          </cell>
        </row>
        <row r="26">
          <cell r="C26">
            <v>317</v>
          </cell>
        </row>
        <row r="27">
          <cell r="C27">
            <v>3774</v>
          </cell>
        </row>
        <row r="28">
          <cell r="C28">
            <v>3036</v>
          </cell>
        </row>
        <row r="29">
          <cell r="C29">
            <v>738</v>
          </cell>
        </row>
        <row r="30">
          <cell r="C30">
            <v>-1699</v>
          </cell>
        </row>
        <row r="31">
          <cell r="C31">
            <v>415</v>
          </cell>
        </row>
        <row r="32">
          <cell r="C32">
            <v>2114</v>
          </cell>
        </row>
        <row r="33">
          <cell r="C33">
            <v>4341</v>
          </cell>
        </row>
      </sheetData>
      <sheetData sheetId="6">
        <row r="12">
          <cell r="B12">
            <v>40158</v>
          </cell>
          <cell r="C12">
            <v>14973</v>
          </cell>
        </row>
        <row r="28">
          <cell r="B28">
            <v>8255</v>
          </cell>
          <cell r="C28">
            <v>3545</v>
          </cell>
        </row>
        <row r="29">
          <cell r="B29">
            <v>3216</v>
          </cell>
          <cell r="C29">
            <v>1210</v>
          </cell>
        </row>
        <row r="31">
          <cell r="B31">
            <v>717</v>
          </cell>
          <cell r="C31">
            <v>511</v>
          </cell>
        </row>
        <row r="32">
          <cell r="B32">
            <v>2625</v>
          </cell>
          <cell r="C32">
            <v>2210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9">
          <cell r="C9">
            <v>2549</v>
          </cell>
        </row>
        <row r="10">
          <cell r="C10">
            <v>1957</v>
          </cell>
        </row>
        <row r="11">
          <cell r="C11">
            <v>592</v>
          </cell>
        </row>
        <row r="13">
          <cell r="C13">
            <v>2654</v>
          </cell>
        </row>
        <row r="14">
          <cell r="C14">
            <v>1428</v>
          </cell>
        </row>
        <row r="15">
          <cell r="C15">
            <v>1287</v>
          </cell>
        </row>
        <row r="16">
          <cell r="C16">
            <v>165</v>
          </cell>
        </row>
        <row r="17">
          <cell r="C17">
            <v>42</v>
          </cell>
        </row>
        <row r="18">
          <cell r="C18">
            <v>1080</v>
          </cell>
        </row>
        <row r="19">
          <cell r="C19">
            <v>853</v>
          </cell>
        </row>
        <row r="20">
          <cell r="C20">
            <v>227</v>
          </cell>
        </row>
        <row r="25">
          <cell r="C25">
            <v>141</v>
          </cell>
        </row>
        <row r="29">
          <cell r="C29">
            <v>115</v>
          </cell>
        </row>
        <row r="30">
          <cell r="C30">
            <v>26</v>
          </cell>
        </row>
        <row r="31">
          <cell r="C31">
            <v>1226</v>
          </cell>
        </row>
        <row r="32">
          <cell r="C32">
            <v>993</v>
          </cell>
        </row>
        <row r="33">
          <cell r="C33">
            <v>233</v>
          </cell>
        </row>
        <row r="34">
          <cell r="C34">
            <v>-836</v>
          </cell>
        </row>
        <row r="36">
          <cell r="C36">
            <v>836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</sheetNames>
    <sheetDataSet>
      <sheetData sheetId="5">
        <row r="9">
          <cell r="C9">
            <v>1818</v>
          </cell>
        </row>
        <row r="10">
          <cell r="C10">
            <v>1811</v>
          </cell>
        </row>
        <row r="11">
          <cell r="C11">
            <v>90</v>
          </cell>
        </row>
        <row r="13">
          <cell r="C13">
            <v>3</v>
          </cell>
        </row>
        <row r="14">
          <cell r="C14">
            <v>387</v>
          </cell>
        </row>
        <row r="15">
          <cell r="C15">
            <v>17</v>
          </cell>
        </row>
        <row r="16">
          <cell r="C16">
            <v>73</v>
          </cell>
        </row>
        <row r="17">
          <cell r="C17">
            <v>1485</v>
          </cell>
        </row>
        <row r="18">
          <cell r="C18">
            <v>458</v>
          </cell>
        </row>
        <row r="19">
          <cell r="C19">
            <v>-10</v>
          </cell>
        </row>
        <row r="23">
          <cell r="C23">
            <v>59</v>
          </cell>
        </row>
        <row r="27">
          <cell r="C27">
            <v>1</v>
          </cell>
        </row>
        <row r="28">
          <cell r="C28">
            <v>7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</sheetNames>
    <sheetDataSet>
      <sheetData sheetId="5">
        <row r="9">
          <cell r="C9">
            <v>26198994</v>
          </cell>
          <cell r="H9">
            <v>26200</v>
          </cell>
        </row>
        <row r="10">
          <cell r="C10">
            <v>22758448</v>
          </cell>
          <cell r="H10">
            <v>22758</v>
          </cell>
        </row>
        <row r="11">
          <cell r="C11">
            <v>163217</v>
          </cell>
          <cell r="H11">
            <v>163</v>
          </cell>
        </row>
        <row r="12">
          <cell r="C12">
            <v>26979</v>
          </cell>
          <cell r="H12">
            <v>27</v>
          </cell>
        </row>
        <row r="13">
          <cell r="C13">
            <v>136238</v>
          </cell>
          <cell r="H13">
            <v>136</v>
          </cell>
        </row>
        <row r="14">
          <cell r="C14">
            <v>503449</v>
          </cell>
          <cell r="H14">
            <v>504</v>
          </cell>
        </row>
        <row r="15">
          <cell r="C15">
            <v>68030</v>
          </cell>
          <cell r="H15">
            <v>68</v>
          </cell>
        </row>
        <row r="16">
          <cell r="C16">
            <v>9821</v>
          </cell>
          <cell r="H16">
            <v>10</v>
          </cell>
        </row>
        <row r="17">
          <cell r="C17">
            <v>353598</v>
          </cell>
          <cell r="H17">
            <v>354</v>
          </cell>
        </row>
        <row r="18">
          <cell r="C18">
            <v>72000</v>
          </cell>
          <cell r="H18">
            <v>72</v>
          </cell>
        </row>
        <row r="19">
          <cell r="C19">
            <v>159691</v>
          </cell>
          <cell r="H19">
            <v>160</v>
          </cell>
        </row>
        <row r="20">
          <cell r="C20">
            <v>159691</v>
          </cell>
          <cell r="H20">
            <v>160</v>
          </cell>
        </row>
        <row r="21">
          <cell r="C21">
            <v>275000</v>
          </cell>
          <cell r="H21">
            <v>275</v>
          </cell>
        </row>
        <row r="22">
          <cell r="C22">
            <v>275000</v>
          </cell>
          <cell r="H22">
            <v>275</v>
          </cell>
        </row>
        <row r="23">
          <cell r="C23">
            <v>1793399</v>
          </cell>
          <cell r="H23">
            <v>1794</v>
          </cell>
        </row>
        <row r="24">
          <cell r="C24">
            <v>604038</v>
          </cell>
          <cell r="H24">
            <v>604</v>
          </cell>
        </row>
        <row r="25">
          <cell r="C25">
            <v>661560</v>
          </cell>
          <cell r="H25">
            <v>662</v>
          </cell>
        </row>
        <row r="26">
          <cell r="C26">
            <v>132528</v>
          </cell>
          <cell r="H26">
            <v>133</v>
          </cell>
        </row>
        <row r="27">
          <cell r="C27">
            <v>79606</v>
          </cell>
          <cell r="H27">
            <v>80</v>
          </cell>
        </row>
        <row r="28">
          <cell r="C28">
            <v>61247</v>
          </cell>
          <cell r="H28">
            <v>61</v>
          </cell>
        </row>
        <row r="29">
          <cell r="C29">
            <v>254420</v>
          </cell>
          <cell r="H29">
            <v>254</v>
          </cell>
        </row>
        <row r="30">
          <cell r="C30">
            <v>545790</v>
          </cell>
          <cell r="H30">
            <v>546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Sheet1"/>
    </sheetNames>
    <sheetDataSet>
      <sheetData sheetId="5">
        <row r="10">
          <cell r="H10">
            <v>675939</v>
          </cell>
        </row>
        <row r="11">
          <cell r="H11">
            <v>367529</v>
          </cell>
        </row>
        <row r="12">
          <cell r="H12">
            <v>290383</v>
          </cell>
        </row>
        <row r="13">
          <cell r="H13">
            <v>54630</v>
          </cell>
        </row>
        <row r="14">
          <cell r="H14">
            <v>54630</v>
          </cell>
        </row>
        <row r="15">
          <cell r="H15">
            <v>231648</v>
          </cell>
        </row>
        <row r="16">
          <cell r="H16">
            <v>168161</v>
          </cell>
        </row>
        <row r="17">
          <cell r="H17">
            <v>56081</v>
          </cell>
        </row>
        <row r="18">
          <cell r="H18">
            <v>7406</v>
          </cell>
        </row>
        <row r="19">
          <cell r="H19">
            <v>4105</v>
          </cell>
        </row>
        <row r="20">
          <cell r="H20">
            <v>33909</v>
          </cell>
        </row>
        <row r="21">
          <cell r="H21">
            <v>28882</v>
          </cell>
        </row>
        <row r="22">
          <cell r="H22">
            <v>14355</v>
          </cell>
        </row>
        <row r="23">
          <cell r="H23">
            <v>601</v>
          </cell>
        </row>
        <row r="24">
          <cell r="H24">
            <v>366928</v>
          </cell>
        </row>
        <row r="25">
          <cell r="H25">
            <v>342779</v>
          </cell>
        </row>
        <row r="27">
          <cell r="H27">
            <v>234080</v>
          </cell>
        </row>
        <row r="28">
          <cell r="H28">
            <v>19706</v>
          </cell>
        </row>
        <row r="29">
          <cell r="H29">
            <v>38064</v>
          </cell>
        </row>
        <row r="30">
          <cell r="H30">
            <v>1034</v>
          </cell>
        </row>
        <row r="32">
          <cell r="H32">
            <v>33768</v>
          </cell>
        </row>
        <row r="33">
          <cell r="H33">
            <v>309011</v>
          </cell>
        </row>
        <row r="34">
          <cell r="H34">
            <v>702202</v>
          </cell>
        </row>
        <row r="35">
          <cell r="H35">
            <v>669917</v>
          </cell>
        </row>
        <row r="36">
          <cell r="H36">
            <v>13486</v>
          </cell>
        </row>
        <row r="37">
          <cell r="H37">
            <v>18799</v>
          </cell>
        </row>
        <row r="38">
          <cell r="H38">
            <v>-26263</v>
          </cell>
        </row>
        <row r="39">
          <cell r="H39">
            <v>-3132</v>
          </cell>
        </row>
        <row r="40">
          <cell r="H40">
            <v>699070</v>
          </cell>
        </row>
        <row r="41">
          <cell r="H41">
            <v>-23131</v>
          </cell>
        </row>
        <row r="43">
          <cell r="H43">
            <v>3485</v>
          </cell>
        </row>
        <row r="44">
          <cell r="H44">
            <v>305</v>
          </cell>
        </row>
        <row r="45">
          <cell r="H45">
            <v>58794</v>
          </cell>
        </row>
        <row r="47">
          <cell r="H47">
            <v>383388</v>
          </cell>
        </row>
        <row r="48">
          <cell r="H48">
            <v>33768</v>
          </cell>
        </row>
        <row r="49">
          <cell r="H49">
            <v>349620</v>
          </cell>
        </row>
        <row r="50">
          <cell r="H50">
            <v>359225</v>
          </cell>
        </row>
        <row r="51">
          <cell r="H51">
            <v>33153</v>
          </cell>
        </row>
        <row r="52">
          <cell r="H52">
            <v>326072</v>
          </cell>
        </row>
        <row r="53">
          <cell r="H53">
            <v>8325</v>
          </cell>
        </row>
        <row r="54">
          <cell r="H54">
            <v>8325</v>
          </cell>
        </row>
        <row r="55">
          <cell r="H55">
            <v>15838</v>
          </cell>
        </row>
        <row r="56">
          <cell r="H56">
            <v>615</v>
          </cell>
        </row>
        <row r="57">
          <cell r="H57">
            <v>15223</v>
          </cell>
        </row>
        <row r="58">
          <cell r="H58">
            <v>-15859</v>
          </cell>
        </row>
        <row r="59">
          <cell r="H59">
            <v>-6636</v>
          </cell>
        </row>
        <row r="60">
          <cell r="H60">
            <v>12771</v>
          </cell>
        </row>
        <row r="61">
          <cell r="H61">
            <v>19407</v>
          </cell>
        </row>
        <row r="62">
          <cell r="H62">
            <v>-6636</v>
          </cell>
        </row>
        <row r="63">
          <cell r="H63">
            <v>-28630</v>
          </cell>
        </row>
        <row r="64">
          <cell r="H64">
            <v>353183</v>
          </cell>
        </row>
        <row r="65">
          <cell r="H65">
            <v>601</v>
          </cell>
        </row>
        <row r="66">
          <cell r="H66">
            <v>352582</v>
          </cell>
        </row>
        <row r="67">
          <cell r="H67">
            <v>344446</v>
          </cell>
        </row>
        <row r="68">
          <cell r="H68">
            <v>601</v>
          </cell>
        </row>
        <row r="69">
          <cell r="H69">
            <v>343845</v>
          </cell>
        </row>
        <row r="70">
          <cell r="H70">
            <v>5161</v>
          </cell>
        </row>
        <row r="71">
          <cell r="H71">
            <v>5161</v>
          </cell>
        </row>
        <row r="72">
          <cell r="H72">
            <v>3576</v>
          </cell>
        </row>
        <row r="73">
          <cell r="H73">
            <v>3576</v>
          </cell>
        </row>
        <row r="74">
          <cell r="H74">
            <v>-10404</v>
          </cell>
        </row>
        <row r="75">
          <cell r="H75">
            <v>3504</v>
          </cell>
        </row>
        <row r="76">
          <cell r="H76">
            <v>3504</v>
          </cell>
        </row>
        <row r="77">
          <cell r="H77">
            <v>3504</v>
          </cell>
        </row>
        <row r="78">
          <cell r="H78">
            <v>-13908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maijs (2)"/>
      <sheetName val="aprīlis"/>
      <sheetName val="maijs"/>
      <sheetName val="jūnijs"/>
      <sheetName val="jūlijs"/>
      <sheetName val="Sheet1"/>
    </sheetNames>
    <sheetDataSet>
      <sheetData sheetId="7">
        <row r="12">
          <cell r="D12">
            <v>54629542.91</v>
          </cell>
          <cell r="K12">
            <v>54630</v>
          </cell>
        </row>
        <row r="13">
          <cell r="D13">
            <v>231648478.78</v>
          </cell>
        </row>
        <row r="14">
          <cell r="D14">
            <v>168160789.67</v>
          </cell>
          <cell r="K14">
            <v>168161</v>
          </cell>
        </row>
        <row r="15">
          <cell r="D15">
            <v>56081394.03</v>
          </cell>
          <cell r="K15">
            <v>56081</v>
          </cell>
        </row>
        <row r="16">
          <cell r="D16">
            <v>7406295.08</v>
          </cell>
          <cell r="K16">
            <v>7406</v>
          </cell>
        </row>
        <row r="19">
          <cell r="D19">
            <v>4105419.76</v>
          </cell>
          <cell r="K19">
            <v>4105</v>
          </cell>
        </row>
        <row r="20">
          <cell r="D20">
            <v>11158.77</v>
          </cell>
          <cell r="K20">
            <v>11</v>
          </cell>
        </row>
        <row r="21">
          <cell r="D21">
            <v>33908210.22</v>
          </cell>
        </row>
        <row r="22">
          <cell r="D22">
            <v>1304691.1</v>
          </cell>
          <cell r="K22">
            <v>1305</v>
          </cell>
        </row>
        <row r="23">
          <cell r="D23">
            <v>7693713.97</v>
          </cell>
          <cell r="K23">
            <v>7694</v>
          </cell>
        </row>
        <row r="24">
          <cell r="D24">
            <v>8639786.01</v>
          </cell>
          <cell r="K24">
            <v>8640</v>
          </cell>
        </row>
        <row r="25">
          <cell r="D25">
            <v>485650.78</v>
          </cell>
          <cell r="K25">
            <v>486</v>
          </cell>
        </row>
        <row r="26">
          <cell r="D26">
            <v>289891.71</v>
          </cell>
          <cell r="K26">
            <v>290</v>
          </cell>
        </row>
        <row r="27">
          <cell r="D27">
            <v>4055338.56</v>
          </cell>
          <cell r="K27">
            <v>4055</v>
          </cell>
        </row>
        <row r="28">
          <cell r="D28">
            <v>1318726.44</v>
          </cell>
          <cell r="K28">
            <v>1319</v>
          </cell>
        </row>
        <row r="29">
          <cell r="D29">
            <v>2382089.66</v>
          </cell>
          <cell r="K29">
            <v>2382</v>
          </cell>
        </row>
        <row r="30">
          <cell r="D30">
            <v>125252.5</v>
          </cell>
          <cell r="K30">
            <v>125</v>
          </cell>
        </row>
        <row r="31">
          <cell r="D31">
            <v>3686282.82</v>
          </cell>
          <cell r="K31">
            <v>3686</v>
          </cell>
        </row>
        <row r="32">
          <cell r="D32">
            <v>7752855.27</v>
          </cell>
          <cell r="K32">
            <v>7753</v>
          </cell>
        </row>
        <row r="33">
          <cell r="D33">
            <v>600600</v>
          </cell>
          <cell r="K33">
            <v>601</v>
          </cell>
        </row>
        <row r="34">
          <cell r="D34">
            <v>4068000</v>
          </cell>
          <cell r="K34">
            <v>4068</v>
          </cell>
        </row>
        <row r="35">
          <cell r="D35">
            <v>116109</v>
          </cell>
          <cell r="K35">
            <v>116</v>
          </cell>
        </row>
        <row r="36">
          <cell r="D36">
            <v>100000</v>
          </cell>
          <cell r="K36">
            <v>100</v>
          </cell>
        </row>
        <row r="38">
          <cell r="D38">
            <v>28882310.22</v>
          </cell>
          <cell r="K38">
            <v>28882</v>
          </cell>
        </row>
        <row r="39">
          <cell r="D39">
            <v>28882310.22</v>
          </cell>
          <cell r="K39">
            <v>28882</v>
          </cell>
        </row>
        <row r="40">
          <cell r="D40">
            <v>14355077.73</v>
          </cell>
          <cell r="K40">
            <v>14355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jūnijs"/>
      <sheetName val="aizd_atm"/>
      <sheetName val="marts"/>
      <sheetName val="aprīlis"/>
      <sheetName val="maijs"/>
      <sheetName val="jūlijs"/>
      <sheetName val="Sheet1"/>
    </sheetNames>
    <sheetDataSet>
      <sheetData sheetId="5">
        <row r="12">
          <cell r="D12">
            <v>362303118</v>
          </cell>
          <cell r="K12">
            <v>362303</v>
          </cell>
        </row>
        <row r="13">
          <cell r="D13">
            <v>593253.19</v>
          </cell>
          <cell r="K13">
            <v>593</v>
          </cell>
        </row>
        <row r="14">
          <cell r="D14">
            <v>28881915.4</v>
          </cell>
          <cell r="K14">
            <v>28882</v>
          </cell>
        </row>
        <row r="15">
          <cell r="D15">
            <v>7638778.64</v>
          </cell>
          <cell r="K15">
            <v>7639</v>
          </cell>
        </row>
        <row r="16">
          <cell r="D16">
            <v>383388280.27000004</v>
          </cell>
          <cell r="K16">
            <v>383388</v>
          </cell>
        </row>
        <row r="17">
          <cell r="D17">
            <v>359225427.1</v>
          </cell>
        </row>
        <row r="18">
          <cell r="D18">
            <v>173212934.07</v>
          </cell>
        </row>
        <row r="19">
          <cell r="D19">
            <v>80752612.09</v>
          </cell>
          <cell r="K19">
            <v>80753</v>
          </cell>
        </row>
        <row r="20">
          <cell r="D20">
            <v>20042118.05</v>
          </cell>
          <cell r="K20">
            <v>20042</v>
          </cell>
        </row>
        <row r="21">
          <cell r="D21">
            <v>72418203.93</v>
          </cell>
          <cell r="K21">
            <v>72418</v>
          </cell>
        </row>
        <row r="22">
          <cell r="D22">
            <v>22718587.67</v>
          </cell>
        </row>
        <row r="23">
          <cell r="D23">
            <v>9153293.38</v>
          </cell>
          <cell r="K23">
            <v>9153</v>
          </cell>
        </row>
        <row r="24">
          <cell r="D24">
            <v>13480491.29</v>
          </cell>
          <cell r="K24">
            <v>13480</v>
          </cell>
        </row>
        <row r="25">
          <cell r="D25">
            <v>84803</v>
          </cell>
          <cell r="K25">
            <v>85</v>
          </cell>
        </row>
        <row r="26">
          <cell r="D26">
            <v>163293905.35999998</v>
          </cell>
        </row>
        <row r="27">
          <cell r="D27">
            <v>11175148.86</v>
          </cell>
          <cell r="K27">
            <v>11175</v>
          </cell>
        </row>
        <row r="28">
          <cell r="D28">
            <v>59414271</v>
          </cell>
          <cell r="K28">
            <v>59414</v>
          </cell>
        </row>
        <row r="29">
          <cell r="D29">
            <v>3793835</v>
          </cell>
          <cell r="K29">
            <v>3794</v>
          </cell>
        </row>
        <row r="30">
          <cell r="D30">
            <v>13871150.36</v>
          </cell>
          <cell r="K30">
            <v>13871</v>
          </cell>
        </row>
        <row r="32">
          <cell r="D32">
            <v>38391854.32</v>
          </cell>
          <cell r="K32">
            <v>38393</v>
          </cell>
        </row>
        <row r="33">
          <cell r="D33">
            <v>950645.56</v>
          </cell>
          <cell r="K33">
            <v>951</v>
          </cell>
        </row>
        <row r="34">
          <cell r="D34">
            <v>27812557.13</v>
          </cell>
          <cell r="K34">
            <v>27813</v>
          </cell>
        </row>
        <row r="35">
          <cell r="D35">
            <v>4032027.41</v>
          </cell>
          <cell r="K35">
            <v>4032</v>
          </cell>
        </row>
        <row r="36">
          <cell r="D36">
            <v>5596624.22</v>
          </cell>
          <cell r="K36">
            <v>5597</v>
          </cell>
        </row>
        <row r="37">
          <cell r="D37">
            <v>3494417.82</v>
          </cell>
          <cell r="K37">
            <v>3494</v>
          </cell>
        </row>
        <row r="38">
          <cell r="D38">
            <v>33153228</v>
          </cell>
          <cell r="K38">
            <v>33153</v>
          </cell>
        </row>
        <row r="39">
          <cell r="D39">
            <v>33153228</v>
          </cell>
          <cell r="K39">
            <v>33153</v>
          </cell>
        </row>
        <row r="41">
          <cell r="D41">
            <v>24162853.17</v>
          </cell>
        </row>
        <row r="42">
          <cell r="D42">
            <v>8324482.68</v>
          </cell>
          <cell r="K42">
            <v>8325</v>
          </cell>
        </row>
        <row r="43">
          <cell r="D43">
            <v>15838370.49</v>
          </cell>
          <cell r="K43">
            <v>15838</v>
          </cell>
        </row>
        <row r="44">
          <cell r="D44">
            <v>614680</v>
          </cell>
          <cell r="K44">
            <v>615</v>
          </cell>
        </row>
        <row r="45">
          <cell r="D45">
            <v>2871496.77</v>
          </cell>
          <cell r="K45">
            <v>2871</v>
          </cell>
        </row>
        <row r="46">
          <cell r="D46">
            <v>12770965</v>
          </cell>
          <cell r="K46">
            <v>12771</v>
          </cell>
        </row>
        <row r="47">
          <cell r="D47">
            <v>33958902</v>
          </cell>
          <cell r="K47">
            <v>33959</v>
          </cell>
        </row>
        <row r="48">
          <cell r="D48">
            <v>22694713</v>
          </cell>
          <cell r="K48">
            <v>22695</v>
          </cell>
        </row>
        <row r="49">
          <cell r="D49">
            <v>21187937</v>
          </cell>
          <cell r="K49">
            <v>21188</v>
          </cell>
        </row>
        <row r="50">
          <cell r="D50">
            <v>3287816</v>
          </cell>
          <cell r="K50">
            <v>3288</v>
          </cell>
        </row>
        <row r="51">
          <cell r="D51">
            <v>-28630205</v>
          </cell>
          <cell r="K51">
            <v>-28630</v>
          </cell>
        </row>
        <row r="52">
          <cell r="D52">
            <v>28630205</v>
          </cell>
        </row>
        <row r="53">
          <cell r="D53">
            <v>3485000</v>
          </cell>
          <cell r="K53">
            <v>3485</v>
          </cell>
        </row>
        <row r="54">
          <cell r="D54">
            <v>304893.67</v>
          </cell>
          <cell r="K54">
            <v>305</v>
          </cell>
        </row>
        <row r="55">
          <cell r="D55">
            <v>24840311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  <sheetName val="jūlijs"/>
    </sheetNames>
    <sheetDataSet>
      <sheetData sheetId="5">
        <row r="11">
          <cell r="D11">
            <v>38456047.8</v>
          </cell>
          <cell r="K11">
            <v>38456</v>
          </cell>
        </row>
        <row r="12">
          <cell r="D12">
            <v>22591004.77</v>
          </cell>
          <cell r="K12">
            <v>22591</v>
          </cell>
        </row>
        <row r="13">
          <cell r="D13">
            <v>53174179.01</v>
          </cell>
          <cell r="K13">
            <v>53174</v>
          </cell>
        </row>
        <row r="14">
          <cell r="D14">
            <v>45355369.92</v>
          </cell>
          <cell r="K14">
            <v>45355</v>
          </cell>
        </row>
        <row r="15">
          <cell r="D15">
            <v>35369782.23</v>
          </cell>
          <cell r="K15">
            <v>35369</v>
          </cell>
        </row>
        <row r="16">
          <cell r="D16">
            <v>40854780.64</v>
          </cell>
          <cell r="K16">
            <v>40855</v>
          </cell>
        </row>
        <row r="17">
          <cell r="D17">
            <v>3808749.16</v>
          </cell>
          <cell r="K17">
            <v>3809</v>
          </cell>
        </row>
        <row r="18">
          <cell r="D18">
            <v>11658413.63</v>
          </cell>
          <cell r="K18">
            <v>11658</v>
          </cell>
        </row>
        <row r="19">
          <cell r="D19">
            <v>91649.13</v>
          </cell>
          <cell r="K19">
            <v>92</v>
          </cell>
        </row>
        <row r="20">
          <cell r="D20">
            <v>28970118.57</v>
          </cell>
          <cell r="K20">
            <v>28970</v>
          </cell>
        </row>
        <row r="21">
          <cell r="D21">
            <v>403559.67</v>
          </cell>
          <cell r="K21">
            <v>404</v>
          </cell>
        </row>
        <row r="22">
          <cell r="D22">
            <v>4839134.72</v>
          </cell>
          <cell r="K22">
            <v>4839</v>
          </cell>
        </row>
        <row r="23">
          <cell r="D23">
            <v>8673902.18</v>
          </cell>
          <cell r="K23">
            <v>8674</v>
          </cell>
        </row>
        <row r="24">
          <cell r="D24">
            <v>101912554</v>
          </cell>
          <cell r="K24">
            <v>101913</v>
          </cell>
        </row>
        <row r="25">
          <cell r="D25">
            <v>12770965</v>
          </cell>
          <cell r="K25">
            <v>12771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</sheetNames>
    <sheetDataSet>
      <sheetData sheetId="5">
        <row r="21">
          <cell r="D21">
            <v>1006309</v>
          </cell>
          <cell r="J21">
            <v>1006</v>
          </cell>
        </row>
        <row r="23">
          <cell r="D23">
            <v>878166</v>
          </cell>
          <cell r="J23">
            <v>878</v>
          </cell>
        </row>
        <row r="25">
          <cell r="D25">
            <v>13188</v>
          </cell>
          <cell r="J25">
            <v>13</v>
          </cell>
        </row>
        <row r="30">
          <cell r="D30">
            <v>744571</v>
          </cell>
          <cell r="J30">
            <v>745</v>
          </cell>
        </row>
        <row r="31">
          <cell r="D31">
            <v>104225</v>
          </cell>
          <cell r="J31">
            <v>104</v>
          </cell>
        </row>
        <row r="32">
          <cell r="D32">
            <v>62970</v>
          </cell>
          <cell r="J32">
            <v>63</v>
          </cell>
        </row>
        <row r="33">
          <cell r="D33">
            <v>86618</v>
          </cell>
          <cell r="J33">
            <v>87</v>
          </cell>
        </row>
        <row r="34">
          <cell r="D34">
            <v>84239</v>
          </cell>
          <cell r="J34">
            <v>84</v>
          </cell>
        </row>
        <row r="35">
          <cell r="D35">
            <v>110008</v>
          </cell>
          <cell r="J35">
            <v>110</v>
          </cell>
        </row>
        <row r="36">
          <cell r="D36">
            <v>129386</v>
          </cell>
          <cell r="J36">
            <v>129</v>
          </cell>
        </row>
        <row r="38">
          <cell r="D38">
            <v>374348</v>
          </cell>
          <cell r="J38">
            <v>374</v>
          </cell>
        </row>
        <row r="41">
          <cell r="D41">
            <v>815465</v>
          </cell>
          <cell r="J41">
            <v>815</v>
          </cell>
        </row>
        <row r="43">
          <cell r="D43">
            <v>29817</v>
          </cell>
          <cell r="J43">
            <v>30</v>
          </cell>
        </row>
        <row r="47">
          <cell r="D47">
            <v>10681</v>
          </cell>
          <cell r="J47">
            <v>11</v>
          </cell>
        </row>
        <row r="48">
          <cell r="D48">
            <v>65778</v>
          </cell>
          <cell r="J48">
            <v>66</v>
          </cell>
        </row>
        <row r="52">
          <cell r="D52">
            <v>991160</v>
          </cell>
          <cell r="J52">
            <v>991</v>
          </cell>
        </row>
        <row r="54">
          <cell r="D54">
            <v>709624</v>
          </cell>
          <cell r="J54">
            <v>710</v>
          </cell>
        </row>
        <row r="55">
          <cell r="D55">
            <v>200000</v>
          </cell>
          <cell r="J55">
            <v>200</v>
          </cell>
        </row>
        <row r="56">
          <cell r="D56">
            <v>148502</v>
          </cell>
          <cell r="J56">
            <v>149</v>
          </cell>
        </row>
        <row r="59">
          <cell r="D59">
            <v>643721</v>
          </cell>
          <cell r="J59">
            <v>644</v>
          </cell>
        </row>
        <row r="60">
          <cell r="J60">
            <v>0</v>
          </cell>
        </row>
        <row r="62">
          <cell r="D62">
            <v>588273</v>
          </cell>
          <cell r="J62">
            <v>588</v>
          </cell>
        </row>
        <row r="63">
          <cell r="D63">
            <v>45286</v>
          </cell>
          <cell r="J63">
            <v>45</v>
          </cell>
        </row>
        <row r="64">
          <cell r="D64">
            <v>992</v>
          </cell>
        </row>
        <row r="65">
          <cell r="D65">
            <v>3503854</v>
          </cell>
          <cell r="J65">
            <v>3504</v>
          </cell>
        </row>
        <row r="67">
          <cell r="D67">
            <v>3622726</v>
          </cell>
          <cell r="J67">
            <v>3623</v>
          </cell>
        </row>
        <row r="71">
          <cell r="D71">
            <v>207954</v>
          </cell>
          <cell r="J71">
            <v>208</v>
          </cell>
        </row>
        <row r="72">
          <cell r="D72">
            <v>134269</v>
          </cell>
          <cell r="J72">
            <v>134</v>
          </cell>
        </row>
        <row r="74">
          <cell r="D74">
            <v>212316</v>
          </cell>
          <cell r="J74">
            <v>212</v>
          </cell>
        </row>
        <row r="75">
          <cell r="D75">
            <v>52999</v>
          </cell>
          <cell r="J75">
            <v>53</v>
          </cell>
        </row>
        <row r="79">
          <cell r="D79">
            <v>4887043</v>
          </cell>
          <cell r="J79">
            <v>4887</v>
          </cell>
        </row>
        <row r="80">
          <cell r="D80">
            <v>18600568</v>
          </cell>
          <cell r="J80">
            <v>18601</v>
          </cell>
        </row>
        <row r="81">
          <cell r="D81">
            <v>40144</v>
          </cell>
          <cell r="J81">
            <v>40</v>
          </cell>
        </row>
        <row r="82">
          <cell r="D82">
            <v>1033629</v>
          </cell>
          <cell r="J82">
            <v>1034</v>
          </cell>
        </row>
        <row r="84">
          <cell r="D84">
            <v>23977206</v>
          </cell>
          <cell r="J84">
            <v>23977</v>
          </cell>
        </row>
        <row r="85">
          <cell r="D85">
            <v>1801363</v>
          </cell>
          <cell r="J85">
            <v>1801</v>
          </cell>
        </row>
        <row r="86">
          <cell r="D86">
            <v>6568817</v>
          </cell>
          <cell r="J86">
            <v>6569</v>
          </cell>
        </row>
        <row r="88">
          <cell r="D88">
            <v>6066066</v>
          </cell>
          <cell r="J88">
            <v>6066</v>
          </cell>
        </row>
        <row r="91">
          <cell r="D91">
            <v>420668</v>
          </cell>
          <cell r="J91">
            <v>421</v>
          </cell>
        </row>
        <row r="93">
          <cell r="D93">
            <v>98065</v>
          </cell>
          <cell r="J93">
            <v>98</v>
          </cell>
        </row>
        <row r="94">
          <cell r="D94">
            <v>1459</v>
          </cell>
          <cell r="J94">
            <v>1</v>
          </cell>
        </row>
        <row r="97">
          <cell r="D97">
            <v>1018800</v>
          </cell>
          <cell r="J97">
            <v>1019</v>
          </cell>
        </row>
        <row r="100">
          <cell r="D100">
            <v>71395</v>
          </cell>
          <cell r="J100">
            <v>71</v>
          </cell>
        </row>
        <row r="104">
          <cell r="D104">
            <v>38064351</v>
          </cell>
          <cell r="J104">
            <v>38064</v>
          </cell>
        </row>
        <row r="105">
          <cell r="D105">
            <v>28958831</v>
          </cell>
          <cell r="J105">
            <v>28959</v>
          </cell>
        </row>
        <row r="106">
          <cell r="D106">
            <v>1463434</v>
          </cell>
          <cell r="J106">
            <v>1464</v>
          </cell>
        </row>
        <row r="109">
          <cell r="D109">
            <v>68893468</v>
          </cell>
          <cell r="J109">
            <v>68893</v>
          </cell>
        </row>
        <row r="110">
          <cell r="D110">
            <v>625081</v>
          </cell>
          <cell r="J110">
            <v>625</v>
          </cell>
        </row>
        <row r="111">
          <cell r="D111">
            <v>1288276</v>
          </cell>
          <cell r="J111">
            <v>1288</v>
          </cell>
        </row>
        <row r="113">
          <cell r="D113">
            <v>830208</v>
          </cell>
          <cell r="J113">
            <v>830</v>
          </cell>
        </row>
        <row r="116">
          <cell r="D116">
            <v>234079494</v>
          </cell>
          <cell r="J116">
            <v>234080</v>
          </cell>
        </row>
        <row r="117">
          <cell r="D117">
            <v>3174196</v>
          </cell>
          <cell r="J117">
            <v>3174</v>
          </cell>
        </row>
        <row r="118">
          <cell r="D118">
            <v>1080918</v>
          </cell>
          <cell r="J118">
            <v>1081</v>
          </cell>
        </row>
        <row r="119">
          <cell r="D119">
            <v>246684241</v>
          </cell>
          <cell r="J119">
            <v>246684</v>
          </cell>
        </row>
        <row r="120">
          <cell r="D120">
            <v>246189774</v>
          </cell>
          <cell r="J120">
            <v>246190</v>
          </cell>
        </row>
        <row r="121">
          <cell r="D121">
            <v>0</v>
          </cell>
        </row>
        <row r="122">
          <cell r="D122">
            <v>494467</v>
          </cell>
          <cell r="J122">
            <v>494</v>
          </cell>
        </row>
        <row r="123">
          <cell r="D123">
            <v>-8349633</v>
          </cell>
          <cell r="J123">
            <v>-8349</v>
          </cell>
        </row>
        <row r="124">
          <cell r="D124">
            <v>11503277</v>
          </cell>
          <cell r="J124">
            <v>11503</v>
          </cell>
        </row>
        <row r="127">
          <cell r="D127">
            <v>180620227</v>
          </cell>
          <cell r="J127">
            <v>180620</v>
          </cell>
        </row>
        <row r="128">
          <cell r="D128">
            <v>1873963</v>
          </cell>
          <cell r="J128">
            <v>1874</v>
          </cell>
        </row>
        <row r="129">
          <cell r="D129">
            <v>10046959</v>
          </cell>
          <cell r="J129">
            <v>10047</v>
          </cell>
        </row>
        <row r="131">
          <cell r="D131">
            <v>199194122</v>
          </cell>
          <cell r="J131">
            <v>199194</v>
          </cell>
        </row>
        <row r="133">
          <cell r="D133">
            <v>6657169</v>
          </cell>
          <cell r="J133">
            <v>6657</v>
          </cell>
        </row>
        <row r="136">
          <cell r="D136">
            <v>14301056</v>
          </cell>
          <cell r="J136">
            <v>14301</v>
          </cell>
        </row>
        <row r="137">
          <cell r="D137">
            <v>202433</v>
          </cell>
          <cell r="J137">
            <v>202</v>
          </cell>
        </row>
        <row r="138">
          <cell r="D138">
            <v>2291599</v>
          </cell>
          <cell r="J138">
            <v>2292</v>
          </cell>
        </row>
        <row r="139">
          <cell r="D139">
            <v>14286647</v>
          </cell>
          <cell r="J139">
            <v>14287</v>
          </cell>
        </row>
        <row r="140">
          <cell r="D140">
            <v>14286647</v>
          </cell>
          <cell r="J140">
            <v>14287</v>
          </cell>
        </row>
        <row r="141">
          <cell r="D141">
            <v>2508441</v>
          </cell>
          <cell r="J141">
            <v>2508</v>
          </cell>
        </row>
        <row r="144">
          <cell r="D144">
            <v>614973</v>
          </cell>
          <cell r="J144">
            <v>615</v>
          </cell>
        </row>
        <row r="145">
          <cell r="D145">
            <v>608556</v>
          </cell>
          <cell r="J145">
            <v>609</v>
          </cell>
        </row>
        <row r="146">
          <cell r="D146">
            <v>6417</v>
          </cell>
          <cell r="J146">
            <v>6</v>
          </cell>
        </row>
        <row r="147">
          <cell r="D147">
            <v>457961</v>
          </cell>
          <cell r="J147">
            <v>458</v>
          </cell>
        </row>
        <row r="148">
          <cell r="D148">
            <v>457961</v>
          </cell>
          <cell r="J148">
            <v>458</v>
          </cell>
        </row>
        <row r="149">
          <cell r="D149">
            <v>157012</v>
          </cell>
          <cell r="J149">
            <v>157</v>
          </cell>
        </row>
        <row r="151">
          <cell r="D151">
            <v>38786495</v>
          </cell>
          <cell r="J151">
            <v>38787</v>
          </cell>
        </row>
        <row r="152">
          <cell r="D152">
            <v>38549655</v>
          </cell>
          <cell r="J152">
            <v>38550</v>
          </cell>
        </row>
        <row r="153">
          <cell r="D153">
            <v>236840</v>
          </cell>
          <cell r="J153">
            <v>237</v>
          </cell>
        </row>
        <row r="154">
          <cell r="D154">
            <v>43432710</v>
          </cell>
          <cell r="J154">
            <v>43433</v>
          </cell>
        </row>
        <row r="155">
          <cell r="D155">
            <v>43432710</v>
          </cell>
          <cell r="J155">
            <v>43433</v>
          </cell>
        </row>
        <row r="156">
          <cell r="D156">
            <v>-4646215</v>
          </cell>
          <cell r="J156">
            <v>-4646</v>
          </cell>
        </row>
        <row r="157">
          <cell r="D157">
            <v>4646417</v>
          </cell>
          <cell r="J157">
            <v>4646</v>
          </cell>
        </row>
        <row r="159">
          <cell r="D159">
            <v>4877412</v>
          </cell>
          <cell r="J159">
            <v>4878</v>
          </cell>
        </row>
        <row r="160">
          <cell r="D160">
            <v>1097800</v>
          </cell>
          <cell r="J160">
            <v>1098</v>
          </cell>
        </row>
        <row r="161">
          <cell r="D161">
            <v>3779612</v>
          </cell>
          <cell r="J161">
            <v>3780</v>
          </cell>
        </row>
        <row r="162">
          <cell r="D162">
            <v>4593311</v>
          </cell>
          <cell r="J162">
            <v>4593</v>
          </cell>
        </row>
        <row r="163">
          <cell r="D163">
            <v>4098844</v>
          </cell>
          <cell r="J163">
            <v>4099</v>
          </cell>
        </row>
        <row r="165">
          <cell r="D165">
            <v>494467</v>
          </cell>
          <cell r="J165">
            <v>494</v>
          </cell>
        </row>
        <row r="166">
          <cell r="D166">
            <v>284101</v>
          </cell>
          <cell r="J166">
            <v>285</v>
          </cell>
        </row>
        <row r="167">
          <cell r="D167">
            <v>199691</v>
          </cell>
          <cell r="J167">
            <v>200</v>
          </cell>
        </row>
        <row r="170">
          <cell r="D170">
            <v>3791452</v>
          </cell>
          <cell r="J170">
            <v>3791</v>
          </cell>
        </row>
        <row r="171">
          <cell r="D171">
            <v>3536237</v>
          </cell>
          <cell r="J171">
            <v>3536</v>
          </cell>
        </row>
        <row r="172">
          <cell r="D172">
            <v>190927</v>
          </cell>
          <cell r="J172">
            <v>191</v>
          </cell>
        </row>
        <row r="173">
          <cell r="D173">
            <v>64288</v>
          </cell>
          <cell r="J173">
            <v>64</v>
          </cell>
        </row>
        <row r="174">
          <cell r="D174">
            <v>1614991</v>
          </cell>
          <cell r="J174">
            <v>1615</v>
          </cell>
        </row>
        <row r="175">
          <cell r="D175">
            <v>1518218</v>
          </cell>
          <cell r="J175">
            <v>1518</v>
          </cell>
        </row>
        <row r="176">
          <cell r="D176">
            <v>96773</v>
          </cell>
          <cell r="J176">
            <v>97</v>
          </cell>
        </row>
        <row r="179">
          <cell r="D179">
            <v>914116</v>
          </cell>
          <cell r="J179">
            <v>914</v>
          </cell>
        </row>
        <row r="180">
          <cell r="D180">
            <v>595141</v>
          </cell>
          <cell r="J180">
            <v>595</v>
          </cell>
        </row>
        <row r="181">
          <cell r="D181">
            <v>318975</v>
          </cell>
          <cell r="J181">
            <v>319</v>
          </cell>
        </row>
        <row r="182">
          <cell r="D182">
            <v>913489</v>
          </cell>
          <cell r="J182">
            <v>913</v>
          </cell>
        </row>
        <row r="183">
          <cell r="D183">
            <v>913489</v>
          </cell>
          <cell r="J183">
            <v>913</v>
          </cell>
        </row>
        <row r="185">
          <cell r="D185">
            <v>54061</v>
          </cell>
          <cell r="J185">
            <v>54</v>
          </cell>
        </row>
        <row r="186">
          <cell r="D186">
            <v>54061</v>
          </cell>
          <cell r="J186">
            <v>54</v>
          </cell>
        </row>
        <row r="187">
          <cell r="D187">
            <v>62993</v>
          </cell>
          <cell r="J187">
            <v>63</v>
          </cell>
        </row>
        <row r="188">
          <cell r="D188">
            <v>62823</v>
          </cell>
          <cell r="J188">
            <v>63</v>
          </cell>
        </row>
        <row r="189">
          <cell r="D189">
            <v>5449</v>
          </cell>
          <cell r="J189">
            <v>5</v>
          </cell>
        </row>
        <row r="190">
          <cell r="D190">
            <v>170</v>
          </cell>
        </row>
        <row r="191">
          <cell r="D191">
            <v>-8932</v>
          </cell>
          <cell r="J191">
            <v>-9</v>
          </cell>
        </row>
        <row r="192">
          <cell r="D192">
            <v>27435</v>
          </cell>
          <cell r="J192">
            <v>27</v>
          </cell>
        </row>
      </sheetData>
      <sheetData sheetId="6">
        <row r="20">
          <cell r="D20">
            <v>1138244</v>
          </cell>
        </row>
        <row r="28">
          <cell r="D28">
            <v>1621958</v>
          </cell>
        </row>
        <row r="40">
          <cell r="D40">
            <v>1237550</v>
          </cell>
        </row>
        <row r="45">
          <cell r="D45">
            <v>109721</v>
          </cell>
        </row>
        <row r="51">
          <cell r="D51">
            <v>1047825</v>
          </cell>
        </row>
        <row r="58">
          <cell r="D58">
            <v>1009805</v>
          </cell>
        </row>
        <row r="70">
          <cell r="D70">
            <v>382341</v>
          </cell>
        </row>
        <row r="79">
          <cell r="D79">
            <v>5640095</v>
          </cell>
        </row>
        <row r="80">
          <cell r="D80">
            <v>22618784</v>
          </cell>
        </row>
        <row r="81">
          <cell r="D81">
            <v>53010</v>
          </cell>
        </row>
        <row r="82">
          <cell r="D82">
            <v>1460643</v>
          </cell>
        </row>
        <row r="90">
          <cell r="D90">
            <v>489150</v>
          </cell>
        </row>
        <row r="96">
          <cell r="D96">
            <v>1230535</v>
          </cell>
        </row>
        <row r="104">
          <cell r="D104">
            <v>45019704</v>
          </cell>
        </row>
        <row r="105">
          <cell r="D105">
            <v>33617966</v>
          </cell>
        </row>
        <row r="106">
          <cell r="D106">
            <v>1594025</v>
          </cell>
        </row>
        <row r="115">
          <cell r="D115">
            <v>280583715</v>
          </cell>
        </row>
        <row r="171">
          <cell r="D171">
            <v>4093879</v>
          </cell>
        </row>
        <row r="172">
          <cell r="D172">
            <v>214390</v>
          </cell>
        </row>
        <row r="173">
          <cell r="D173">
            <v>80469</v>
          </cell>
        </row>
        <row r="179">
          <cell r="D179">
            <v>1058782</v>
          </cell>
        </row>
        <row r="185">
          <cell r="D185">
            <v>-10007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Sheet1"/>
    </sheetNames>
    <sheetDataSet>
      <sheetData sheetId="6">
        <row r="6">
          <cell r="F6">
            <v>489150</v>
          </cell>
          <cell r="G6">
            <v>1230535</v>
          </cell>
          <cell r="K6">
            <v>1138244</v>
          </cell>
          <cell r="N6">
            <v>1047825</v>
          </cell>
          <cell r="O6">
            <v>1009805</v>
          </cell>
          <cell r="P6">
            <v>-10007</v>
          </cell>
          <cell r="X6">
            <v>1237550</v>
          </cell>
        </row>
        <row r="7">
          <cell r="C7">
            <v>292618318</v>
          </cell>
          <cell r="D7">
            <v>81663817</v>
          </cell>
          <cell r="E7">
            <v>2418993</v>
          </cell>
          <cell r="F7">
            <v>273370</v>
          </cell>
          <cell r="G7">
            <v>506186</v>
          </cell>
          <cell r="I7">
            <v>35595653</v>
          </cell>
          <cell r="K7">
            <v>1010018</v>
          </cell>
          <cell r="L7">
            <v>330371</v>
          </cell>
          <cell r="N7">
            <v>950217</v>
          </cell>
          <cell r="O7">
            <v>933986</v>
          </cell>
          <cell r="P7">
            <v>71073</v>
          </cell>
          <cell r="Q7">
            <v>1061683</v>
          </cell>
          <cell r="W7">
            <v>432239</v>
          </cell>
          <cell r="X7">
            <v>29817</v>
          </cell>
        </row>
        <row r="8">
          <cell r="C8">
            <v>291789231</v>
          </cell>
          <cell r="D8">
            <v>80198483</v>
          </cell>
          <cell r="E8">
            <v>2238295</v>
          </cell>
          <cell r="F8">
            <v>271911</v>
          </cell>
          <cell r="G8">
            <v>425000</v>
          </cell>
          <cell r="I8">
            <v>27182495</v>
          </cell>
          <cell r="K8">
            <v>997370</v>
          </cell>
          <cell r="L8">
            <v>263371</v>
          </cell>
          <cell r="N8">
            <v>792851</v>
          </cell>
          <cell r="O8">
            <v>932994</v>
          </cell>
          <cell r="P8">
            <v>70903</v>
          </cell>
          <cell r="Q8">
            <v>1061683</v>
          </cell>
          <cell r="W8">
            <v>432239</v>
          </cell>
        </row>
        <row r="9">
          <cell r="Z9">
            <v>17452888</v>
          </cell>
        </row>
        <row r="10">
          <cell r="Z10">
            <v>766449</v>
          </cell>
        </row>
        <row r="11">
          <cell r="Z11">
            <v>190803</v>
          </cell>
        </row>
        <row r="12">
          <cell r="Z12">
            <v>14009103</v>
          </cell>
        </row>
        <row r="15">
          <cell r="I15">
            <v>1801363</v>
          </cell>
          <cell r="N15">
            <v>200000</v>
          </cell>
          <cell r="P15">
            <v>5449</v>
          </cell>
          <cell r="Z15">
            <v>2486533</v>
          </cell>
        </row>
        <row r="16">
          <cell r="Z16">
            <v>6227279</v>
          </cell>
        </row>
        <row r="17">
          <cell r="Z17">
            <v>4927942</v>
          </cell>
        </row>
        <row r="18">
          <cell r="Z18">
            <v>1299337</v>
          </cell>
        </row>
        <row r="20">
          <cell r="Z20">
            <v>3666029</v>
          </cell>
        </row>
        <row r="21">
          <cell r="Z21">
            <v>10539920</v>
          </cell>
        </row>
        <row r="23">
          <cell r="Z23">
            <v>88757666</v>
          </cell>
        </row>
        <row r="29">
          <cell r="Z29">
            <v>5011</v>
          </cell>
        </row>
        <row r="30">
          <cell r="C30">
            <v>829087</v>
          </cell>
          <cell r="D30">
            <v>1465334</v>
          </cell>
          <cell r="E30">
            <v>180698</v>
          </cell>
          <cell r="F30">
            <v>1459</v>
          </cell>
          <cell r="G30">
            <v>81186</v>
          </cell>
          <cell r="I30">
            <v>8413158</v>
          </cell>
          <cell r="L30">
            <v>67000</v>
          </cell>
          <cell r="N30">
            <v>157366</v>
          </cell>
          <cell r="P30">
            <v>170</v>
          </cell>
        </row>
        <row r="31">
          <cell r="K31">
            <v>12648</v>
          </cell>
          <cell r="Z31">
            <v>6002854</v>
          </cell>
        </row>
        <row r="32">
          <cell r="Z32">
            <v>5206244</v>
          </cell>
        </row>
        <row r="33">
          <cell r="O33">
            <v>3572368</v>
          </cell>
        </row>
        <row r="34">
          <cell r="Z34">
            <v>3701447</v>
          </cell>
        </row>
        <row r="35">
          <cell r="Z35">
            <v>-129079</v>
          </cell>
        </row>
        <row r="39">
          <cell r="C39">
            <v>14761657</v>
          </cell>
          <cell r="Z39">
            <v>14761657</v>
          </cell>
        </row>
        <row r="43">
          <cell r="C43">
            <v>459317</v>
          </cell>
          <cell r="D43">
            <v>899239</v>
          </cell>
          <cell r="I43">
            <v>7318463</v>
          </cell>
          <cell r="O43">
            <v>3687545</v>
          </cell>
          <cell r="P43">
            <v>27435</v>
          </cell>
          <cell r="Z43">
            <v>12391999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dotiedzivotaj"/>
    </sheetNames>
    <sheetDataSet>
      <sheetData sheetId="5">
        <row r="11">
          <cell r="D11">
            <v>340123503</v>
          </cell>
          <cell r="K11">
            <v>340123</v>
          </cell>
        </row>
        <row r="12">
          <cell r="K12">
            <v>0</v>
          </cell>
        </row>
        <row r="13">
          <cell r="D13">
            <v>1621927</v>
          </cell>
          <cell r="K13">
            <v>1622</v>
          </cell>
        </row>
        <row r="14">
          <cell r="D14">
            <v>1033629</v>
          </cell>
          <cell r="K14">
            <v>1034</v>
          </cell>
        </row>
        <row r="16">
          <cell r="K16">
            <v>344446</v>
          </cell>
        </row>
        <row r="17">
          <cell r="D17">
            <v>15612669</v>
          </cell>
          <cell r="K17">
            <v>15613</v>
          </cell>
        </row>
        <row r="18">
          <cell r="D18">
            <v>669943</v>
          </cell>
          <cell r="K18">
            <v>670</v>
          </cell>
        </row>
        <row r="19">
          <cell r="D19">
            <v>170529</v>
          </cell>
          <cell r="K19">
            <v>171</v>
          </cell>
        </row>
        <row r="20">
          <cell r="D20">
            <v>12327565</v>
          </cell>
          <cell r="K20">
            <v>12328</v>
          </cell>
        </row>
        <row r="21">
          <cell r="D21">
            <v>2443632</v>
          </cell>
          <cell r="K21">
            <v>2444</v>
          </cell>
        </row>
        <row r="22">
          <cell r="D22">
            <v>3866537</v>
          </cell>
          <cell r="K22">
            <v>3866</v>
          </cell>
        </row>
        <row r="23">
          <cell r="D23">
            <v>2567200</v>
          </cell>
          <cell r="K23">
            <v>2567</v>
          </cell>
        </row>
        <row r="24">
          <cell r="D24">
            <v>1299337</v>
          </cell>
          <cell r="K24">
            <v>1299</v>
          </cell>
        </row>
        <row r="25">
          <cell r="D25">
            <v>324966380</v>
          </cell>
          <cell r="K25">
            <v>324967</v>
          </cell>
        </row>
        <row r="26">
          <cell r="D26">
            <v>2987065</v>
          </cell>
          <cell r="K26">
            <v>2987</v>
          </cell>
        </row>
        <row r="27">
          <cell r="D27">
            <v>1988646</v>
          </cell>
          <cell r="K27">
            <v>1989</v>
          </cell>
        </row>
        <row r="28">
          <cell r="D28">
            <v>8067270</v>
          </cell>
          <cell r="K28">
            <v>8067</v>
          </cell>
        </row>
        <row r="29">
          <cell r="D29">
            <v>5377074</v>
          </cell>
          <cell r="K29">
            <v>5377</v>
          </cell>
        </row>
        <row r="30">
          <cell r="D30">
            <v>2690196</v>
          </cell>
          <cell r="K30">
            <v>2690</v>
          </cell>
        </row>
        <row r="31">
          <cell r="D31">
            <v>1418825</v>
          </cell>
          <cell r="K31">
            <v>1419</v>
          </cell>
        </row>
        <row r="32">
          <cell r="D32">
            <v>1271371</v>
          </cell>
          <cell r="K32">
            <v>1271</v>
          </cell>
        </row>
        <row r="33">
          <cell r="D33">
            <v>0</v>
          </cell>
          <cell r="K33">
            <v>0</v>
          </cell>
        </row>
        <row r="34">
          <cell r="D34">
            <v>75546377</v>
          </cell>
          <cell r="K34">
            <v>75546</v>
          </cell>
        </row>
        <row r="35">
          <cell r="D35">
            <v>237760057</v>
          </cell>
          <cell r="K35">
            <v>237761</v>
          </cell>
        </row>
        <row r="36">
          <cell r="D36">
            <v>218648698</v>
          </cell>
          <cell r="K36">
            <v>218649</v>
          </cell>
        </row>
        <row r="37">
          <cell r="D37">
            <v>18369806</v>
          </cell>
          <cell r="K37">
            <v>18370</v>
          </cell>
        </row>
        <row r="38">
          <cell r="D38">
            <v>328639</v>
          </cell>
          <cell r="K38">
            <v>329</v>
          </cell>
        </row>
        <row r="39">
          <cell r="D39">
            <v>412914</v>
          </cell>
          <cell r="K39">
            <v>413</v>
          </cell>
        </row>
        <row r="40">
          <cell r="D40">
            <v>5011</v>
          </cell>
          <cell r="K40">
            <v>5</v>
          </cell>
        </row>
        <row r="41">
          <cell r="D41">
            <v>600600</v>
          </cell>
          <cell r="K41">
            <v>601</v>
          </cell>
        </row>
        <row r="42">
          <cell r="D42">
            <v>8737038</v>
          </cell>
          <cell r="K42">
            <v>8737</v>
          </cell>
        </row>
        <row r="43">
          <cell r="D43">
            <v>5160737</v>
          </cell>
          <cell r="K43">
            <v>5161</v>
          </cell>
        </row>
        <row r="44">
          <cell r="D44">
            <v>3576301</v>
          </cell>
          <cell r="K44">
            <v>3576</v>
          </cell>
        </row>
        <row r="45">
          <cell r="D45">
            <v>3503854</v>
          </cell>
          <cell r="K45">
            <v>3504</v>
          </cell>
        </row>
        <row r="46">
          <cell r="D46">
            <v>3624776</v>
          </cell>
          <cell r="K46">
            <v>3625</v>
          </cell>
        </row>
        <row r="47">
          <cell r="D47">
            <v>120922</v>
          </cell>
          <cell r="K47">
            <v>121</v>
          </cell>
        </row>
        <row r="49">
          <cell r="D49">
            <v>13907419</v>
          </cell>
        </row>
        <row r="50">
          <cell r="D50">
            <v>22049712</v>
          </cell>
          <cell r="K50">
            <v>22050</v>
          </cell>
        </row>
        <row r="51">
          <cell r="D51">
            <v>-8142293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30">
      <selection activeCell="A59" sqref="A59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62" t="s">
        <v>788</v>
      </c>
      <c r="B2" s="862"/>
      <c r="C2" s="862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63" t="s">
        <v>789</v>
      </c>
      <c r="B5" s="863"/>
      <c r="C5" s="863"/>
      <c r="D5" s="863"/>
      <c r="E5" s="863"/>
    </row>
    <row r="6" spans="1:5" s="5" customFormat="1" ht="14.25" hidden="1">
      <c r="A6" s="863"/>
      <c r="B6" s="863"/>
      <c r="C6" s="863"/>
      <c r="D6" s="863"/>
      <c r="E6" s="863"/>
    </row>
    <row r="7" spans="1:5" s="5" customFormat="1" ht="14.25">
      <c r="A7" s="864" t="s">
        <v>833</v>
      </c>
      <c r="B7" s="864"/>
      <c r="C7" s="864"/>
      <c r="D7" s="864"/>
      <c r="E7" s="864"/>
    </row>
    <row r="8" ht="10.5" customHeight="1"/>
    <row r="9" spans="1:5" ht="12.75">
      <c r="A9" s="7"/>
      <c r="E9" s="2" t="s">
        <v>790</v>
      </c>
    </row>
    <row r="10" spans="1:5" ht="31.5" customHeight="1">
      <c r="A10" s="8" t="s">
        <v>791</v>
      </c>
      <c r="B10" s="9" t="s">
        <v>792</v>
      </c>
      <c r="C10" s="9" t="s">
        <v>793</v>
      </c>
      <c r="D10" s="9" t="s">
        <v>794</v>
      </c>
      <c r="E10" s="9" t="s">
        <v>834</v>
      </c>
    </row>
    <row r="11" spans="1:5" ht="12.75">
      <c r="A11" s="10" t="s">
        <v>795</v>
      </c>
      <c r="B11" s="11">
        <v>799973</v>
      </c>
      <c r="C11" s="12">
        <v>267874</v>
      </c>
      <c r="D11" s="11">
        <f>B11+C11</f>
        <v>1067847</v>
      </c>
      <c r="E11" s="11">
        <f>D11-'[2]Junijs'!D11</f>
        <v>156481</v>
      </c>
    </row>
    <row r="12" spans="1:5" ht="22.5">
      <c r="A12" s="13" t="s">
        <v>796</v>
      </c>
      <c r="B12" s="14" t="s">
        <v>797</v>
      </c>
      <c r="C12" s="14" t="s">
        <v>797</v>
      </c>
      <c r="D12" s="15">
        <f>68468+4446</f>
        <v>72914</v>
      </c>
      <c r="E12" s="15">
        <f>D12-'[2]Junijs'!D12</f>
        <v>6774</v>
      </c>
    </row>
    <row r="13" spans="1:5" ht="22.5">
      <c r="A13" s="13" t="s">
        <v>798</v>
      </c>
      <c r="B13" s="14" t="s">
        <v>797</v>
      </c>
      <c r="C13" s="14" t="s">
        <v>797</v>
      </c>
      <c r="D13" s="15">
        <f>6329+1588</f>
        <v>7917</v>
      </c>
      <c r="E13" s="15">
        <f>D13-'[2]Junijs'!D13</f>
        <v>1121</v>
      </c>
    </row>
    <row r="14" spans="1:5" ht="12.75">
      <c r="A14" s="16" t="s">
        <v>799</v>
      </c>
      <c r="B14" s="17" t="s">
        <v>797</v>
      </c>
      <c r="C14" s="17" t="s">
        <v>797</v>
      </c>
      <c r="D14" s="11">
        <f>D11-D12-D13</f>
        <v>987016</v>
      </c>
      <c r="E14" s="11">
        <f>D14-'[2]Junijs'!D14</f>
        <v>148586</v>
      </c>
    </row>
    <row r="15" spans="1:5" ht="12.75">
      <c r="A15" s="10" t="s">
        <v>800</v>
      </c>
      <c r="B15" s="11">
        <v>831002</v>
      </c>
      <c r="C15" s="12">
        <v>277548</v>
      </c>
      <c r="D15" s="11">
        <f>B15+C15</f>
        <v>1108550</v>
      </c>
      <c r="E15" s="11">
        <f>D15-'[2]Junijs'!D15</f>
        <v>164277</v>
      </c>
    </row>
    <row r="16" spans="1:5" ht="22.5">
      <c r="A16" s="13" t="s">
        <v>801</v>
      </c>
      <c r="B16" s="14" t="s">
        <v>797</v>
      </c>
      <c r="C16" s="14" t="s">
        <v>797</v>
      </c>
      <c r="D16" s="15">
        <v>72914</v>
      </c>
      <c r="E16" s="15">
        <f>D16-'[2]Junijs'!D16</f>
        <v>6774</v>
      </c>
    </row>
    <row r="17" spans="1:5" ht="22.5">
      <c r="A17" s="13" t="s">
        <v>802</v>
      </c>
      <c r="B17" s="14" t="s">
        <v>797</v>
      </c>
      <c r="C17" s="14" t="s">
        <v>797</v>
      </c>
      <c r="D17" s="15">
        <v>7917</v>
      </c>
      <c r="E17" s="15">
        <f>D17-'[2]Junijs'!D17</f>
        <v>1121</v>
      </c>
    </row>
    <row r="18" spans="1:5" ht="12.75">
      <c r="A18" s="16" t="s">
        <v>803</v>
      </c>
      <c r="B18" s="17" t="s">
        <v>797</v>
      </c>
      <c r="C18" s="17" t="s">
        <v>797</v>
      </c>
      <c r="D18" s="11">
        <f>D15-D16-D17</f>
        <v>1027719</v>
      </c>
      <c r="E18" s="11">
        <f>D18-'[2]Junijs'!D18</f>
        <v>156382</v>
      </c>
    </row>
    <row r="19" spans="1:5" ht="12.75">
      <c r="A19" s="16" t="s">
        <v>804</v>
      </c>
      <c r="B19" s="11">
        <f>B11-B15</f>
        <v>-31029</v>
      </c>
      <c r="C19" s="12">
        <f>C11-C15</f>
        <v>-9674</v>
      </c>
      <c r="D19" s="11">
        <f>D14-D18</f>
        <v>-40703</v>
      </c>
      <c r="E19" s="11">
        <f>D19-'[2]Junijs'!D19</f>
        <v>-7796</v>
      </c>
    </row>
    <row r="20" spans="1:5" ht="12.75">
      <c r="A20" s="18" t="s">
        <v>805</v>
      </c>
      <c r="B20" s="12">
        <f>B21-B24</f>
        <v>1082</v>
      </c>
      <c r="C20" s="12">
        <f>C21-C24</f>
        <v>-3266</v>
      </c>
      <c r="D20" s="12">
        <f>D23-D26</f>
        <v>-3005</v>
      </c>
      <c r="E20" s="12">
        <f>D20-'[2]Junijs'!D20</f>
        <v>289</v>
      </c>
    </row>
    <row r="21" spans="1:5" ht="12.75">
      <c r="A21" s="19" t="s">
        <v>806</v>
      </c>
      <c r="B21" s="20">
        <v>19848</v>
      </c>
      <c r="C21" s="21">
        <v>589</v>
      </c>
      <c r="D21" s="20">
        <f>B21+C21</f>
        <v>20437</v>
      </c>
      <c r="E21" s="20">
        <f>D21-'[2]Junijs'!D21</f>
        <v>5060</v>
      </c>
    </row>
    <row r="22" spans="1:5" ht="22.5">
      <c r="A22" s="13" t="s">
        <v>807</v>
      </c>
      <c r="B22" s="14" t="s">
        <v>797</v>
      </c>
      <c r="C22" s="14" t="s">
        <v>797</v>
      </c>
      <c r="D22" s="15">
        <v>13242</v>
      </c>
      <c r="E22" s="15">
        <f>D22-'[2]Junijs'!D22</f>
        <v>4489</v>
      </c>
    </row>
    <row r="23" spans="1:5" ht="12.75">
      <c r="A23" s="18" t="s">
        <v>808</v>
      </c>
      <c r="B23" s="17" t="s">
        <v>797</v>
      </c>
      <c r="C23" s="17" t="s">
        <v>797</v>
      </c>
      <c r="D23" s="11">
        <f>D21-D22</f>
        <v>7195</v>
      </c>
      <c r="E23" s="11">
        <f>D23-'[2]Junijs'!D23</f>
        <v>571</v>
      </c>
    </row>
    <row r="24" spans="1:5" ht="12.75">
      <c r="A24" s="19" t="s">
        <v>809</v>
      </c>
      <c r="B24" s="20">
        <v>18766</v>
      </c>
      <c r="C24" s="21">
        <v>3855</v>
      </c>
      <c r="D24" s="20">
        <f>B24+C24</f>
        <v>22621</v>
      </c>
      <c r="E24" s="20">
        <f>D24-'[2]Junijs'!D24</f>
        <v>873</v>
      </c>
    </row>
    <row r="25" spans="1:5" ht="22.5">
      <c r="A25" s="13" t="s">
        <v>810</v>
      </c>
      <c r="B25" s="22" t="s">
        <v>797</v>
      </c>
      <c r="C25" s="22" t="s">
        <v>797</v>
      </c>
      <c r="D25" s="15">
        <v>12421</v>
      </c>
      <c r="E25" s="15">
        <f>D25-'[2]Junijs'!D25</f>
        <v>591</v>
      </c>
    </row>
    <row r="26" spans="1:5" ht="12.75">
      <c r="A26" s="18" t="s">
        <v>811</v>
      </c>
      <c r="B26" s="17" t="s">
        <v>797</v>
      </c>
      <c r="C26" s="17" t="s">
        <v>797</v>
      </c>
      <c r="D26" s="11">
        <f>D24-D25</f>
        <v>10200</v>
      </c>
      <c r="E26" s="11">
        <f>D26-'[2]Junijs'!D26</f>
        <v>282</v>
      </c>
    </row>
    <row r="27" spans="1:5" ht="12.75">
      <c r="A27" s="16" t="s">
        <v>812</v>
      </c>
      <c r="B27" s="12">
        <f>B19-B20</f>
        <v>-32111</v>
      </c>
      <c r="C27" s="12">
        <f>C19-C20</f>
        <v>-6408</v>
      </c>
      <c r="D27" s="11">
        <f>D19-D20</f>
        <v>-37698</v>
      </c>
      <c r="E27" s="11">
        <f>D27-'[2]Junijs'!D27</f>
        <v>-8085</v>
      </c>
    </row>
    <row r="28" spans="1:5" ht="12.75">
      <c r="A28" s="10" t="s">
        <v>813</v>
      </c>
      <c r="B28" s="11">
        <f>B29+B50</f>
        <v>32111</v>
      </c>
      <c r="C28" s="12">
        <f>C29+C50</f>
        <v>6408</v>
      </c>
      <c r="D28" s="11">
        <f>D29+D50</f>
        <v>37698</v>
      </c>
      <c r="E28" s="11">
        <f>D28-'[2]Junijs'!D28</f>
        <v>8085</v>
      </c>
    </row>
    <row r="29" spans="1:5" ht="12.75">
      <c r="A29" s="10" t="s">
        <v>814</v>
      </c>
      <c r="B29" s="11">
        <f>B30+B35+B40+B46</f>
        <v>37600</v>
      </c>
      <c r="C29" s="12">
        <f>C30+C35+C40+C46</f>
        <v>6408</v>
      </c>
      <c r="D29" s="12">
        <f>D30+D35+D40+D46</f>
        <v>43187</v>
      </c>
      <c r="E29" s="12">
        <f>D29-'[2]Junijs'!D29</f>
        <v>6534</v>
      </c>
    </row>
    <row r="30" spans="1:5" ht="12.75">
      <c r="A30" s="23" t="s">
        <v>815</v>
      </c>
      <c r="B30" s="24">
        <f>B31+B32</f>
        <v>0</v>
      </c>
      <c r="C30" s="24">
        <f>C31+C32</f>
        <v>821</v>
      </c>
      <c r="D30" s="24">
        <f>D31+D34</f>
        <v>0</v>
      </c>
      <c r="E30" s="24">
        <f>D30-'[2]Junijs'!D30</f>
        <v>0</v>
      </c>
    </row>
    <row r="31" spans="1:5" ht="12.75" hidden="1">
      <c r="A31" s="13" t="s">
        <v>816</v>
      </c>
      <c r="B31" s="15"/>
      <c r="C31" s="25"/>
      <c r="D31" s="15">
        <f>B31+C31</f>
        <v>0</v>
      </c>
      <c r="E31" s="15">
        <f>D31-'[2]Junijs'!D31</f>
        <v>0</v>
      </c>
    </row>
    <row r="32" spans="1:5" ht="12.75">
      <c r="A32" s="13" t="s">
        <v>817</v>
      </c>
      <c r="B32" s="15"/>
      <c r="C32" s="25">
        <v>821</v>
      </c>
      <c r="D32" s="15">
        <f>B32+C32</f>
        <v>821</v>
      </c>
      <c r="E32" s="15">
        <f>D32-'[2]Junijs'!D32</f>
        <v>3898</v>
      </c>
    </row>
    <row r="33" spans="1:5" ht="12.75">
      <c r="A33" s="26" t="s">
        <v>818</v>
      </c>
      <c r="B33" s="22" t="s">
        <v>797</v>
      </c>
      <c r="C33" s="22" t="s">
        <v>797</v>
      </c>
      <c r="D33" s="27">
        <v>-821</v>
      </c>
      <c r="E33" s="27">
        <f>D33-'[2]Junijs'!D33</f>
        <v>-3898</v>
      </c>
    </row>
    <row r="34" spans="1:5" ht="12.75" hidden="1">
      <c r="A34" s="13" t="s">
        <v>819</v>
      </c>
      <c r="B34" s="22" t="s">
        <v>797</v>
      </c>
      <c r="C34" s="22" t="s">
        <v>797</v>
      </c>
      <c r="D34" s="27"/>
      <c r="E34" s="27">
        <f>D34-'[2]Junijs'!D34</f>
        <v>0</v>
      </c>
    </row>
    <row r="35" spans="1:5" ht="12.75">
      <c r="A35" s="28" t="s">
        <v>820</v>
      </c>
      <c r="B35" s="27">
        <f>SUM(B36:B39)</f>
        <v>-24317</v>
      </c>
      <c r="C35" s="24">
        <f>SUM(C36:C39)</f>
        <v>0</v>
      </c>
      <c r="D35" s="27">
        <f aca="true" t="shared" si="0" ref="D35:D49">B35+C35</f>
        <v>-24317</v>
      </c>
      <c r="E35" s="27">
        <f>D35-'[2]Junijs'!D35</f>
        <v>38005</v>
      </c>
    </row>
    <row r="36" spans="1:5" ht="12.75">
      <c r="A36" s="29" t="s">
        <v>821</v>
      </c>
      <c r="B36" s="15">
        <v>-22092</v>
      </c>
      <c r="C36" s="25"/>
      <c r="D36" s="15">
        <f t="shared" si="0"/>
        <v>-22092</v>
      </c>
      <c r="E36" s="15">
        <f>D36-'[2]Junijs'!D36</f>
        <v>26602</v>
      </c>
    </row>
    <row r="37" spans="1:5" ht="12.75">
      <c r="A37" s="29" t="s">
        <v>822</v>
      </c>
      <c r="B37" s="15">
        <v>9183</v>
      </c>
      <c r="C37" s="25"/>
      <c r="D37" s="15">
        <f t="shared" si="0"/>
        <v>9183</v>
      </c>
      <c r="E37" s="15">
        <f>D37-'[2]Junijs'!D37</f>
        <v>-155</v>
      </c>
    </row>
    <row r="38" spans="1:5" ht="22.5">
      <c r="A38" s="29" t="s">
        <v>823</v>
      </c>
      <c r="B38" s="15">
        <v>-5472</v>
      </c>
      <c r="C38" s="25"/>
      <c r="D38" s="15">
        <f t="shared" si="0"/>
        <v>-5472</v>
      </c>
      <c r="E38" s="15">
        <f>D38-'[2]Junijs'!D38</f>
        <v>-219</v>
      </c>
    </row>
    <row r="39" spans="1:5" ht="12.75">
      <c r="A39" s="29" t="s">
        <v>824</v>
      </c>
      <c r="B39" s="15">
        <v>-5936</v>
      </c>
      <c r="C39" s="25"/>
      <c r="D39" s="15">
        <f t="shared" si="0"/>
        <v>-5936</v>
      </c>
      <c r="E39" s="15">
        <f>D39-'[2]Junijs'!D39</f>
        <v>11777</v>
      </c>
    </row>
    <row r="40" spans="1:5" ht="12.75">
      <c r="A40" s="30" t="s">
        <v>825</v>
      </c>
      <c r="B40" s="27">
        <f>SUM(B41:B45)</f>
        <v>-334</v>
      </c>
      <c r="C40" s="25">
        <f>SUM(C41:C45)</f>
        <v>-16354</v>
      </c>
      <c r="D40" s="27">
        <f t="shared" si="0"/>
        <v>-16688</v>
      </c>
      <c r="E40" s="27">
        <f>D40-'[2]Junijs'!D40</f>
        <v>-41439</v>
      </c>
    </row>
    <row r="41" spans="1:5" ht="12.75">
      <c r="A41" s="31" t="s">
        <v>826</v>
      </c>
      <c r="B41" s="15"/>
      <c r="C41" s="25">
        <v>-174</v>
      </c>
      <c r="D41" s="15">
        <f t="shared" si="0"/>
        <v>-174</v>
      </c>
      <c r="E41" s="15">
        <f>D41-'[2]Junijs'!D41</f>
        <v>-38</v>
      </c>
    </row>
    <row r="42" spans="1:5" ht="12.75">
      <c r="A42" s="29" t="s">
        <v>821</v>
      </c>
      <c r="B42" s="15">
        <v>-25091</v>
      </c>
      <c r="C42" s="25"/>
      <c r="D42" s="15">
        <f t="shared" si="0"/>
        <v>-25091</v>
      </c>
      <c r="E42" s="15">
        <f>D42-'[2]Junijs'!D42</f>
        <v>-19000</v>
      </c>
    </row>
    <row r="43" spans="1:5" ht="12.75">
      <c r="A43" s="29" t="s">
        <v>822</v>
      </c>
      <c r="B43" s="15">
        <v>-1980</v>
      </c>
      <c r="C43" s="25">
        <v>-16180</v>
      </c>
      <c r="D43" s="15">
        <f t="shared" si="0"/>
        <v>-18160</v>
      </c>
      <c r="E43" s="15">
        <f>D43-'[2]Junijs'!D43</f>
        <v>-2088</v>
      </c>
    </row>
    <row r="44" spans="1:5" ht="22.5">
      <c r="A44" s="29" t="s">
        <v>823</v>
      </c>
      <c r="B44" s="15">
        <v>-94</v>
      </c>
      <c r="C44" s="25"/>
      <c r="D44" s="15">
        <f t="shared" si="0"/>
        <v>-94</v>
      </c>
      <c r="E44" s="15">
        <f>D44-'[2]Junijs'!D44</f>
        <v>-122</v>
      </c>
    </row>
    <row r="45" spans="1:5" ht="12.75">
      <c r="A45" s="29" t="s">
        <v>824</v>
      </c>
      <c r="B45" s="15">
        <v>26831</v>
      </c>
      <c r="C45" s="25"/>
      <c r="D45" s="15">
        <f t="shared" si="0"/>
        <v>26831</v>
      </c>
      <c r="E45" s="15">
        <f>D45-'[2]Junijs'!D45</f>
        <v>-20191</v>
      </c>
    </row>
    <row r="46" spans="1:5" ht="12.75">
      <c r="A46" s="30" t="s">
        <v>827</v>
      </c>
      <c r="B46" s="27">
        <f>SUM(B47:B49)</f>
        <v>62251</v>
      </c>
      <c r="C46" s="27">
        <f>SUM(C47:C49)</f>
        <v>21941</v>
      </c>
      <c r="D46" s="15">
        <f t="shared" si="0"/>
        <v>84192</v>
      </c>
      <c r="E46" s="15">
        <f>D46-'[2]Junijs'!D46</f>
        <v>9968</v>
      </c>
    </row>
    <row r="47" spans="1:5" ht="22.5">
      <c r="A47" s="29" t="s">
        <v>828</v>
      </c>
      <c r="B47" s="15">
        <v>3826</v>
      </c>
      <c r="C47" s="25">
        <v>6271</v>
      </c>
      <c r="D47" s="15">
        <f t="shared" si="0"/>
        <v>10097</v>
      </c>
      <c r="E47" s="15">
        <f>D47-'[2]Junijs'!D47</f>
        <v>1557</v>
      </c>
    </row>
    <row r="48" spans="1:5" ht="22.5" customHeight="1">
      <c r="A48" s="29" t="s">
        <v>829</v>
      </c>
      <c r="B48" s="15">
        <v>47550</v>
      </c>
      <c r="C48" s="25"/>
      <c r="D48" s="15">
        <f t="shared" si="0"/>
        <v>47550</v>
      </c>
      <c r="E48" s="15">
        <f>D48-'[2]Junijs'!D48</f>
        <v>12668</v>
      </c>
    </row>
    <row r="49" spans="1:5" ht="12.75">
      <c r="A49" s="29" t="s">
        <v>830</v>
      </c>
      <c r="B49" s="15">
        <v>10875</v>
      </c>
      <c r="C49" s="25">
        <v>15670</v>
      </c>
      <c r="D49" s="15">
        <f t="shared" si="0"/>
        <v>26545</v>
      </c>
      <c r="E49" s="15">
        <f>D49-'[2]Junijs'!D49</f>
        <v>-4257</v>
      </c>
    </row>
    <row r="50" spans="1:5" ht="12.75">
      <c r="A50" s="32" t="s">
        <v>831</v>
      </c>
      <c r="B50" s="11">
        <f>SUM(B51:B52)</f>
        <v>-5489</v>
      </c>
      <c r="C50" s="12"/>
      <c r="D50" s="11">
        <f>B50+C50</f>
        <v>-5489</v>
      </c>
      <c r="E50" s="11">
        <f>D50-'[2]Junijs'!D50</f>
        <v>1551</v>
      </c>
    </row>
    <row r="51" spans="1:5" ht="12.75">
      <c r="A51" s="30" t="s">
        <v>832</v>
      </c>
      <c r="B51" s="27">
        <v>-4842</v>
      </c>
      <c r="C51" s="25"/>
      <c r="D51" s="27">
        <f>B51+C51</f>
        <v>-4842</v>
      </c>
      <c r="E51" s="27">
        <f>D51-'[2]Junijs'!D51</f>
        <v>555</v>
      </c>
    </row>
    <row r="52" spans="1:5" ht="12.75">
      <c r="A52" s="30" t="s">
        <v>952</v>
      </c>
      <c r="B52" s="27">
        <v>-647</v>
      </c>
      <c r="C52" s="25"/>
      <c r="D52" s="27">
        <f>B52+C52</f>
        <v>-647</v>
      </c>
      <c r="E52" s="27">
        <f>D52-'[2]Junijs'!D52</f>
        <v>996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65"/>
      <c r="B54" s="865"/>
      <c r="C54" s="865"/>
      <c r="D54" s="865"/>
      <c r="E54" s="40"/>
    </row>
    <row r="56" spans="1:5" ht="12.75">
      <c r="A56" s="41" t="s">
        <v>835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953</v>
      </c>
      <c r="B59" s="45"/>
      <c r="C59" s="46"/>
      <c r="D59" s="47"/>
      <c r="E59" s="40"/>
    </row>
    <row r="60" ht="12.75">
      <c r="A60" s="38" t="s">
        <v>836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9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3"/>
  <sheetViews>
    <sheetView workbookViewId="0" topLeftCell="F1">
      <selection activeCell="A59" sqref="A59"/>
    </sheetView>
  </sheetViews>
  <sheetFormatPr defaultColWidth="9.140625" defaultRowHeight="17.25" customHeight="1"/>
  <cols>
    <col min="1" max="1" width="32.00390625" style="49" hidden="1" customWidth="1"/>
    <col min="2" max="2" width="12.421875" style="49" hidden="1" customWidth="1"/>
    <col min="3" max="3" width="10.421875" style="49" hidden="1" customWidth="1"/>
    <col min="4" max="4" width="12.8515625" style="49" hidden="1" customWidth="1"/>
    <col min="5" max="5" width="9.7109375" style="49" hidden="1" customWidth="1"/>
    <col min="6" max="6" width="38.28125" style="49" customWidth="1"/>
    <col min="7" max="7" width="12.7109375" style="49" customWidth="1"/>
    <col min="8" max="8" width="11.8515625" style="49" customWidth="1"/>
    <col min="9" max="9" width="12.57421875" style="49" customWidth="1"/>
    <col min="10" max="10" width="8.28125" style="49" customWidth="1"/>
    <col min="11" max="16384" width="11.421875" style="49" customWidth="1"/>
  </cols>
  <sheetData>
    <row r="1" spans="2:10" ht="17.25" customHeight="1">
      <c r="B1" s="51"/>
      <c r="C1" s="51"/>
      <c r="D1" s="51"/>
      <c r="E1" s="301" t="s">
        <v>330</v>
      </c>
      <c r="G1" s="51"/>
      <c r="H1" s="51"/>
      <c r="I1" s="51"/>
      <c r="J1" s="2" t="s">
        <v>330</v>
      </c>
    </row>
    <row r="2" spans="1:10" ht="17.25" customHeight="1">
      <c r="A2" s="865" t="s">
        <v>39</v>
      </c>
      <c r="B2" s="865"/>
      <c r="C2" s="865"/>
      <c r="D2" s="865"/>
      <c r="E2" s="865"/>
      <c r="F2" s="865" t="s">
        <v>39</v>
      </c>
      <c r="G2" s="865"/>
      <c r="H2" s="865"/>
      <c r="I2" s="865"/>
      <c r="J2" s="865"/>
    </row>
    <row r="3" spans="1:10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8.5" customHeight="1">
      <c r="A4" s="880" t="s">
        <v>331</v>
      </c>
      <c r="B4" s="880"/>
      <c r="C4" s="880"/>
      <c r="D4" s="880"/>
      <c r="E4" s="880"/>
      <c r="F4" s="880" t="s">
        <v>331</v>
      </c>
      <c r="G4" s="880"/>
      <c r="H4" s="880"/>
      <c r="I4" s="880"/>
      <c r="J4" s="880"/>
    </row>
    <row r="5" spans="1:10" ht="12.75">
      <c r="A5" s="879" t="s">
        <v>882</v>
      </c>
      <c r="B5" s="879"/>
      <c r="C5" s="879"/>
      <c r="D5" s="879"/>
      <c r="E5" s="879"/>
      <c r="F5" s="879" t="s">
        <v>882</v>
      </c>
      <c r="G5" s="879"/>
      <c r="H5" s="879"/>
      <c r="I5" s="879"/>
      <c r="J5" s="879"/>
    </row>
    <row r="6" spans="1:10" ht="17.25" customHeight="1">
      <c r="A6" s="380"/>
      <c r="B6" s="380"/>
      <c r="C6" s="380"/>
      <c r="D6" s="380"/>
      <c r="E6" s="2" t="s">
        <v>201</v>
      </c>
      <c r="F6" s="380"/>
      <c r="G6" s="380"/>
      <c r="H6" s="380"/>
      <c r="I6" s="380"/>
      <c r="J6" s="2" t="s">
        <v>957</v>
      </c>
    </row>
    <row r="7" spans="1:83" s="83" customFormat="1" ht="48" customHeight="1">
      <c r="A7" s="92" t="s">
        <v>791</v>
      </c>
      <c r="B7" s="726" t="s">
        <v>42</v>
      </c>
      <c r="C7" s="382" t="s">
        <v>959</v>
      </c>
      <c r="D7" s="390" t="s">
        <v>332</v>
      </c>
      <c r="E7" s="726" t="s">
        <v>850</v>
      </c>
      <c r="F7" s="304" t="s">
        <v>791</v>
      </c>
      <c r="G7" s="382" t="s">
        <v>42</v>
      </c>
      <c r="H7" s="382" t="s">
        <v>959</v>
      </c>
      <c r="I7" s="382" t="s">
        <v>332</v>
      </c>
      <c r="J7" s="726" t="s">
        <v>850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10" ht="12.75">
      <c r="A8" s="304">
        <v>1</v>
      </c>
      <c r="B8" s="262">
        <v>2</v>
      </c>
      <c r="C8" s="262">
        <v>3</v>
      </c>
      <c r="D8" s="262">
        <v>4</v>
      </c>
      <c r="E8" s="383">
        <v>5</v>
      </c>
      <c r="F8" s="304">
        <v>1</v>
      </c>
      <c r="G8" s="262">
        <v>2</v>
      </c>
      <c r="H8" s="262">
        <v>3</v>
      </c>
      <c r="I8" s="262">
        <v>4</v>
      </c>
      <c r="J8" s="383">
        <v>5</v>
      </c>
    </row>
    <row r="9" spans="1:11" ht="12.75" customHeight="1">
      <c r="A9" s="384" t="s">
        <v>45</v>
      </c>
      <c r="B9" s="385">
        <f>B14+B19+B24+B29+B34+B39+B44+B49+B54+B59+B64+B69+B74+B79+B84+B89+B94+B99+B104+B109+B114+B119+B124+B129+B134+B139+B144</f>
        <v>4658577</v>
      </c>
      <c r="C9" s="385">
        <f>C14+C19+C24+C29+C34+C39+C44+C49+C54+C59+C64+C69+C74+C79+C84+C89+C94+C99+C104+C109+C114+C119+C124+C129+C134+C139+C144</f>
        <v>2533646</v>
      </c>
      <c r="D9" s="390">
        <f>C9/B9*100</f>
        <v>54.386693619103</v>
      </c>
      <c r="E9" s="809">
        <f>E14+E19+E24+E29+E34+E39+E44+E49+E54+E59+E64+E69+E74+E79+E84+E89+E94+E99+E104+E109+E114+E119+E124+E129+E134+E139+E144</f>
        <v>511399</v>
      </c>
      <c r="F9" s="384" t="s">
        <v>45</v>
      </c>
      <c r="G9" s="385">
        <f>G14+G19+G24+G29+G34+G39+G44+G49+G54+G59+G64+G69+G74+G79+G84+G89+G94+G99+G104+G109+G114+G119+G124+G129+G134+G139+G144</f>
        <v>4659</v>
      </c>
      <c r="H9" s="385">
        <f>H14+H19+H24+H29+H34+H39+H44+H49+H54+H59+H64+H69+H74+H79+H84+H89+H94+H99+H104+H109+H114+H119+H124+H129+H134+H139+H144+2</f>
        <v>2534</v>
      </c>
      <c r="I9" s="386">
        <f>H9/G9*100</f>
        <v>54.38935393861344</v>
      </c>
      <c r="J9" s="385">
        <f>ROUND(E9/1000,0)</f>
        <v>511</v>
      </c>
      <c r="K9" s="257"/>
    </row>
    <row r="10" spans="1:83" s="380" customFormat="1" ht="12.75" customHeight="1">
      <c r="A10" s="319" t="s">
        <v>333</v>
      </c>
      <c r="B10" s="387">
        <f>B15+B20+B25+B30+B35+B40+B45+B50+B55+B60+B65+B70+B75+B80+B85+B90+B95+B100+B105+B110+B115+B120+B125+B130+B135+B140+B145</f>
        <v>5094025</v>
      </c>
      <c r="C10" s="810">
        <f>SUM(C11:C12)</f>
        <v>2458378</v>
      </c>
      <c r="D10" s="390">
        <f>C10/B10*100</f>
        <v>48.2600301333425</v>
      </c>
      <c r="E10" s="811">
        <f>E15+E20+E25+E30+E35+E40+E45+E50+E55+E60+E65+E70+E75+E80+E85+E90+E95+E100+E105+E110+E115+E120+E125+E130+E135+E140+E145</f>
        <v>456685</v>
      </c>
      <c r="F10" s="319" t="s">
        <v>333</v>
      </c>
      <c r="G10" s="387">
        <f>G15+G20+G25+G30+G35+G40+G45+G50+G55+G60+G65+G70+G75+G80+G85+G90+G95+G100+G105+G110+G115+G120+G125+G130+G135+G140+G145+1</f>
        <v>5094</v>
      </c>
      <c r="H10" s="387">
        <f>H11+H12</f>
        <v>2458</v>
      </c>
      <c r="I10" s="386">
        <f>H10/G10*100</f>
        <v>48.25284648606203</v>
      </c>
      <c r="J10" s="387">
        <f>J11+J12</f>
        <v>456</v>
      </c>
      <c r="K10" s="257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83" customFormat="1" ht="12.75" customHeight="1">
      <c r="A11" s="388" t="s">
        <v>52</v>
      </c>
      <c r="B11" s="389">
        <f>B16+B21+B26+B31+B36+B41+B46+B51+B56+B61+B66+B71+B76+B81+B86+B91+B96+B101+B106+B111+B116+B121+B126+B131+B136+B141+B146</f>
        <v>4599873</v>
      </c>
      <c r="C11" s="389">
        <f>C16+C21+C26+C31+C36+C41+C46+C51+C56+C61+C66+C71+C76+C81+C86+C91+C96+C101+C106+C111+C116+C121+C126+C131+C136+C141+C146</f>
        <v>2248179</v>
      </c>
      <c r="D11" s="390">
        <f>C11/B11*100</f>
        <v>48.87480589138005</v>
      </c>
      <c r="E11" s="812">
        <f>E16+E21+E26+E31+E36+E41+E46+E51+E56+E61+E66+E71+E76+E81+E86+E91+E96+E101+E106+E111+E116+E121+E126+E131+E136+E141+E146</f>
        <v>434408</v>
      </c>
      <c r="F11" s="388" t="s">
        <v>52</v>
      </c>
      <c r="G11" s="389">
        <f>G16+G21+G26+G31+G36+G41+G46+G51+G56+G61+G66+G71+G76+G81+G86+G91+G96+G101+G106+G111+G116+G121+G126+G131+G136+G141+G146-1</f>
        <v>4600</v>
      </c>
      <c r="H11" s="389">
        <f>H16+H21+H26+H31+H36+H41+H46+H51+H56+H61+H66+H71+H76+H81+H86+H91+H96+H101+H106+H111+H116+H121+H126+H131+H136+H141+H146-2</f>
        <v>2248</v>
      </c>
      <c r="I11" s="390">
        <f>H11/G11*100</f>
        <v>48.869565217391305</v>
      </c>
      <c r="J11" s="391">
        <f>J16+J21+J26+J31+J36+J41+J46+J51+J56+J61+J66+J71+J76+J81+J86+J91+J96+J101+J106+J111+J116+J121+J126+J131+J136+J141+J146</f>
        <v>434</v>
      </c>
      <c r="K11" s="257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83" customFormat="1" ht="12.75" customHeight="1">
      <c r="A12" s="388" t="s">
        <v>53</v>
      </c>
      <c r="B12" s="389">
        <f>B17+B22+B27+B32+B37+B42+B47+B52+B57+B62+B67+B72+B77+B82+B87+B92+B97+B102+B107+B112+B117+B122+B127+B132+B137+B142+B147</f>
        <v>494152</v>
      </c>
      <c r="C12" s="389">
        <f>C17+C22+C27+C32+C37+C42+C47+C52+C57+C62+C67+C72+C77+C82+C87+C92+C97+C102+C107+C112+C117+C122+C127+C132+C137+C142+C147</f>
        <v>210199</v>
      </c>
      <c r="D12" s="390">
        <f>C12/B12*100</f>
        <v>42.53731645323706</v>
      </c>
      <c r="E12" s="812">
        <f>E17+E22+E27+E32+E37+E42+E47+E52+E57+E62+E67+E72+E77+E82+E87+E92+E97+E102+E107+E112+E117+E122+E127+E132+E137+E142+E147</f>
        <v>22277</v>
      </c>
      <c r="F12" s="388" t="s">
        <v>53</v>
      </c>
      <c r="G12" s="389">
        <f>G17+G22+G27+G32+G37+G42+G47+G52+G57+G62+G67+G72+G77+G82+G87+G92+G97+G102+G107+G112+G117+G122+G127+G132+G137+G142+G147+2</f>
        <v>494</v>
      </c>
      <c r="H12" s="389">
        <f>H17+H22+H27+H32+H37+H42+H47+H52+H57+H62+H67+H72+H77+H82+H87+H92+H97+H102+H107+H112+H117+H122+H127+H132+H137+H142+H147+1</f>
        <v>210</v>
      </c>
      <c r="I12" s="390">
        <f>H12/G12*100</f>
        <v>42.51012145748988</v>
      </c>
      <c r="J12" s="391">
        <f>J17+J22+J27+J32+J37+J42+J47+J52+J57+J62+J67+J72+J77+J82+J87+J92+J97+J102+J107+J112+J117+J122+J127+J132+J137+J142+J147</f>
        <v>22</v>
      </c>
      <c r="K12" s="257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83" customFormat="1" ht="12.75" customHeight="1">
      <c r="A13" s="92" t="s">
        <v>57</v>
      </c>
      <c r="B13" s="392"/>
      <c r="C13" s="392"/>
      <c r="D13" s="390"/>
      <c r="E13" s="392"/>
      <c r="F13" s="92" t="s">
        <v>57</v>
      </c>
      <c r="G13" s="392"/>
      <c r="H13" s="392"/>
      <c r="I13" s="390"/>
      <c r="J13" s="392"/>
      <c r="K13" s="257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83" customFormat="1" ht="12.75" customHeight="1">
      <c r="A14" s="393" t="s">
        <v>211</v>
      </c>
      <c r="B14" s="392"/>
      <c r="C14" s="392"/>
      <c r="D14" s="390" t="e">
        <f>C14/B14*100</f>
        <v>#DIV/0!</v>
      </c>
      <c r="E14" s="392">
        <f>C14-'[11]jūnijs'!C14</f>
        <v>0</v>
      </c>
      <c r="F14" s="393" t="s">
        <v>211</v>
      </c>
      <c r="G14" s="392">
        <f>ROUND(B14/1000,0)</f>
        <v>0</v>
      </c>
      <c r="H14" s="392">
        <f>ROUND(C14/1000,0)</f>
        <v>0</v>
      </c>
      <c r="I14" s="813">
        <v>0</v>
      </c>
      <c r="J14" s="392">
        <f>H14</f>
        <v>0</v>
      </c>
      <c r="K14" s="257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83" customFormat="1" ht="12.75" customHeight="1">
      <c r="A15" s="98" t="s">
        <v>58</v>
      </c>
      <c r="B15" s="392">
        <f>SUM(B16:B17)</f>
        <v>0</v>
      </c>
      <c r="C15" s="392">
        <f>SUM(C16:C17)</f>
        <v>0</v>
      </c>
      <c r="D15" s="390" t="e">
        <f>C15/B15*100</f>
        <v>#DIV/0!</v>
      </c>
      <c r="E15" s="392">
        <f>E16+E17</f>
        <v>0</v>
      </c>
      <c r="F15" s="98" t="s">
        <v>58</v>
      </c>
      <c r="G15" s="392">
        <f>SUM(G16:G17)</f>
        <v>0</v>
      </c>
      <c r="H15" s="392">
        <f>SUM(H16:H17)</f>
        <v>0</v>
      </c>
      <c r="I15" s="813">
        <v>0</v>
      </c>
      <c r="J15" s="394">
        <f>SUM(J16:J17)</f>
        <v>0</v>
      </c>
      <c r="K15" s="257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83" customFormat="1" ht="12.75" customHeight="1">
      <c r="A16" s="107" t="s">
        <v>52</v>
      </c>
      <c r="B16" s="394"/>
      <c r="C16" s="394"/>
      <c r="D16" s="390" t="e">
        <f>C16/B16*100</f>
        <v>#DIV/0!</v>
      </c>
      <c r="E16" s="394">
        <f>C16-'[11]jūnijs'!C16</f>
        <v>0</v>
      </c>
      <c r="F16" s="107" t="s">
        <v>52</v>
      </c>
      <c r="G16" s="394">
        <f>ROUND(B16/1000,0)</f>
        <v>0</v>
      </c>
      <c r="H16" s="394">
        <f>ROUND(C16/1000,0)</f>
        <v>0</v>
      </c>
      <c r="I16" s="390">
        <v>0</v>
      </c>
      <c r="J16" s="394">
        <f>H16</f>
        <v>0</v>
      </c>
      <c r="K16" s="257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83" customFormat="1" ht="12.75" customHeight="1">
      <c r="A17" s="107" t="s">
        <v>53</v>
      </c>
      <c r="B17" s="394"/>
      <c r="C17" s="394"/>
      <c r="D17" s="390" t="e">
        <f>C17/B17*100</f>
        <v>#DIV/0!</v>
      </c>
      <c r="E17" s="394">
        <f>C17-'[11]jūnijs'!C17</f>
        <v>0</v>
      </c>
      <c r="F17" s="107" t="s">
        <v>53</v>
      </c>
      <c r="G17" s="394">
        <f>ROUND(B17/1000,0)</f>
        <v>0</v>
      </c>
      <c r="H17" s="394">
        <f>ROUND(C17/1000,0)</f>
        <v>0</v>
      </c>
      <c r="I17" s="390">
        <v>0</v>
      </c>
      <c r="J17" s="394">
        <f>H17</f>
        <v>0</v>
      </c>
      <c r="K17" s="257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83" customFormat="1" ht="12.75" customHeight="1">
      <c r="A18" s="236" t="s">
        <v>60</v>
      </c>
      <c r="B18" s="392"/>
      <c r="C18" s="392"/>
      <c r="D18" s="390"/>
      <c r="E18" s="392"/>
      <c r="F18" s="236" t="s">
        <v>60</v>
      </c>
      <c r="G18" s="392"/>
      <c r="H18" s="392"/>
      <c r="I18" s="390"/>
      <c r="J18" s="392"/>
      <c r="K18" s="25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83" customFormat="1" ht="12.75" customHeight="1">
      <c r="A19" s="393" t="s">
        <v>211</v>
      </c>
      <c r="B19" s="392">
        <v>14138</v>
      </c>
      <c r="C19" s="392"/>
      <c r="D19" s="390">
        <f>C19/B19*100</f>
        <v>0</v>
      </c>
      <c r="E19" s="392">
        <f>C19-'[11]jūnijs'!C19</f>
        <v>0</v>
      </c>
      <c r="F19" s="393" t="s">
        <v>211</v>
      </c>
      <c r="G19" s="392">
        <f>ROUND(B19/1000,0)</f>
        <v>14</v>
      </c>
      <c r="H19" s="392">
        <f>ROUND(C19/1000,0)</f>
        <v>0</v>
      </c>
      <c r="I19" s="395">
        <f>H19/G19*100</f>
        <v>0</v>
      </c>
      <c r="J19" s="394">
        <f>ROUND(E19/1000,0)</f>
        <v>0</v>
      </c>
      <c r="K19" s="257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s="83" customFormat="1" ht="12.75" customHeight="1">
      <c r="A20" s="98" t="s">
        <v>333</v>
      </c>
      <c r="B20" s="392">
        <f>B21+B22</f>
        <v>14138</v>
      </c>
      <c r="C20" s="392">
        <f>C21+C22</f>
        <v>14138</v>
      </c>
      <c r="D20" s="390">
        <f>C20/B20*100</f>
        <v>100</v>
      </c>
      <c r="E20" s="392">
        <f>E21+E22</f>
        <v>123</v>
      </c>
      <c r="F20" s="98" t="s">
        <v>333</v>
      </c>
      <c r="G20" s="392">
        <f>G21+G22</f>
        <v>14</v>
      </c>
      <c r="H20" s="392">
        <f>H21+H22</f>
        <v>14</v>
      </c>
      <c r="I20" s="395">
        <f>H20/G20*100</f>
        <v>100</v>
      </c>
      <c r="J20" s="394">
        <f>SUM(J21:J22)</f>
        <v>0</v>
      </c>
      <c r="K20" s="257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s="83" customFormat="1" ht="12.75" customHeight="1">
      <c r="A21" s="107" t="s">
        <v>52</v>
      </c>
      <c r="B21" s="394">
        <v>14138</v>
      </c>
      <c r="C21" s="394">
        <v>14138</v>
      </c>
      <c r="D21" s="390">
        <f>C21/B21*100</f>
        <v>100</v>
      </c>
      <c r="E21" s="394">
        <f>C21-'[11]jūnijs'!C21</f>
        <v>123</v>
      </c>
      <c r="F21" s="107" t="s">
        <v>52</v>
      </c>
      <c r="G21" s="394">
        <f>ROUND(B21/1000,0)</f>
        <v>14</v>
      </c>
      <c r="H21" s="394">
        <f>ROUND(C21/1000,0)</f>
        <v>14</v>
      </c>
      <c r="I21" s="396">
        <f>H21/G21*100</f>
        <v>100</v>
      </c>
      <c r="J21" s="394">
        <f>ROUND(E21/1000,0)</f>
        <v>0</v>
      </c>
      <c r="K21" s="257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s="83" customFormat="1" ht="12.75" customHeight="1">
      <c r="A22" s="107" t="s">
        <v>53</v>
      </c>
      <c r="B22" s="394"/>
      <c r="C22" s="394"/>
      <c r="D22" s="390"/>
      <c r="E22" s="394">
        <f>C22-'[11]jūnijs'!C22</f>
        <v>0</v>
      </c>
      <c r="F22" s="107" t="s">
        <v>53</v>
      </c>
      <c r="G22" s="394">
        <f>ROUND(B22/1000,0)</f>
        <v>0</v>
      </c>
      <c r="H22" s="394">
        <f>ROUND(C22/1000,0)</f>
        <v>0</v>
      </c>
      <c r="I22" s="396">
        <v>0</v>
      </c>
      <c r="J22" s="394">
        <f>ROUND(E22/1000,0)</f>
        <v>0</v>
      </c>
      <c r="K22" s="257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3" customFormat="1" ht="12.75" customHeight="1">
      <c r="A23" s="236" t="s">
        <v>62</v>
      </c>
      <c r="B23" s="394"/>
      <c r="C23" s="394"/>
      <c r="D23" s="390"/>
      <c r="E23" s="394"/>
      <c r="F23" s="236" t="s">
        <v>62</v>
      </c>
      <c r="G23" s="392"/>
      <c r="H23" s="392"/>
      <c r="I23" s="390"/>
      <c r="J23" s="394"/>
      <c r="K23" s="257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s="83" customFormat="1" ht="12.75" customHeight="1">
      <c r="A24" s="393" t="s">
        <v>211</v>
      </c>
      <c r="B24" s="392">
        <v>6586</v>
      </c>
      <c r="C24" s="392">
        <v>14</v>
      </c>
      <c r="D24" s="390">
        <f>C24/B24*100</f>
        <v>0.21257212268448225</v>
      </c>
      <c r="E24" s="394">
        <f>C24-'[11]jūnijs'!C24</f>
        <v>14</v>
      </c>
      <c r="F24" s="393" t="s">
        <v>211</v>
      </c>
      <c r="G24" s="392">
        <f>ROUND(B24/1000,0)</f>
        <v>7</v>
      </c>
      <c r="H24" s="392">
        <f>ROUND(C24/1000,0)</f>
        <v>0</v>
      </c>
      <c r="I24" s="395">
        <f>H24/G24*100</f>
        <v>0</v>
      </c>
      <c r="J24" s="394">
        <f>ROUND(E24/1000,0)</f>
        <v>0</v>
      </c>
      <c r="K24" s="257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s="83" customFormat="1" ht="12.75" customHeight="1">
      <c r="A25" s="98" t="s">
        <v>333</v>
      </c>
      <c r="B25" s="392">
        <f>B26+B27</f>
        <v>22967</v>
      </c>
      <c r="C25" s="392">
        <f>C26+C27</f>
        <v>18745</v>
      </c>
      <c r="D25" s="390">
        <f>C25/B25*100</f>
        <v>81.6171027996691</v>
      </c>
      <c r="E25" s="392">
        <f>E26+E27</f>
        <v>1115</v>
      </c>
      <c r="F25" s="98" t="s">
        <v>333</v>
      </c>
      <c r="G25" s="392">
        <f>G26+G27</f>
        <v>23</v>
      </c>
      <c r="H25" s="392">
        <f>H26+H27</f>
        <v>19</v>
      </c>
      <c r="I25" s="395">
        <f>H25/G25*100</f>
        <v>82.6086956521739</v>
      </c>
      <c r="J25" s="394">
        <f>SUM(J26:J27)</f>
        <v>1</v>
      </c>
      <c r="K25" s="257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s="83" customFormat="1" ht="12.75" customHeight="1">
      <c r="A26" s="107" t="s">
        <v>52</v>
      </c>
      <c r="B26" s="394">
        <v>22967</v>
      </c>
      <c r="C26" s="394">
        <v>18745</v>
      </c>
      <c r="D26" s="390">
        <f>C26/B26*100</f>
        <v>81.6171027996691</v>
      </c>
      <c r="E26" s="394">
        <f>C26-'[11]jūnijs'!C26</f>
        <v>1115</v>
      </c>
      <c r="F26" s="107" t="s">
        <v>52</v>
      </c>
      <c r="G26" s="394">
        <f>ROUND(B26/1000,0)</f>
        <v>23</v>
      </c>
      <c r="H26" s="394">
        <f>ROUND(C26/1000,0)</f>
        <v>19</v>
      </c>
      <c r="I26" s="396">
        <f>H26/G26*100</f>
        <v>82.6086956521739</v>
      </c>
      <c r="J26" s="394">
        <f>ROUND(E26/1000,0)</f>
        <v>1</v>
      </c>
      <c r="K26" s="25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s="83" customFormat="1" ht="12.75" customHeight="1">
      <c r="A27" s="107" t="s">
        <v>53</v>
      </c>
      <c r="B27" s="394"/>
      <c r="C27" s="394"/>
      <c r="D27" s="390"/>
      <c r="E27" s="394">
        <f>C27-'[11]jūnijs'!C27</f>
        <v>0</v>
      </c>
      <c r="F27" s="107" t="s">
        <v>53</v>
      </c>
      <c r="G27" s="394">
        <f>ROUND(B27/1000,0)</f>
        <v>0</v>
      </c>
      <c r="H27" s="394">
        <f>ROUND(C27/1000,0)</f>
        <v>0</v>
      </c>
      <c r="I27" s="396">
        <v>0</v>
      </c>
      <c r="J27" s="394">
        <f>ROUND(E27/1000,0)</f>
        <v>0</v>
      </c>
      <c r="K27" s="257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83" customFormat="1" ht="12.75" customHeight="1">
      <c r="A28" s="236" t="s">
        <v>64</v>
      </c>
      <c r="B28" s="394"/>
      <c r="C28" s="394"/>
      <c r="D28" s="390"/>
      <c r="E28" s="394"/>
      <c r="F28" s="236" t="s">
        <v>64</v>
      </c>
      <c r="G28" s="392"/>
      <c r="H28" s="392"/>
      <c r="I28" s="390"/>
      <c r="J28" s="394"/>
      <c r="K28" s="257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</row>
    <row r="29" spans="1:83" s="83" customFormat="1" ht="12.75" customHeight="1">
      <c r="A29" s="393" t="s">
        <v>211</v>
      </c>
      <c r="B29" s="392">
        <v>34865</v>
      </c>
      <c r="C29" s="392">
        <v>19384</v>
      </c>
      <c r="D29" s="390">
        <f>C29/B29*100</f>
        <v>55.59730388641905</v>
      </c>
      <c r="E29" s="394">
        <f>C29-'[11]jūnijs'!C29</f>
        <v>2213</v>
      </c>
      <c r="F29" s="393" t="s">
        <v>211</v>
      </c>
      <c r="G29" s="392">
        <f>ROUND(B29/1000,0)</f>
        <v>35</v>
      </c>
      <c r="H29" s="392">
        <f>ROUND(C29/1000,0)</f>
        <v>19</v>
      </c>
      <c r="I29" s="395">
        <f>H29/G29*100</f>
        <v>54.285714285714285</v>
      </c>
      <c r="J29" s="394">
        <f>ROUND(E29/1000,0)</f>
        <v>2</v>
      </c>
      <c r="K29" s="257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1:83" s="83" customFormat="1" ht="12.75" customHeight="1">
      <c r="A30" s="98" t="s">
        <v>333</v>
      </c>
      <c r="B30" s="392">
        <f>B31+B32</f>
        <v>35915</v>
      </c>
      <c r="C30" s="392">
        <f>C31+C32</f>
        <v>19345</v>
      </c>
      <c r="D30" s="390">
        <f>C30/B30*100</f>
        <v>53.8632883196436</v>
      </c>
      <c r="E30" s="394">
        <f>E31+E32</f>
        <v>1281</v>
      </c>
      <c r="F30" s="98" t="s">
        <v>333</v>
      </c>
      <c r="G30" s="392">
        <f>G31+G32</f>
        <v>36</v>
      </c>
      <c r="H30" s="392">
        <f>H31+H32</f>
        <v>19</v>
      </c>
      <c r="I30" s="395">
        <f>H30/G30*100</f>
        <v>52.77777777777778</v>
      </c>
      <c r="J30" s="394">
        <f>SUM(J31:J32)</f>
        <v>1</v>
      </c>
      <c r="K30" s="257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83" customFormat="1" ht="12.75" customHeight="1">
      <c r="A31" s="242" t="s">
        <v>52</v>
      </c>
      <c r="B31" s="394">
        <v>12729</v>
      </c>
      <c r="C31" s="394">
        <v>2965</v>
      </c>
      <c r="D31" s="390">
        <f>C31/B31*100</f>
        <v>23.293267342289262</v>
      </c>
      <c r="E31" s="394">
        <f>C31-'[11]jūnijs'!C31</f>
        <v>591</v>
      </c>
      <c r="F31" s="107" t="s">
        <v>52</v>
      </c>
      <c r="G31" s="394">
        <f>ROUND(B31/1000,0)</f>
        <v>13</v>
      </c>
      <c r="H31" s="394">
        <f>ROUND(C31/1000,0)</f>
        <v>3</v>
      </c>
      <c r="I31" s="396">
        <f>H31/G31*100</f>
        <v>23.076923076923077</v>
      </c>
      <c r="J31" s="394">
        <f>ROUND(E31/1000,0)-1</f>
        <v>0</v>
      </c>
      <c r="K31" s="257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1:83" s="83" customFormat="1" ht="12.75" customHeight="1">
      <c r="A32" s="242" t="s">
        <v>53</v>
      </c>
      <c r="B32" s="394">
        <v>23186</v>
      </c>
      <c r="C32" s="394">
        <v>16380</v>
      </c>
      <c r="D32" s="390">
        <f>C32/B32*100</f>
        <v>70.64607953075132</v>
      </c>
      <c r="E32" s="394">
        <f>C32-'[11]jūnijs'!C32</f>
        <v>690</v>
      </c>
      <c r="F32" s="107" t="s">
        <v>53</v>
      </c>
      <c r="G32" s="394">
        <f>ROUND(B32/1000,0)</f>
        <v>23</v>
      </c>
      <c r="H32" s="394">
        <f>ROUND(C32/1000,0)</f>
        <v>16</v>
      </c>
      <c r="I32" s="396">
        <f>H32/G32*100</f>
        <v>69.56521739130434</v>
      </c>
      <c r="J32" s="394">
        <f>ROUND(E32/1000,0)</f>
        <v>1</v>
      </c>
      <c r="K32" s="257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1:83" s="83" customFormat="1" ht="12.75" customHeight="1">
      <c r="A33" s="236" t="s">
        <v>66</v>
      </c>
      <c r="B33" s="394"/>
      <c r="C33" s="394"/>
      <c r="D33" s="390"/>
      <c r="E33" s="394"/>
      <c r="F33" s="236" t="s">
        <v>66</v>
      </c>
      <c r="G33" s="392"/>
      <c r="H33" s="392"/>
      <c r="I33" s="396"/>
      <c r="J33" s="394"/>
      <c r="K33" s="257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s="83" customFormat="1" ht="12.75" customHeight="1">
      <c r="A34" s="393" t="s">
        <v>211</v>
      </c>
      <c r="B34" s="392">
        <v>5676</v>
      </c>
      <c r="C34" s="392">
        <v>5168</v>
      </c>
      <c r="D34" s="390">
        <f>C34/B34*100</f>
        <v>91.05003523608175</v>
      </c>
      <c r="E34" s="394">
        <f>C34-'[11]jūnijs'!C34</f>
        <v>2330</v>
      </c>
      <c r="F34" s="393" t="s">
        <v>211</v>
      </c>
      <c r="G34" s="392">
        <f>ROUND(B34/1000,0)</f>
        <v>6</v>
      </c>
      <c r="H34" s="392">
        <f>ROUND(C34/1000,0)</f>
        <v>5</v>
      </c>
      <c r="I34" s="395">
        <f>H34/G34*100</f>
        <v>83.33333333333334</v>
      </c>
      <c r="J34" s="394">
        <f>ROUND(E34/1000,0)</f>
        <v>2</v>
      </c>
      <c r="K34" s="257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s="83" customFormat="1" ht="12.75" customHeight="1">
      <c r="A35" s="98" t="s">
        <v>333</v>
      </c>
      <c r="B35" s="392">
        <f>B36+B37</f>
        <v>5676</v>
      </c>
      <c r="C35" s="392">
        <f>C36+C37</f>
        <v>5046</v>
      </c>
      <c r="D35" s="390">
        <f>C35/B35*100</f>
        <v>88.90063424947145</v>
      </c>
      <c r="E35" s="394">
        <f>E36+E37</f>
        <v>2328</v>
      </c>
      <c r="F35" s="98" t="s">
        <v>333</v>
      </c>
      <c r="G35" s="392">
        <f>G36+G37</f>
        <v>6</v>
      </c>
      <c r="H35" s="392">
        <f>H36+H37</f>
        <v>5</v>
      </c>
      <c r="I35" s="395">
        <f>H35/G35*100</f>
        <v>83.33333333333334</v>
      </c>
      <c r="J35" s="394">
        <f>SUM(J36:J37)</f>
        <v>2</v>
      </c>
      <c r="K35" s="257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s="83" customFormat="1" ht="12.75" customHeight="1">
      <c r="A36" s="242" t="s">
        <v>52</v>
      </c>
      <c r="B36" s="394">
        <v>5676</v>
      </c>
      <c r="C36" s="394">
        <v>5046</v>
      </c>
      <c r="D36" s="390">
        <f>C36/B36*100</f>
        <v>88.90063424947145</v>
      </c>
      <c r="E36" s="394">
        <f>C36-'[11]jūnijs'!C36</f>
        <v>2328</v>
      </c>
      <c r="F36" s="107" t="s">
        <v>52</v>
      </c>
      <c r="G36" s="394">
        <f>ROUND(B36/1000,0)</f>
        <v>6</v>
      </c>
      <c r="H36" s="394">
        <f>ROUND(C36/1000,0)</f>
        <v>5</v>
      </c>
      <c r="I36" s="396">
        <f>H36/G36*100</f>
        <v>83.33333333333334</v>
      </c>
      <c r="J36" s="394">
        <f>ROUND(E36/1000,0)</f>
        <v>2</v>
      </c>
      <c r="K36" s="257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s="83" customFormat="1" ht="12.75" customHeight="1">
      <c r="A37" s="242" t="s">
        <v>53</v>
      </c>
      <c r="B37" s="394"/>
      <c r="C37" s="394"/>
      <c r="D37" s="390"/>
      <c r="E37" s="394">
        <f>C37-'[11]jūnijs'!C37</f>
        <v>0</v>
      </c>
      <c r="F37" s="107" t="s">
        <v>53</v>
      </c>
      <c r="G37" s="394">
        <f>ROUND(B37/1000,0)</f>
        <v>0</v>
      </c>
      <c r="H37" s="394">
        <f>ROUND(C37/1000,0)</f>
        <v>0</v>
      </c>
      <c r="I37" s="396">
        <v>0</v>
      </c>
      <c r="J37" s="394">
        <f>ROUND(E37/1000,0)</f>
        <v>0</v>
      </c>
      <c r="K37" s="257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s="83" customFormat="1" ht="12.75" customHeight="1">
      <c r="A38" s="236" t="s">
        <v>68</v>
      </c>
      <c r="B38" s="394"/>
      <c r="C38" s="394"/>
      <c r="D38" s="390"/>
      <c r="E38" s="394"/>
      <c r="F38" s="236" t="s">
        <v>68</v>
      </c>
      <c r="G38" s="392"/>
      <c r="H38" s="392"/>
      <c r="I38" s="390"/>
      <c r="J38" s="394"/>
      <c r="K38" s="257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s="83" customFormat="1" ht="12.75" customHeight="1">
      <c r="A39" s="393" t="s">
        <v>211</v>
      </c>
      <c r="B39" s="392">
        <v>60500</v>
      </c>
      <c r="C39" s="392">
        <v>56394</v>
      </c>
      <c r="D39" s="390">
        <f>C39/B39*100</f>
        <v>93.21322314049587</v>
      </c>
      <c r="E39" s="394">
        <f>C39-'[11]jūnijs'!C39</f>
        <v>836</v>
      </c>
      <c r="F39" s="393" t="s">
        <v>211</v>
      </c>
      <c r="G39" s="392">
        <f>ROUND(B39/1000,0)</f>
        <v>61</v>
      </c>
      <c r="H39" s="392">
        <f>ROUND(C39/1000,0)</f>
        <v>56</v>
      </c>
      <c r="I39" s="395">
        <f>H39/G39*100</f>
        <v>91.80327868852459</v>
      </c>
      <c r="J39" s="394">
        <f>ROUND(E39/1000,0)-1</f>
        <v>0</v>
      </c>
      <c r="K39" s="257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s="83" customFormat="1" ht="12.75" customHeight="1">
      <c r="A40" s="98" t="s">
        <v>51</v>
      </c>
      <c r="B40" s="392">
        <f>B41+B42</f>
        <v>62540</v>
      </c>
      <c r="C40" s="392">
        <f>C41+C42</f>
        <v>58741</v>
      </c>
      <c r="D40" s="390">
        <f>C40/B40*100</f>
        <v>93.92548768787977</v>
      </c>
      <c r="E40" s="394">
        <f>E41+E42</f>
        <v>675</v>
      </c>
      <c r="F40" s="98" t="s">
        <v>51</v>
      </c>
      <c r="G40" s="392">
        <f>G41+G42</f>
        <v>63</v>
      </c>
      <c r="H40" s="392">
        <f>H41+H42</f>
        <v>59</v>
      </c>
      <c r="I40" s="395">
        <f>H40/G40*100</f>
        <v>93.65079365079364</v>
      </c>
      <c r="J40" s="394">
        <f>SUM(J41:J42)</f>
        <v>1</v>
      </c>
      <c r="K40" s="257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s="83" customFormat="1" ht="12.75" customHeight="1">
      <c r="A41" s="107" t="s">
        <v>52</v>
      </c>
      <c r="B41" s="394">
        <v>62540</v>
      </c>
      <c r="C41" s="400">
        <v>58741</v>
      </c>
      <c r="D41" s="390">
        <f>C41/B41*100</f>
        <v>93.92548768787977</v>
      </c>
      <c r="E41" s="394">
        <f>C41-'[11]jūnijs'!C41</f>
        <v>675</v>
      </c>
      <c r="F41" s="107" t="s">
        <v>52</v>
      </c>
      <c r="G41" s="394">
        <f>ROUND(B41/1000,0)</f>
        <v>63</v>
      </c>
      <c r="H41" s="394">
        <f>ROUND(C41/1000,0)</f>
        <v>59</v>
      </c>
      <c r="I41" s="396">
        <f>H41/G41*100</f>
        <v>93.65079365079364</v>
      </c>
      <c r="J41" s="394">
        <f>ROUND(E41/1000,0)</f>
        <v>1</v>
      </c>
      <c r="K41" s="257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s="83" customFormat="1" ht="12.75" customHeight="1">
      <c r="A42" s="107" t="s">
        <v>53</v>
      </c>
      <c r="B42" s="394"/>
      <c r="C42" s="394"/>
      <c r="D42" s="390"/>
      <c r="E42" s="394">
        <f>C42-'[11]jūnijs'!C42</f>
        <v>0</v>
      </c>
      <c r="F42" s="107" t="s">
        <v>53</v>
      </c>
      <c r="G42" s="394">
        <f>ROUND(B42/1000,0)</f>
        <v>0</v>
      </c>
      <c r="H42" s="394">
        <f>ROUND(C42/1000,0)</f>
        <v>0</v>
      </c>
      <c r="I42" s="396">
        <v>0</v>
      </c>
      <c r="J42" s="394">
        <f>ROUND(E42/1000,0)</f>
        <v>0</v>
      </c>
      <c r="K42" s="257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s="83" customFormat="1" ht="12.75" customHeight="1">
      <c r="A43" s="236" t="s">
        <v>70</v>
      </c>
      <c r="B43" s="394"/>
      <c r="C43" s="394"/>
      <c r="D43" s="390"/>
      <c r="E43" s="394"/>
      <c r="F43" s="236" t="s">
        <v>70</v>
      </c>
      <c r="G43" s="392"/>
      <c r="H43" s="392"/>
      <c r="I43" s="396"/>
      <c r="J43" s="394"/>
      <c r="K43" s="257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s="815" customFormat="1" ht="12.75" customHeight="1">
      <c r="A44" s="397" t="s">
        <v>211</v>
      </c>
      <c r="B44" s="398">
        <v>71215</v>
      </c>
      <c r="C44" s="398">
        <f>4957-52</f>
        <v>4905</v>
      </c>
      <c r="D44" s="405">
        <f>C44/B44*100</f>
        <v>6.887593905778278</v>
      </c>
      <c r="E44" s="400">
        <f>C44-'[11]jūnijs'!C44</f>
        <v>-34</v>
      </c>
      <c r="F44" s="397" t="s">
        <v>757</v>
      </c>
      <c r="G44" s="398">
        <f>ROUND(B44/1000,0)</f>
        <v>71</v>
      </c>
      <c r="H44" s="398">
        <f>ROUND(C44/1000,0)</f>
        <v>5</v>
      </c>
      <c r="I44" s="399">
        <f>H44/G44*100</f>
        <v>7.042253521126761</v>
      </c>
      <c r="J44" s="400">
        <f>ROUND(E44/1000,0)</f>
        <v>0</v>
      </c>
      <c r="K44" s="814"/>
      <c r="L44" s="247"/>
      <c r="M44" s="247"/>
      <c r="N44" s="247"/>
      <c r="O44" s="247"/>
      <c r="P44" s="247"/>
      <c r="Q44" s="247"/>
      <c r="R44" s="247"/>
      <c r="S44" s="247"/>
      <c r="T44" s="247"/>
      <c r="U44" s="247"/>
      <c r="V44" s="247"/>
      <c r="W44" s="247"/>
      <c r="X44" s="247"/>
      <c r="Y44" s="247"/>
      <c r="Z44" s="247"/>
      <c r="AA44" s="247"/>
      <c r="AB44" s="247"/>
      <c r="AC44" s="247"/>
      <c r="AD44" s="247"/>
      <c r="AE44" s="247"/>
      <c r="AF44" s="247"/>
      <c r="AG44" s="247"/>
      <c r="AH44" s="247"/>
      <c r="AI44" s="247"/>
      <c r="AJ44" s="247"/>
      <c r="AK44" s="247"/>
      <c r="AL44" s="247"/>
      <c r="AM44" s="247"/>
      <c r="AN44" s="247"/>
      <c r="AO44" s="247"/>
      <c r="AP44" s="247"/>
      <c r="AQ44" s="247"/>
      <c r="AR44" s="247"/>
      <c r="AS44" s="247"/>
      <c r="AT44" s="247"/>
      <c r="AU44" s="247"/>
      <c r="AV44" s="247"/>
      <c r="AW44" s="247"/>
      <c r="AX44" s="247"/>
      <c r="AY44" s="247"/>
      <c r="AZ44" s="247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</row>
    <row r="45" spans="1:83" s="815" customFormat="1" ht="12.75" customHeight="1">
      <c r="A45" s="401" t="s">
        <v>333</v>
      </c>
      <c r="B45" s="398">
        <f>B46+B47</f>
        <v>71215</v>
      </c>
      <c r="C45" s="398">
        <f>C46+C47</f>
        <v>41731</v>
      </c>
      <c r="D45" s="405">
        <f>C45/B45*100</f>
        <v>58.59860984343186</v>
      </c>
      <c r="E45" s="400">
        <f>E46+E47</f>
        <v>1623</v>
      </c>
      <c r="F45" s="401" t="s">
        <v>333</v>
      </c>
      <c r="G45" s="398">
        <f>G46+G47</f>
        <v>71</v>
      </c>
      <c r="H45" s="398">
        <f>H46+H47</f>
        <v>42</v>
      </c>
      <c r="I45" s="399">
        <f>H45/G45*100</f>
        <v>59.154929577464785</v>
      </c>
      <c r="J45" s="400">
        <f>SUM(J46:J47)</f>
        <v>2</v>
      </c>
      <c r="K45" s="814"/>
      <c r="L45" s="247"/>
      <c r="M45" s="247"/>
      <c r="N45" s="247"/>
      <c r="O45" s="247"/>
      <c r="P45" s="247"/>
      <c r="Q45" s="247"/>
      <c r="R45" s="247"/>
      <c r="S45" s="247"/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  <c r="AQ45" s="247"/>
      <c r="AR45" s="247"/>
      <c r="AS45" s="247"/>
      <c r="AT45" s="247"/>
      <c r="AU45" s="247"/>
      <c r="AV45" s="247"/>
      <c r="AW45" s="247"/>
      <c r="AX45" s="247"/>
      <c r="AY45" s="247"/>
      <c r="AZ45" s="247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</row>
    <row r="46" spans="1:83" s="815" customFormat="1" ht="12.75" customHeight="1">
      <c r="A46" s="402" t="s">
        <v>52</v>
      </c>
      <c r="B46" s="400">
        <v>71075</v>
      </c>
      <c r="C46" s="400">
        <f>41643-52</f>
        <v>41591</v>
      </c>
      <c r="D46" s="405">
        <f>C46/B46*100</f>
        <v>58.51705944424903</v>
      </c>
      <c r="E46" s="400">
        <f>C46-'[11]jūnijs'!C46</f>
        <v>1623</v>
      </c>
      <c r="F46" s="402" t="s">
        <v>52</v>
      </c>
      <c r="G46" s="400">
        <f>ROUND(B46/1000,0)</f>
        <v>71</v>
      </c>
      <c r="H46" s="400">
        <f>ROUND(C46/1000,0)</f>
        <v>42</v>
      </c>
      <c r="I46" s="403">
        <f>H46/G46*100</f>
        <v>59.154929577464785</v>
      </c>
      <c r="J46" s="400">
        <f>(ROUND(E46/1000,0))</f>
        <v>2</v>
      </c>
      <c r="K46" s="814"/>
      <c r="L46" s="247"/>
      <c r="M46" s="247"/>
      <c r="N46" s="247"/>
      <c r="O46" s="247"/>
      <c r="P46" s="247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  <c r="AQ46" s="247"/>
      <c r="AR46" s="247"/>
      <c r="AS46" s="247"/>
      <c r="AT46" s="247"/>
      <c r="AU46" s="247"/>
      <c r="AV46" s="247"/>
      <c r="AW46" s="247"/>
      <c r="AX46" s="247"/>
      <c r="AY46" s="247"/>
      <c r="AZ46" s="247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</row>
    <row r="47" spans="1:83" s="815" customFormat="1" ht="12.75" customHeight="1">
      <c r="A47" s="402" t="s">
        <v>53</v>
      </c>
      <c r="B47" s="400">
        <v>140</v>
      </c>
      <c r="C47" s="400">
        <v>140</v>
      </c>
      <c r="D47" s="405"/>
      <c r="E47" s="400">
        <f>C47-'[11]jūnijs'!C47</f>
        <v>0</v>
      </c>
      <c r="F47" s="402" t="s">
        <v>53</v>
      </c>
      <c r="G47" s="400">
        <f>ROUND(B47/1000,0)</f>
        <v>0</v>
      </c>
      <c r="H47" s="400">
        <f>ROUND(C47/1000,0)</f>
        <v>0</v>
      </c>
      <c r="I47" s="403">
        <v>0</v>
      </c>
      <c r="J47" s="400">
        <f>ROUND(E47/1000,0)</f>
        <v>0</v>
      </c>
      <c r="K47" s="814"/>
      <c r="L47" s="247"/>
      <c r="M47" s="247"/>
      <c r="N47" s="247"/>
      <c r="O47" s="247"/>
      <c r="P47" s="247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  <c r="AQ47" s="247"/>
      <c r="AR47" s="247"/>
      <c r="AS47" s="247"/>
      <c r="AT47" s="247"/>
      <c r="AU47" s="247"/>
      <c r="AV47" s="247"/>
      <c r="AW47" s="247"/>
      <c r="AX47" s="247"/>
      <c r="AY47" s="247"/>
      <c r="AZ47" s="247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</row>
    <row r="48" spans="1:83" s="815" customFormat="1" ht="12.75" customHeight="1">
      <c r="A48" s="404" t="s">
        <v>72</v>
      </c>
      <c r="B48" s="400"/>
      <c r="C48" s="400"/>
      <c r="D48" s="405"/>
      <c r="E48" s="400"/>
      <c r="F48" s="404" t="s">
        <v>72</v>
      </c>
      <c r="G48" s="398"/>
      <c r="H48" s="398"/>
      <c r="I48" s="405"/>
      <c r="J48" s="400"/>
      <c r="K48" s="814"/>
      <c r="L48" s="247"/>
      <c r="M48" s="247"/>
      <c r="N48" s="247"/>
      <c r="O48" s="247"/>
      <c r="P48" s="247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  <c r="AQ48" s="247"/>
      <c r="AR48" s="247"/>
      <c r="AS48" s="247"/>
      <c r="AT48" s="247"/>
      <c r="AU48" s="247"/>
      <c r="AV48" s="247"/>
      <c r="AW48" s="247"/>
      <c r="AX48" s="247"/>
      <c r="AY48" s="247"/>
      <c r="AZ48" s="247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</row>
    <row r="49" spans="1:83" s="83" customFormat="1" ht="12.75" customHeight="1">
      <c r="A49" s="393" t="s">
        <v>211</v>
      </c>
      <c r="B49" s="392">
        <v>332402</v>
      </c>
      <c r="C49" s="392">
        <v>132813</v>
      </c>
      <c r="D49" s="390">
        <f>C49/B49*100</f>
        <v>39.95553576693281</v>
      </c>
      <c r="E49" s="394">
        <f>C49-'[11]jūnijs'!C49</f>
        <v>18065</v>
      </c>
      <c r="F49" s="393" t="s">
        <v>211</v>
      </c>
      <c r="G49" s="392">
        <f>ROUND(B49/1000,0)</f>
        <v>332</v>
      </c>
      <c r="H49" s="392">
        <f>ROUND(C49/1000,0)</f>
        <v>133</v>
      </c>
      <c r="I49" s="395">
        <f>H49/G49*100</f>
        <v>40.06024096385542</v>
      </c>
      <c r="J49" s="394">
        <f>ROUND(E49/1000,0)</f>
        <v>18</v>
      </c>
      <c r="K49" s="257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1:83" s="83" customFormat="1" ht="12.75" customHeight="1">
      <c r="A50" s="98" t="s">
        <v>333</v>
      </c>
      <c r="B50" s="392">
        <f>B51+B52</f>
        <v>338651</v>
      </c>
      <c r="C50" s="392">
        <f>C51+C52</f>
        <v>133035</v>
      </c>
      <c r="D50" s="390">
        <f>C50/B50*100</f>
        <v>39.283805451630144</v>
      </c>
      <c r="E50" s="394">
        <f>E51+E52</f>
        <v>24834</v>
      </c>
      <c r="F50" s="98" t="s">
        <v>333</v>
      </c>
      <c r="G50" s="392">
        <f>G51+G52</f>
        <v>338</v>
      </c>
      <c r="H50" s="392">
        <f>H51+H52</f>
        <v>133</v>
      </c>
      <c r="I50" s="395">
        <f>H50/G50*100</f>
        <v>39.349112426035504</v>
      </c>
      <c r="J50" s="394">
        <f>SUM(J51:J52)</f>
        <v>25</v>
      </c>
      <c r="K50" s="257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1:83" s="83" customFormat="1" ht="12.75" customHeight="1">
      <c r="A51" s="107" t="s">
        <v>52</v>
      </c>
      <c r="B51" s="400">
        <v>190804</v>
      </c>
      <c r="C51" s="394">
        <v>70878</v>
      </c>
      <c r="D51" s="390">
        <f>C51/B51*100</f>
        <v>37.147019978616804</v>
      </c>
      <c r="E51" s="394">
        <f>C51-'[11]jūnijs'!C51</f>
        <v>10805</v>
      </c>
      <c r="F51" s="107" t="s">
        <v>52</v>
      </c>
      <c r="G51" s="394">
        <f>ROUND(B51/1000,0)</f>
        <v>191</v>
      </c>
      <c r="H51" s="394">
        <f>ROUND(C51/1000,0)</f>
        <v>71</v>
      </c>
      <c r="I51" s="396">
        <f>H51/G51*100</f>
        <v>37.17277486910995</v>
      </c>
      <c r="J51" s="394">
        <f>ROUND(E51/1000,0)</f>
        <v>11</v>
      </c>
      <c r="K51" s="257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1:83" s="83" customFormat="1" ht="12.75" customHeight="1">
      <c r="A52" s="107" t="s">
        <v>53</v>
      </c>
      <c r="B52" s="394">
        <v>147847</v>
      </c>
      <c r="C52" s="394">
        <v>62157</v>
      </c>
      <c r="D52" s="390"/>
      <c r="E52" s="394">
        <f>C52-'[11]jūnijs'!C52</f>
        <v>14029</v>
      </c>
      <c r="F52" s="107" t="s">
        <v>53</v>
      </c>
      <c r="G52" s="394">
        <f>ROUND(B52/1000,0)-1</f>
        <v>147</v>
      </c>
      <c r="H52" s="394">
        <f>ROUND(C52/1000,0)</f>
        <v>62</v>
      </c>
      <c r="I52" s="396">
        <f>H52/G52*100</f>
        <v>42.17687074829932</v>
      </c>
      <c r="J52" s="394">
        <f>ROUND(E52/1000,0)</f>
        <v>14</v>
      </c>
      <c r="K52" s="257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1:83" s="83" customFormat="1" ht="12.75" customHeight="1">
      <c r="A53" s="92" t="s">
        <v>74</v>
      </c>
      <c r="B53" s="394"/>
      <c r="C53" s="394"/>
      <c r="D53" s="390"/>
      <c r="E53" s="394"/>
      <c r="F53" s="236" t="s">
        <v>74</v>
      </c>
      <c r="G53" s="392"/>
      <c r="H53" s="392"/>
      <c r="I53" s="390"/>
      <c r="J53" s="394"/>
      <c r="K53" s="257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1:83" s="83" customFormat="1" ht="12.75" customHeight="1">
      <c r="A54" s="393" t="s">
        <v>211</v>
      </c>
      <c r="B54" s="392">
        <v>1554057</v>
      </c>
      <c r="C54" s="392">
        <v>645919</v>
      </c>
      <c r="D54" s="390">
        <f>C54/B54*100</f>
        <v>41.563404688502416</v>
      </c>
      <c r="E54" s="394">
        <f>C54-'[11]jūnijs'!C54</f>
        <v>23908</v>
      </c>
      <c r="F54" s="393" t="s">
        <v>211</v>
      </c>
      <c r="G54" s="392">
        <f>ROUND(B54/1000,0)</f>
        <v>1554</v>
      </c>
      <c r="H54" s="392">
        <f>ROUND(C54/1000,0)</f>
        <v>646</v>
      </c>
      <c r="I54" s="395">
        <f>H54/G54*100</f>
        <v>41.57014157014157</v>
      </c>
      <c r="J54" s="394">
        <f>ROUND(E54/1000,0)</f>
        <v>24</v>
      </c>
      <c r="K54" s="257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83" customFormat="1" ht="12.75" customHeight="1">
      <c r="A55" s="98" t="s">
        <v>333</v>
      </c>
      <c r="B55" s="392">
        <f>SUM(B56:B57)</f>
        <v>1589605</v>
      </c>
      <c r="C55" s="392">
        <f>SUM(C56:C57)</f>
        <v>641407</v>
      </c>
      <c r="D55" s="390">
        <f>C55/B55*100</f>
        <v>40.35008697129161</v>
      </c>
      <c r="E55" s="394">
        <f>E56+E57</f>
        <v>49478</v>
      </c>
      <c r="F55" s="98" t="s">
        <v>333</v>
      </c>
      <c r="G55" s="392">
        <f>SUM(G56:G57)</f>
        <v>1590</v>
      </c>
      <c r="H55" s="392">
        <f>SUM(H56:H57)-1</f>
        <v>641</v>
      </c>
      <c r="I55" s="395">
        <f>H55/G55*100</f>
        <v>40.314465408805034</v>
      </c>
      <c r="J55" s="394">
        <f>SUM(J56:J57)</f>
        <v>49</v>
      </c>
      <c r="K55" s="257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s="83" customFormat="1" ht="12.75" customHeight="1">
      <c r="A56" s="107" t="s">
        <v>52</v>
      </c>
      <c r="B56" s="394">
        <v>1452467</v>
      </c>
      <c r="C56" s="394">
        <v>603650</v>
      </c>
      <c r="D56" s="390">
        <f>C56/B56*100</f>
        <v>41.56032460634218</v>
      </c>
      <c r="E56" s="394">
        <f>C56-'[11]jūnijs'!C56</f>
        <v>47244</v>
      </c>
      <c r="F56" s="107" t="s">
        <v>52</v>
      </c>
      <c r="G56" s="394">
        <f>ROUND(B56/1000,0)+1</f>
        <v>1453</v>
      </c>
      <c r="H56" s="394">
        <f>ROUND(C56/1000,0)</f>
        <v>604</v>
      </c>
      <c r="I56" s="396">
        <f>H56/G56*100</f>
        <v>41.569167240192705</v>
      </c>
      <c r="J56" s="394">
        <f>ROUND(E56/1000,0)</f>
        <v>47</v>
      </c>
      <c r="K56" s="257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</row>
    <row r="57" spans="1:83" s="83" customFormat="1" ht="12.75" customHeight="1">
      <c r="A57" s="107" t="s">
        <v>53</v>
      </c>
      <c r="B57" s="394">
        <v>137138</v>
      </c>
      <c r="C57" s="394">
        <v>37757</v>
      </c>
      <c r="D57" s="390">
        <f>C57/B57*100</f>
        <v>27.53212092928291</v>
      </c>
      <c r="E57" s="394">
        <f>C57-'[11]jūnijs'!C57</f>
        <v>2234</v>
      </c>
      <c r="F57" s="107" t="s">
        <v>53</v>
      </c>
      <c r="G57" s="394">
        <f>ROUND(B57/1000,0)</f>
        <v>137</v>
      </c>
      <c r="H57" s="394">
        <f>ROUND(C57/1000,0)</f>
        <v>38</v>
      </c>
      <c r="I57" s="396">
        <f>H57/G57*100</f>
        <v>27.73722627737226</v>
      </c>
      <c r="J57" s="394">
        <f>ROUND(E57/1000,0)</f>
        <v>2</v>
      </c>
      <c r="K57" s="257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</row>
    <row r="58" spans="1:83" s="83" customFormat="1" ht="12.75" customHeight="1">
      <c r="A58" s="236" t="s">
        <v>76</v>
      </c>
      <c r="B58" s="394"/>
      <c r="C58" s="394"/>
      <c r="D58" s="390"/>
      <c r="E58" s="394"/>
      <c r="F58" s="236" t="s">
        <v>76</v>
      </c>
      <c r="G58" s="392"/>
      <c r="H58" s="392"/>
      <c r="I58" s="390"/>
      <c r="J58" s="394"/>
      <c r="K58" s="257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</row>
    <row r="59" spans="1:83" s="83" customFormat="1" ht="12.75" customHeight="1">
      <c r="A59" s="393" t="s">
        <v>211</v>
      </c>
      <c r="B59" s="392">
        <v>330120</v>
      </c>
      <c r="C59" s="392">
        <v>145316</v>
      </c>
      <c r="D59" s="390">
        <f>C59/B59*100</f>
        <v>44.0191445534957</v>
      </c>
      <c r="E59" s="394">
        <f>C59-'[11]jūnijs'!C59</f>
        <v>24817</v>
      </c>
      <c r="F59" s="393" t="s">
        <v>211</v>
      </c>
      <c r="G59" s="392">
        <f>ROUND(B59/1000,0)</f>
        <v>330</v>
      </c>
      <c r="H59" s="392">
        <f>ROUND(C59/1000,0)</f>
        <v>145</v>
      </c>
      <c r="I59" s="395">
        <f>H59/G59*100</f>
        <v>43.93939393939394</v>
      </c>
      <c r="J59" s="394">
        <f>ROUND(E59/1000,0)</f>
        <v>25</v>
      </c>
      <c r="K59" s="257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</row>
    <row r="60" spans="1:83" s="83" customFormat="1" ht="12.75" customHeight="1">
      <c r="A60" s="98" t="s">
        <v>333</v>
      </c>
      <c r="B60" s="392">
        <f>SUM(B61:B62)</f>
        <v>350461</v>
      </c>
      <c r="C60" s="392">
        <f>SUM(C61:C62)</f>
        <v>171106</v>
      </c>
      <c r="D60" s="390">
        <f>C60/B60*100</f>
        <v>48.82312154562134</v>
      </c>
      <c r="E60" s="394">
        <f>E61+E62</f>
        <v>26717</v>
      </c>
      <c r="F60" s="98" t="s">
        <v>333</v>
      </c>
      <c r="G60" s="392">
        <f>SUM(G61:G62)</f>
        <v>350</v>
      </c>
      <c r="H60" s="392">
        <f>SUM(H61:H62)</f>
        <v>171</v>
      </c>
      <c r="I60" s="395">
        <f>H60/G60*100</f>
        <v>48.857142857142854</v>
      </c>
      <c r="J60" s="394">
        <f>SUM(J61:J62)</f>
        <v>27</v>
      </c>
      <c r="K60" s="257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</row>
    <row r="61" spans="1:11" ht="12.75" customHeight="1">
      <c r="A61" s="107" t="s">
        <v>52</v>
      </c>
      <c r="B61" s="394">
        <v>294010</v>
      </c>
      <c r="C61" s="394">
        <v>142746</v>
      </c>
      <c r="D61" s="390">
        <f>C61/B61*100</f>
        <v>48.55140981599265</v>
      </c>
      <c r="E61" s="394">
        <f>C61-'[11]jūnijs'!C61</f>
        <v>26245</v>
      </c>
      <c r="F61" s="107" t="s">
        <v>52</v>
      </c>
      <c r="G61" s="394">
        <f>ROUND(B61/1000,0)</f>
        <v>294</v>
      </c>
      <c r="H61" s="394">
        <f>ROUND(C61/1000,0)</f>
        <v>143</v>
      </c>
      <c r="I61" s="396">
        <f>H61/G61*100</f>
        <v>48.63945578231292</v>
      </c>
      <c r="J61" s="394">
        <f>ROUND(E61/1000,0)</f>
        <v>26</v>
      </c>
      <c r="K61" s="257"/>
    </row>
    <row r="62" spans="1:11" ht="12.75" customHeight="1">
      <c r="A62" s="107" t="s">
        <v>53</v>
      </c>
      <c r="B62" s="394">
        <v>56451</v>
      </c>
      <c r="C62" s="394">
        <v>28360</v>
      </c>
      <c r="D62" s="390">
        <f>C62/B62*100</f>
        <v>50.23825972967707</v>
      </c>
      <c r="E62" s="394">
        <f>C62-'[11]jūnijs'!C62</f>
        <v>472</v>
      </c>
      <c r="F62" s="107" t="s">
        <v>53</v>
      </c>
      <c r="G62" s="394">
        <f>ROUND(B62/1000,0)</f>
        <v>56</v>
      </c>
      <c r="H62" s="394">
        <f>ROUND(C62/1000,0)</f>
        <v>28</v>
      </c>
      <c r="I62" s="396">
        <f>H62/G62*100</f>
        <v>50</v>
      </c>
      <c r="J62" s="394">
        <f>ROUND(E62/1000,0)+1</f>
        <v>1</v>
      </c>
      <c r="K62" s="257"/>
    </row>
    <row r="63" spans="1:11" ht="12.75" customHeight="1">
      <c r="A63" s="236" t="s">
        <v>78</v>
      </c>
      <c r="B63" s="394"/>
      <c r="C63" s="394"/>
      <c r="D63" s="390"/>
      <c r="E63" s="394"/>
      <c r="F63" s="236" t="s">
        <v>78</v>
      </c>
      <c r="G63" s="392"/>
      <c r="H63" s="392"/>
      <c r="I63" s="390"/>
      <c r="J63" s="394"/>
      <c r="K63" s="257"/>
    </row>
    <row r="64" spans="1:11" ht="12.75" customHeight="1">
      <c r="A64" s="393" t="s">
        <v>211</v>
      </c>
      <c r="B64" s="392">
        <v>0</v>
      </c>
      <c r="C64" s="392">
        <v>0</v>
      </c>
      <c r="D64" s="390" t="e">
        <f>C64/B64*100</f>
        <v>#DIV/0!</v>
      </c>
      <c r="E64" s="400">
        <f>C64-'[11]jūnijs'!C64</f>
        <v>0</v>
      </c>
      <c r="F64" s="393" t="s">
        <v>211</v>
      </c>
      <c r="G64" s="392">
        <f>ROUND(B64/1000,0)</f>
        <v>0</v>
      </c>
      <c r="H64" s="392">
        <f>ROUND(C64/1000,0)</f>
        <v>0</v>
      </c>
      <c r="I64" s="392">
        <v>0</v>
      </c>
      <c r="J64" s="394">
        <f>ROUND(E64/1000,0)</f>
        <v>0</v>
      </c>
      <c r="K64" s="257"/>
    </row>
    <row r="65" spans="1:11" ht="12.75" customHeight="1">
      <c r="A65" s="98" t="s">
        <v>333</v>
      </c>
      <c r="B65" s="392">
        <f>SUM(B66:B67)</f>
        <v>0</v>
      </c>
      <c r="C65" s="392">
        <f>SUM(C66:C67)</f>
        <v>0</v>
      </c>
      <c r="D65" s="390" t="e">
        <f>C65/B65*100</f>
        <v>#DIV/0!</v>
      </c>
      <c r="E65" s="394">
        <f>C65-'[12]janvāris'!C66</f>
        <v>0</v>
      </c>
      <c r="F65" s="98" t="s">
        <v>333</v>
      </c>
      <c r="G65" s="392">
        <f>SUM(G66:G67)</f>
        <v>0</v>
      </c>
      <c r="H65" s="392">
        <f>SUM(H66:H67)</f>
        <v>0</v>
      </c>
      <c r="I65" s="392">
        <f>SUM(I66:I67)</f>
        <v>0</v>
      </c>
      <c r="J65" s="394">
        <f>SUM(J66:J67)</f>
        <v>0</v>
      </c>
      <c r="K65" s="257"/>
    </row>
    <row r="66" spans="1:11" ht="12.75" customHeight="1">
      <c r="A66" s="107" t="s">
        <v>52</v>
      </c>
      <c r="B66" s="394"/>
      <c r="C66" s="394"/>
      <c r="D66" s="390" t="e">
        <f>C66/B66*100</f>
        <v>#DIV/0!</v>
      </c>
      <c r="E66" s="394">
        <f>C66-'[11]jūnijs'!C66</f>
        <v>0</v>
      </c>
      <c r="F66" s="107" t="s">
        <v>52</v>
      </c>
      <c r="G66" s="394">
        <f>ROUND(B66/1000,0)</f>
        <v>0</v>
      </c>
      <c r="H66" s="394">
        <f>ROUND(C66/1000,0)</f>
        <v>0</v>
      </c>
      <c r="I66" s="396">
        <v>0</v>
      </c>
      <c r="J66" s="394">
        <f>ROUND(E66/1000,0)</f>
        <v>0</v>
      </c>
      <c r="K66" s="257"/>
    </row>
    <row r="67" spans="1:11" ht="12.75" customHeight="1">
      <c r="A67" s="107" t="s">
        <v>53</v>
      </c>
      <c r="B67" s="394"/>
      <c r="C67" s="394"/>
      <c r="D67" s="390" t="e">
        <f>C67/B67*100</f>
        <v>#DIV/0!</v>
      </c>
      <c r="E67" s="394">
        <f>C67-'[11]jūnijs'!C67</f>
        <v>0</v>
      </c>
      <c r="F67" s="107" t="s">
        <v>53</v>
      </c>
      <c r="G67" s="394">
        <f>ROUND(B67/1000,0)</f>
        <v>0</v>
      </c>
      <c r="H67" s="394">
        <f>ROUND(C67/1000,0)</f>
        <v>0</v>
      </c>
      <c r="I67" s="396">
        <v>0</v>
      </c>
      <c r="J67" s="394">
        <f>ROUND(E67/1000,0)</f>
        <v>0</v>
      </c>
      <c r="K67" s="257"/>
    </row>
    <row r="68" spans="1:11" ht="12.75" customHeight="1">
      <c r="A68" s="236" t="s">
        <v>80</v>
      </c>
      <c r="B68" s="392"/>
      <c r="C68" s="392"/>
      <c r="D68" s="390"/>
      <c r="E68" s="394"/>
      <c r="F68" s="236" t="s">
        <v>80</v>
      </c>
      <c r="G68" s="392"/>
      <c r="H68" s="392"/>
      <c r="I68" s="390"/>
      <c r="J68" s="394"/>
      <c r="K68" s="257"/>
    </row>
    <row r="69" spans="1:11" s="247" customFormat="1" ht="12.75" customHeight="1">
      <c r="A69" s="397" t="s">
        <v>211</v>
      </c>
      <c r="B69" s="398">
        <v>706521</v>
      </c>
      <c r="C69" s="398">
        <f>294377+199879</f>
        <v>494256</v>
      </c>
      <c r="D69" s="405">
        <f>C69/B69*100</f>
        <v>69.9563070312135</v>
      </c>
      <c r="E69" s="400">
        <f>C69-'[11]jūnijs'!C69</f>
        <v>137114</v>
      </c>
      <c r="F69" s="397" t="s">
        <v>757</v>
      </c>
      <c r="G69" s="398">
        <f>ROUND(B69/1000,0)-1</f>
        <v>706</v>
      </c>
      <c r="H69" s="398">
        <f>ROUND(C69/1000,0)</f>
        <v>494</v>
      </c>
      <c r="I69" s="399">
        <f>H69/G69*100</f>
        <v>69.97167138810198</v>
      </c>
      <c r="J69" s="400">
        <f>ROUND(E69/1000,0)</f>
        <v>137</v>
      </c>
      <c r="K69" s="814"/>
    </row>
    <row r="70" spans="1:11" s="247" customFormat="1" ht="12.75" customHeight="1">
      <c r="A70" s="401" t="s">
        <v>333</v>
      </c>
      <c r="B70" s="398">
        <f>SUM(B71:B72)</f>
        <v>777622</v>
      </c>
      <c r="C70" s="398">
        <f>SUM(C71:C72)</f>
        <v>598086</v>
      </c>
      <c r="D70" s="405">
        <f>C70/B70*100</f>
        <v>76.91217583864653</v>
      </c>
      <c r="E70" s="400">
        <f>E71+E72</f>
        <v>172003</v>
      </c>
      <c r="F70" s="401" t="s">
        <v>333</v>
      </c>
      <c r="G70" s="398">
        <f>SUM(G71:G72)</f>
        <v>777</v>
      </c>
      <c r="H70" s="398">
        <f>SUM(H71:H72)</f>
        <v>598</v>
      </c>
      <c r="I70" s="399">
        <f>H70/G70*100</f>
        <v>76.96267696267697</v>
      </c>
      <c r="J70" s="400">
        <f>SUM(J71:J72)</f>
        <v>172</v>
      </c>
      <c r="K70" s="814"/>
    </row>
    <row r="71" spans="1:11" s="247" customFormat="1" ht="12.75" customHeight="1">
      <c r="A71" s="402" t="s">
        <v>52</v>
      </c>
      <c r="B71" s="400">
        <v>757233</v>
      </c>
      <c r="C71" s="400">
        <f>386845+199879</f>
        <v>586724</v>
      </c>
      <c r="D71" s="405">
        <f>C71/B71*100</f>
        <v>77.48262423851047</v>
      </c>
      <c r="E71" s="400">
        <f>C71-'[11]jūnijs'!C71</f>
        <v>171712</v>
      </c>
      <c r="F71" s="402" t="s">
        <v>758</v>
      </c>
      <c r="G71" s="400">
        <f>ROUND(B71/1000,0)</f>
        <v>757</v>
      </c>
      <c r="H71" s="400">
        <f>ROUND(C71/1000,0)</f>
        <v>587</v>
      </c>
      <c r="I71" s="403">
        <f>H71/G71*100</f>
        <v>77.54293262879789</v>
      </c>
      <c r="J71" s="400">
        <f>ROUND(E71/1000,0)</f>
        <v>172</v>
      </c>
      <c r="K71" s="814"/>
    </row>
    <row r="72" spans="1:11" s="247" customFormat="1" ht="12.75" customHeight="1">
      <c r="A72" s="402" t="s">
        <v>53</v>
      </c>
      <c r="B72" s="400">
        <v>20389</v>
      </c>
      <c r="C72" s="400">
        <v>11362</v>
      </c>
      <c r="D72" s="405">
        <f>C72/B72*100</f>
        <v>55.72612683309628</v>
      </c>
      <c r="E72" s="400">
        <f>C72-'[11]jūnijs'!C72</f>
        <v>291</v>
      </c>
      <c r="F72" s="402" t="s">
        <v>53</v>
      </c>
      <c r="G72" s="400">
        <f>ROUND(B72/1000,0)</f>
        <v>20</v>
      </c>
      <c r="H72" s="400">
        <f>ROUND(C72/1000,0)</f>
        <v>11</v>
      </c>
      <c r="I72" s="403">
        <f>H72/G72*100</f>
        <v>55.00000000000001</v>
      </c>
      <c r="J72" s="400">
        <f>ROUND(E72/1000,0)</f>
        <v>0</v>
      </c>
      <c r="K72" s="814"/>
    </row>
    <row r="73" spans="1:11" ht="12.75" customHeight="1">
      <c r="A73" s="236" t="s">
        <v>82</v>
      </c>
      <c r="B73" s="392"/>
      <c r="C73" s="392"/>
      <c r="D73" s="390"/>
      <c r="E73" s="394"/>
      <c r="F73" s="236" t="s">
        <v>82</v>
      </c>
      <c r="G73" s="392"/>
      <c r="H73" s="392"/>
      <c r="I73" s="390"/>
      <c r="J73" s="394"/>
      <c r="K73" s="257"/>
    </row>
    <row r="74" spans="1:11" ht="12.75" customHeight="1">
      <c r="A74" s="393" t="s">
        <v>211</v>
      </c>
      <c r="B74" s="392">
        <v>219847</v>
      </c>
      <c r="C74" s="392">
        <v>71329</v>
      </c>
      <c r="D74" s="390">
        <f>C74/B74*100</f>
        <v>32.44483663638803</v>
      </c>
      <c r="E74" s="394">
        <f>C74-'[11]jūnijs'!C74</f>
        <v>13896</v>
      </c>
      <c r="F74" s="393" t="s">
        <v>211</v>
      </c>
      <c r="G74" s="392">
        <f>ROUND(B74/1000,0)</f>
        <v>220</v>
      </c>
      <c r="H74" s="392">
        <f>ROUND(C74/1000,0)</f>
        <v>71</v>
      </c>
      <c r="I74" s="395">
        <f>H74/G74*100</f>
        <v>32.27272727272727</v>
      </c>
      <c r="J74" s="394">
        <f>ROUND(E74/1000,0)</f>
        <v>14</v>
      </c>
      <c r="K74" s="257"/>
    </row>
    <row r="75" spans="1:11" ht="12.75" customHeight="1">
      <c r="A75" s="98" t="s">
        <v>333</v>
      </c>
      <c r="B75" s="392">
        <f>SUM(B76:B77)</f>
        <v>255362</v>
      </c>
      <c r="C75" s="392">
        <f>SUM(C76:C77)</f>
        <v>52076</v>
      </c>
      <c r="D75" s="390">
        <f>C75/B75*100</f>
        <v>20.39301070636978</v>
      </c>
      <c r="E75" s="392">
        <f>E76+E77</f>
        <v>21275</v>
      </c>
      <c r="F75" s="98" t="s">
        <v>333</v>
      </c>
      <c r="G75" s="392">
        <f>SUM(G76:G77)</f>
        <v>255</v>
      </c>
      <c r="H75" s="392">
        <f>SUM(H76:H77)</f>
        <v>52</v>
      </c>
      <c r="I75" s="395">
        <f>H75/G75*100</f>
        <v>20.392156862745097</v>
      </c>
      <c r="J75" s="394">
        <f>SUM(J76:J77)</f>
        <v>21</v>
      </c>
      <c r="K75" s="257"/>
    </row>
    <row r="76" spans="1:11" ht="12.75" customHeight="1">
      <c r="A76" s="107" t="s">
        <v>52</v>
      </c>
      <c r="B76" s="394">
        <v>249107</v>
      </c>
      <c r="C76" s="394">
        <v>51210</v>
      </c>
      <c r="D76" s="390">
        <f>C76/B76*100</f>
        <v>20.557431144046532</v>
      </c>
      <c r="E76" s="394">
        <f>C76-'[11]jūnijs'!C76</f>
        <v>21039</v>
      </c>
      <c r="F76" s="107" t="s">
        <v>52</v>
      </c>
      <c r="G76" s="394">
        <f>ROUND(B76/1000,0)</f>
        <v>249</v>
      </c>
      <c r="H76" s="394">
        <f>ROUND(C76/1000,0)</f>
        <v>51</v>
      </c>
      <c r="I76" s="396">
        <f>H76/G76*100</f>
        <v>20.481927710843372</v>
      </c>
      <c r="J76" s="394">
        <f>ROUND(E76/1000,0)</f>
        <v>21</v>
      </c>
      <c r="K76" s="257"/>
    </row>
    <row r="77" spans="1:11" ht="12.75" customHeight="1">
      <c r="A77" s="107" t="s">
        <v>53</v>
      </c>
      <c r="B77" s="394">
        <v>6255</v>
      </c>
      <c r="C77" s="394">
        <v>866</v>
      </c>
      <c r="D77" s="390">
        <f>C77/B77*100</f>
        <v>13.8449240607514</v>
      </c>
      <c r="E77" s="394">
        <f>C77-'[11]jūnijs'!C77</f>
        <v>236</v>
      </c>
      <c r="F77" s="107" t="s">
        <v>53</v>
      </c>
      <c r="G77" s="394">
        <f>ROUND(B77/1000,0)</f>
        <v>6</v>
      </c>
      <c r="H77" s="394">
        <f>ROUND(C77/1000,0)</f>
        <v>1</v>
      </c>
      <c r="I77" s="396">
        <f>H77/G77*100</f>
        <v>16.666666666666664</v>
      </c>
      <c r="J77" s="394">
        <f>ROUND(E77/1000,0)</f>
        <v>0</v>
      </c>
      <c r="K77" s="257"/>
    </row>
    <row r="78" spans="1:11" ht="25.5">
      <c r="A78" s="92" t="s">
        <v>84</v>
      </c>
      <c r="B78" s="392"/>
      <c r="C78" s="392"/>
      <c r="D78" s="390"/>
      <c r="E78" s="394"/>
      <c r="F78" s="92" t="s">
        <v>84</v>
      </c>
      <c r="G78" s="392"/>
      <c r="H78" s="392"/>
      <c r="I78" s="390"/>
      <c r="J78" s="394"/>
      <c r="K78" s="257"/>
    </row>
    <row r="79" spans="1:11" ht="12.75" customHeight="1">
      <c r="A79" s="393" t="s">
        <v>211</v>
      </c>
      <c r="B79" s="398">
        <v>36720</v>
      </c>
      <c r="C79" s="392">
        <v>20173</v>
      </c>
      <c r="D79" s="390">
        <f>C79/B79*100</f>
        <v>54.93736383442266</v>
      </c>
      <c r="E79" s="394">
        <f>C79-'[11]jūnijs'!C79</f>
        <v>-768</v>
      </c>
      <c r="F79" s="393" t="s">
        <v>211</v>
      </c>
      <c r="G79" s="392">
        <f>ROUND(B79/1000,0)</f>
        <v>37</v>
      </c>
      <c r="H79" s="392">
        <f>ROUND(C79/1000,0)</f>
        <v>20</v>
      </c>
      <c r="I79" s="395">
        <f>H79/G79*100</f>
        <v>54.054054054054056</v>
      </c>
      <c r="J79" s="394">
        <f>ROUND(E79/1000,0)</f>
        <v>-1</v>
      </c>
      <c r="K79" s="257"/>
    </row>
    <row r="80" spans="1:11" ht="12.75" customHeight="1">
      <c r="A80" s="98" t="s">
        <v>333</v>
      </c>
      <c r="B80" s="398">
        <f>SUM(B81:B82)</f>
        <v>156418</v>
      </c>
      <c r="C80" s="398">
        <f>SUM(C81:C82)</f>
        <v>56586</v>
      </c>
      <c r="D80" s="390">
        <f>C80/B80*100</f>
        <v>36.176143410604915</v>
      </c>
      <c r="E80" s="398">
        <f>E81+E82</f>
        <v>34928</v>
      </c>
      <c r="F80" s="98" t="s">
        <v>333</v>
      </c>
      <c r="G80" s="392">
        <f>SUM(G81:G82)</f>
        <v>156</v>
      </c>
      <c r="H80" s="392">
        <f>SUM(H81:H82)</f>
        <v>57</v>
      </c>
      <c r="I80" s="395">
        <f>H80/G80*100</f>
        <v>36.53846153846153</v>
      </c>
      <c r="J80" s="394">
        <f>SUM(J81:J82)</f>
        <v>35</v>
      </c>
      <c r="K80" s="257"/>
    </row>
    <row r="81" spans="1:11" ht="12.75" customHeight="1">
      <c r="A81" s="107" t="s">
        <v>52</v>
      </c>
      <c r="B81" s="400">
        <v>145274</v>
      </c>
      <c r="C81" s="394">
        <v>47621</v>
      </c>
      <c r="D81" s="390">
        <f>C81/B81*100</f>
        <v>32.78012583118796</v>
      </c>
      <c r="E81" s="394">
        <f>C81-'[11]jūnijs'!C81</f>
        <v>34763</v>
      </c>
      <c r="F81" s="107" t="s">
        <v>52</v>
      </c>
      <c r="G81" s="394">
        <f>ROUND(B81/1000,0)</f>
        <v>145</v>
      </c>
      <c r="H81" s="394">
        <f>ROUND(C81/1000,0)</f>
        <v>48</v>
      </c>
      <c r="I81" s="396">
        <f>H81/G81*100</f>
        <v>33.10344827586207</v>
      </c>
      <c r="J81" s="394">
        <f>ROUND(E81/1000,0)</f>
        <v>35</v>
      </c>
      <c r="K81" s="257"/>
    </row>
    <row r="82" spans="1:11" ht="12.75" customHeight="1">
      <c r="A82" s="107" t="s">
        <v>53</v>
      </c>
      <c r="B82" s="400">
        <v>11144</v>
      </c>
      <c r="C82" s="394">
        <v>8965</v>
      </c>
      <c r="D82" s="390">
        <f>C82/B82*100</f>
        <v>80.44687724335967</v>
      </c>
      <c r="E82" s="394">
        <f>C82-'[11]jūnijs'!C82</f>
        <v>165</v>
      </c>
      <c r="F82" s="107" t="s">
        <v>53</v>
      </c>
      <c r="G82" s="394">
        <f>ROUND(B82/1000,0)</f>
        <v>11</v>
      </c>
      <c r="H82" s="394">
        <f>ROUND(C82/1000,0)</f>
        <v>9</v>
      </c>
      <c r="I82" s="396">
        <f>H82/G82*100</f>
        <v>81.81818181818183</v>
      </c>
      <c r="J82" s="394">
        <f>ROUND(E82/1000,0)</f>
        <v>0</v>
      </c>
      <c r="K82" s="257"/>
    </row>
    <row r="83" spans="1:11" ht="12.75" customHeight="1">
      <c r="A83" s="236" t="s">
        <v>86</v>
      </c>
      <c r="B83" s="398"/>
      <c r="C83" s="392"/>
      <c r="D83" s="390"/>
      <c r="E83" s="394"/>
      <c r="F83" s="236" t="s">
        <v>86</v>
      </c>
      <c r="G83" s="392"/>
      <c r="H83" s="392"/>
      <c r="I83" s="390"/>
      <c r="J83" s="394"/>
      <c r="K83" s="257"/>
    </row>
    <row r="84" spans="1:11" ht="12.75" customHeight="1">
      <c r="A84" s="393" t="s">
        <v>211</v>
      </c>
      <c r="B84" s="398">
        <v>893457</v>
      </c>
      <c r="C84" s="392">
        <v>852646</v>
      </c>
      <c r="D84" s="390">
        <f>C84/B84*100</f>
        <v>95.43223680602424</v>
      </c>
      <c r="E84" s="394">
        <f>C84-'[11]jūnijs'!C84</f>
        <v>248062</v>
      </c>
      <c r="F84" s="393" t="s">
        <v>211</v>
      </c>
      <c r="G84" s="392">
        <f>ROUND(B84/1000,0)</f>
        <v>893</v>
      </c>
      <c r="H84" s="392">
        <f>ROUND(C84/1000,0)</f>
        <v>853</v>
      </c>
      <c r="I84" s="395">
        <f>H84/G84*100</f>
        <v>95.52071668533034</v>
      </c>
      <c r="J84" s="394">
        <f>ROUND(E84/1000,0)</f>
        <v>248</v>
      </c>
      <c r="K84" s="257"/>
    </row>
    <row r="85" spans="1:11" ht="12.75" customHeight="1">
      <c r="A85" s="98" t="s">
        <v>333</v>
      </c>
      <c r="B85" s="392">
        <f>SUM(B86:B87)</f>
        <v>1020982</v>
      </c>
      <c r="C85" s="392">
        <f>SUM(C86:C87)</f>
        <v>570755</v>
      </c>
      <c r="D85" s="390">
        <f>C85/B85*100</f>
        <v>55.90255264049709</v>
      </c>
      <c r="E85" s="394">
        <f>E86+E87</f>
        <v>78545</v>
      </c>
      <c r="F85" s="98" t="s">
        <v>333</v>
      </c>
      <c r="G85" s="392">
        <f>SUM(G86:G87)</f>
        <v>1021</v>
      </c>
      <c r="H85" s="392">
        <f>SUM(H86:H87)</f>
        <v>570</v>
      </c>
      <c r="I85" s="395">
        <f>H85/G85*100</f>
        <v>55.827619980411356</v>
      </c>
      <c r="J85" s="394">
        <f>SUM(J86:J87)</f>
        <v>78</v>
      </c>
      <c r="K85" s="257"/>
    </row>
    <row r="86" spans="1:11" ht="12.75" customHeight="1">
      <c r="A86" s="107" t="s">
        <v>52</v>
      </c>
      <c r="B86" s="394">
        <v>929380</v>
      </c>
      <c r="C86" s="394">
        <v>527337</v>
      </c>
      <c r="D86" s="390">
        <f>C86/B86*100</f>
        <v>56.740730379392716</v>
      </c>
      <c r="E86" s="394">
        <f>C86-'[11]jūnijs'!C86</f>
        <v>74385</v>
      </c>
      <c r="F86" s="107" t="s">
        <v>52</v>
      </c>
      <c r="G86" s="394">
        <f>ROUND(B86/1000,0)</f>
        <v>929</v>
      </c>
      <c r="H86" s="394">
        <f>ROUND(C86/1000,0)</f>
        <v>527</v>
      </c>
      <c r="I86" s="396">
        <f>H86/G86*100</f>
        <v>56.727664155005385</v>
      </c>
      <c r="J86" s="394">
        <f>ROUND(E86/1000,0)</f>
        <v>74</v>
      </c>
      <c r="K86" s="257"/>
    </row>
    <row r="87" spans="1:11" ht="12.75" customHeight="1">
      <c r="A87" s="107" t="s">
        <v>53</v>
      </c>
      <c r="B87" s="394">
        <v>91602</v>
      </c>
      <c r="C87" s="394">
        <v>43418</v>
      </c>
      <c r="D87" s="390">
        <f>C87/B87*100</f>
        <v>47.39852841641012</v>
      </c>
      <c r="E87" s="394">
        <f>C87-'[11]jūnijs'!C87</f>
        <v>4160</v>
      </c>
      <c r="F87" s="107" t="s">
        <v>53</v>
      </c>
      <c r="G87" s="394">
        <f>ROUND(B87/1000,0)</f>
        <v>92</v>
      </c>
      <c r="H87" s="394">
        <f>ROUND(C87/1000,0)</f>
        <v>43</v>
      </c>
      <c r="I87" s="396">
        <f>H87/G87*100</f>
        <v>46.73913043478261</v>
      </c>
      <c r="J87" s="394">
        <f>ROUND(E87/1000,0)</f>
        <v>4</v>
      </c>
      <c r="K87" s="257"/>
    </row>
    <row r="88" spans="1:11" ht="12.75" customHeight="1">
      <c r="A88" s="236" t="s">
        <v>88</v>
      </c>
      <c r="B88" s="394"/>
      <c r="C88" s="394"/>
      <c r="D88" s="390"/>
      <c r="E88" s="394"/>
      <c r="F88" s="236" t="s">
        <v>88</v>
      </c>
      <c r="G88" s="392"/>
      <c r="H88" s="392"/>
      <c r="I88" s="390"/>
      <c r="J88" s="394"/>
      <c r="K88" s="257"/>
    </row>
    <row r="89" spans="1:11" ht="12.75" customHeight="1">
      <c r="A89" s="393" t="s">
        <v>211</v>
      </c>
      <c r="B89" s="394"/>
      <c r="C89" s="394"/>
      <c r="D89" s="390" t="e">
        <f>C89/B89*100</f>
        <v>#DIV/0!</v>
      </c>
      <c r="E89" s="394">
        <f>C89-'[11]jūnijs'!C89</f>
        <v>0</v>
      </c>
      <c r="F89" s="393" t="s">
        <v>211</v>
      </c>
      <c r="G89" s="392">
        <f>ROUND(B89/1000,0)</f>
        <v>0</v>
      </c>
      <c r="H89" s="392">
        <f>ROUND(C89/1000,0)</f>
        <v>0</v>
      </c>
      <c r="I89" s="395"/>
      <c r="J89" s="394">
        <f>ROUND(E89/1000,0)</f>
        <v>0</v>
      </c>
      <c r="K89" s="257"/>
    </row>
    <row r="90" spans="1:11" ht="12.75" customHeight="1">
      <c r="A90" s="98" t="s">
        <v>333</v>
      </c>
      <c r="B90" s="394">
        <f>SUM(B91:B92)</f>
        <v>0</v>
      </c>
      <c r="C90" s="394">
        <f>SUM(C91:C92)</f>
        <v>0</v>
      </c>
      <c r="D90" s="390" t="e">
        <f>C90/B90*100</f>
        <v>#DIV/0!</v>
      </c>
      <c r="E90" s="394">
        <f>E91+E92</f>
        <v>0</v>
      </c>
      <c r="F90" s="98" t="s">
        <v>333</v>
      </c>
      <c r="G90" s="392">
        <f>SUM(G91:G92)</f>
        <v>0</v>
      </c>
      <c r="H90" s="392">
        <f>SUM(H91:H92)</f>
        <v>0</v>
      </c>
      <c r="I90" s="395"/>
      <c r="J90" s="394">
        <f>SUM(J91:J92)</f>
        <v>0</v>
      </c>
      <c r="K90" s="257"/>
    </row>
    <row r="91" spans="1:11" ht="12.75" customHeight="1">
      <c r="A91" s="107" t="s">
        <v>52</v>
      </c>
      <c r="B91" s="394"/>
      <c r="C91" s="394"/>
      <c r="D91" s="390" t="e">
        <f>C91/B91*100</f>
        <v>#DIV/0!</v>
      </c>
      <c r="E91" s="394">
        <f>C91-'[11]jūnijs'!C91</f>
        <v>0</v>
      </c>
      <c r="F91" s="107" t="s">
        <v>52</v>
      </c>
      <c r="G91" s="394">
        <f>ROUND(B91/1000,0)</f>
        <v>0</v>
      </c>
      <c r="H91" s="394">
        <f>ROUND(C91/1000,0)</f>
        <v>0</v>
      </c>
      <c r="I91" s="396"/>
      <c r="J91" s="394">
        <f>ROUND(E91/1000,0)</f>
        <v>0</v>
      </c>
      <c r="K91" s="257"/>
    </row>
    <row r="92" spans="1:11" ht="12.75" customHeight="1">
      <c r="A92" s="107" t="s">
        <v>53</v>
      </c>
      <c r="B92" s="394"/>
      <c r="C92" s="394"/>
      <c r="D92" s="390" t="e">
        <f>C92/B92*100</f>
        <v>#DIV/0!</v>
      </c>
      <c r="E92" s="394">
        <f>C92-'[11]jūnijs'!C92</f>
        <v>0</v>
      </c>
      <c r="F92" s="107" t="s">
        <v>53</v>
      </c>
      <c r="G92" s="394">
        <f>ROUND(B92/1000,0)</f>
        <v>0</v>
      </c>
      <c r="H92" s="394">
        <f>ROUND(C92/1000,0)</f>
        <v>0</v>
      </c>
      <c r="I92" s="396"/>
      <c r="J92" s="394">
        <f>ROUND(E92/1000,0)</f>
        <v>0</v>
      </c>
      <c r="K92" s="257"/>
    </row>
    <row r="93" spans="1:11" ht="12.75" customHeight="1">
      <c r="A93" s="236" t="s">
        <v>90</v>
      </c>
      <c r="B93" s="394"/>
      <c r="C93" s="394"/>
      <c r="D93" s="390"/>
      <c r="E93" s="394"/>
      <c r="F93" s="236" t="s">
        <v>90</v>
      </c>
      <c r="G93" s="392"/>
      <c r="H93" s="392"/>
      <c r="I93" s="390"/>
      <c r="J93" s="394"/>
      <c r="K93" s="257"/>
    </row>
    <row r="94" spans="1:11" ht="12.75" customHeight="1">
      <c r="A94" s="393" t="s">
        <v>211</v>
      </c>
      <c r="B94" s="392"/>
      <c r="C94" s="392"/>
      <c r="D94" s="390" t="e">
        <f>C94/B94*100</f>
        <v>#DIV/0!</v>
      </c>
      <c r="E94" s="394">
        <f>C94-'[11]jūnijs'!C94</f>
        <v>0</v>
      </c>
      <c r="F94" s="393" t="s">
        <v>211</v>
      </c>
      <c r="G94" s="392">
        <f>ROUND(B94/1000,0)</f>
        <v>0</v>
      </c>
      <c r="H94" s="392">
        <f>ROUND(C94/1000,0)</f>
        <v>0</v>
      </c>
      <c r="I94" s="395"/>
      <c r="J94" s="394">
        <f>ROUND(E94/1000,0)</f>
        <v>0</v>
      </c>
      <c r="K94" s="257"/>
    </row>
    <row r="95" spans="1:11" ht="12.75" customHeight="1">
      <c r="A95" s="98" t="s">
        <v>333</v>
      </c>
      <c r="B95" s="392">
        <f>SUM(B96:B97)</f>
        <v>0</v>
      </c>
      <c r="C95" s="392">
        <f>SUM(C96:C97)</f>
        <v>0</v>
      </c>
      <c r="D95" s="390" t="e">
        <f>C95/B95*100</f>
        <v>#DIV/0!</v>
      </c>
      <c r="E95" s="394">
        <f>E96+E97</f>
        <v>0</v>
      </c>
      <c r="F95" s="98" t="s">
        <v>333</v>
      </c>
      <c r="G95" s="392">
        <f>SUM(G96:G97)</f>
        <v>0</v>
      </c>
      <c r="H95" s="392">
        <f>SUM(H96:H97)</f>
        <v>0</v>
      </c>
      <c r="I95" s="395"/>
      <c r="J95" s="394">
        <f>SUM(J96:J97)</f>
        <v>0</v>
      </c>
      <c r="K95" s="257"/>
    </row>
    <row r="96" spans="1:11" ht="12.75" customHeight="1">
      <c r="A96" s="107" t="s">
        <v>52</v>
      </c>
      <c r="B96" s="394"/>
      <c r="C96" s="394"/>
      <c r="D96" s="390" t="e">
        <f>C96/B96*100</f>
        <v>#DIV/0!</v>
      </c>
      <c r="E96" s="394">
        <f>C96-'[11]jūnijs'!C96</f>
        <v>0</v>
      </c>
      <c r="F96" s="107" t="s">
        <v>52</v>
      </c>
      <c r="G96" s="394">
        <f>ROUND(B96/1000,0)</f>
        <v>0</v>
      </c>
      <c r="H96" s="394">
        <f>ROUND(C96/1000,0)</f>
        <v>0</v>
      </c>
      <c r="I96" s="396"/>
      <c r="J96" s="394">
        <f>ROUND(E96/1000,0)</f>
        <v>0</v>
      </c>
      <c r="K96" s="257"/>
    </row>
    <row r="97" spans="1:11" ht="12.75" customHeight="1">
      <c r="A97" s="107" t="s">
        <v>53</v>
      </c>
      <c r="B97" s="394"/>
      <c r="C97" s="400"/>
      <c r="D97" s="390" t="e">
        <f>C97/B97*100</f>
        <v>#DIV/0!</v>
      </c>
      <c r="E97" s="394">
        <f>C97-'[11]jūnijs'!C97</f>
        <v>0</v>
      </c>
      <c r="F97" s="107" t="s">
        <v>53</v>
      </c>
      <c r="G97" s="394">
        <f>ROUND(B97/1000,0)</f>
        <v>0</v>
      </c>
      <c r="H97" s="394">
        <f>ROUND(C97/1000,0)</f>
        <v>0</v>
      </c>
      <c r="I97" s="396"/>
      <c r="J97" s="394">
        <f>ROUND(E97/1000,0)</f>
        <v>0</v>
      </c>
      <c r="K97" s="257"/>
    </row>
    <row r="98" spans="1:11" ht="12.75" customHeight="1">
      <c r="A98" s="236" t="s">
        <v>92</v>
      </c>
      <c r="B98" s="392"/>
      <c r="C98" s="392"/>
      <c r="D98" s="390"/>
      <c r="E98" s="394"/>
      <c r="F98" s="236" t="s">
        <v>92</v>
      </c>
      <c r="G98" s="392"/>
      <c r="H98" s="392"/>
      <c r="I98" s="390"/>
      <c r="J98" s="394"/>
      <c r="K98" s="257"/>
    </row>
    <row r="99" spans="1:11" ht="12.75" customHeight="1">
      <c r="A99" s="393" t="s">
        <v>211</v>
      </c>
      <c r="B99" s="392"/>
      <c r="C99" s="392"/>
      <c r="D99" s="390" t="e">
        <f>C99/B99*100</f>
        <v>#DIV/0!</v>
      </c>
      <c r="E99" s="394">
        <f>C99-'[11]jūnijs'!C99</f>
        <v>0</v>
      </c>
      <c r="F99" s="393" t="s">
        <v>211</v>
      </c>
      <c r="G99" s="392">
        <f>ROUND(B99/1000,0)</f>
        <v>0</v>
      </c>
      <c r="H99" s="392">
        <f>ROUND(C99/1000,0)</f>
        <v>0</v>
      </c>
      <c r="I99" s="395"/>
      <c r="J99" s="394">
        <f>ROUND(E99/1000,0)</f>
        <v>0</v>
      </c>
      <c r="K99" s="257"/>
    </row>
    <row r="100" spans="1:11" ht="12.75" customHeight="1">
      <c r="A100" s="98" t="s">
        <v>333</v>
      </c>
      <c r="B100" s="392">
        <f>SUM(B101:B102)</f>
        <v>0</v>
      </c>
      <c r="C100" s="392">
        <f>SUM(C101:C102)</f>
        <v>0</v>
      </c>
      <c r="D100" s="390" t="e">
        <f>C100/B100*100</f>
        <v>#DIV/0!</v>
      </c>
      <c r="E100" s="392">
        <f>E101+E102</f>
        <v>0</v>
      </c>
      <c r="F100" s="98" t="s">
        <v>333</v>
      </c>
      <c r="G100" s="392">
        <f>SUM(G101:G102)</f>
        <v>0</v>
      </c>
      <c r="H100" s="392">
        <f>SUM(H101:H102)</f>
        <v>0</v>
      </c>
      <c r="I100" s="395"/>
      <c r="J100" s="394">
        <f>SUM(J101:J102)</f>
        <v>0</v>
      </c>
      <c r="K100" s="257"/>
    </row>
    <row r="101" spans="1:11" ht="12.75" customHeight="1">
      <c r="A101" s="107" t="s">
        <v>52</v>
      </c>
      <c r="B101" s="392"/>
      <c r="C101" s="392"/>
      <c r="D101" s="390" t="e">
        <f>C101/B101*100</f>
        <v>#DIV/0!</v>
      </c>
      <c r="E101" s="392">
        <f>C101-'[11]jūnijs'!C101</f>
        <v>0</v>
      </c>
      <c r="F101" s="107" t="s">
        <v>52</v>
      </c>
      <c r="G101" s="394">
        <f>ROUND(B101/1000,0)</f>
        <v>0</v>
      </c>
      <c r="H101" s="394">
        <f>ROUND(C101/1000,0)</f>
        <v>0</v>
      </c>
      <c r="I101" s="396"/>
      <c r="J101" s="394">
        <f>ROUND(E101/1000,0)</f>
        <v>0</v>
      </c>
      <c r="K101" s="257"/>
    </row>
    <row r="102" spans="1:11" ht="12.75" customHeight="1">
      <c r="A102" s="107" t="s">
        <v>53</v>
      </c>
      <c r="B102" s="392"/>
      <c r="C102" s="392"/>
      <c r="D102" s="390" t="e">
        <f>C102/B102*100</f>
        <v>#DIV/0!</v>
      </c>
      <c r="E102" s="392">
        <f>C102-'[11]jūnijs'!C102</f>
        <v>0</v>
      </c>
      <c r="F102" s="107" t="s">
        <v>53</v>
      </c>
      <c r="G102" s="394">
        <f>ROUND(B102/1000,0)</f>
        <v>0</v>
      </c>
      <c r="H102" s="394">
        <f>ROUND(C102/1000,0)</f>
        <v>0</v>
      </c>
      <c r="I102" s="396"/>
      <c r="J102" s="394">
        <f>ROUND(E102/1000,0)</f>
        <v>0</v>
      </c>
      <c r="K102" s="257"/>
    </row>
    <row r="103" spans="1:11" ht="12.75" customHeight="1">
      <c r="A103" s="236" t="s">
        <v>94</v>
      </c>
      <c r="B103" s="392"/>
      <c r="C103" s="392"/>
      <c r="D103" s="390"/>
      <c r="E103" s="392"/>
      <c r="F103" s="236" t="s">
        <v>94</v>
      </c>
      <c r="G103" s="392"/>
      <c r="H103" s="392"/>
      <c r="I103" s="390"/>
      <c r="J103" s="394"/>
      <c r="K103" s="257"/>
    </row>
    <row r="104" spans="1:11" ht="12.75" customHeight="1">
      <c r="A104" s="393" t="s">
        <v>211</v>
      </c>
      <c r="B104" s="392"/>
      <c r="C104" s="392"/>
      <c r="D104" s="390" t="e">
        <f>C104/B104*100</f>
        <v>#DIV/0!</v>
      </c>
      <c r="E104" s="392">
        <f>C104-'[11]jūnijs'!C104</f>
        <v>0</v>
      </c>
      <c r="F104" s="393" t="s">
        <v>211</v>
      </c>
      <c r="G104" s="392">
        <f>ROUND(B104/1000,0)</f>
        <v>0</v>
      </c>
      <c r="H104" s="392">
        <f>ROUND(C104/1000,0)</f>
        <v>0</v>
      </c>
      <c r="I104" s="395"/>
      <c r="J104" s="394">
        <f>ROUND(E104/1000,0)</f>
        <v>0</v>
      </c>
      <c r="K104" s="257"/>
    </row>
    <row r="105" spans="1:11" ht="12.75" customHeight="1">
      <c r="A105" s="98" t="s">
        <v>333</v>
      </c>
      <c r="B105" s="392">
        <f>SUM(B106:B107)</f>
        <v>0</v>
      </c>
      <c r="C105" s="392">
        <f>SUM(C106:C107)</f>
        <v>0</v>
      </c>
      <c r="D105" s="390" t="e">
        <f>C105/B105*100</f>
        <v>#DIV/0!</v>
      </c>
      <c r="E105" s="392">
        <f>E106+E107</f>
        <v>0</v>
      </c>
      <c r="F105" s="98" t="s">
        <v>333</v>
      </c>
      <c r="G105" s="392">
        <f>SUM(G106:G107)</f>
        <v>0</v>
      </c>
      <c r="H105" s="392">
        <f>SUM(H106:H107)</f>
        <v>0</v>
      </c>
      <c r="I105" s="395"/>
      <c r="J105" s="394">
        <f>SUM(J106:J107)</f>
        <v>0</v>
      </c>
      <c r="K105" s="257"/>
    </row>
    <row r="106" spans="1:11" ht="12.75" customHeight="1">
      <c r="A106" s="107" t="s">
        <v>52</v>
      </c>
      <c r="B106" s="392"/>
      <c r="C106" s="392"/>
      <c r="D106" s="390" t="e">
        <f>C106/B106*100</f>
        <v>#DIV/0!</v>
      </c>
      <c r="E106" s="392">
        <f>C106-'[11]jūnijs'!C106</f>
        <v>0</v>
      </c>
      <c r="F106" s="107" t="s">
        <v>52</v>
      </c>
      <c r="G106" s="394">
        <f>ROUND(B106/1000,0)</f>
        <v>0</v>
      </c>
      <c r="H106" s="394">
        <f>ROUND(C106/1000,0)</f>
        <v>0</v>
      </c>
      <c r="I106" s="396"/>
      <c r="J106" s="394">
        <f>ROUND(E106/1000,0)</f>
        <v>0</v>
      </c>
      <c r="K106" s="257"/>
    </row>
    <row r="107" spans="1:11" ht="12.75" customHeight="1">
      <c r="A107" s="107" t="s">
        <v>53</v>
      </c>
      <c r="B107" s="394"/>
      <c r="C107" s="394"/>
      <c r="D107" s="390" t="e">
        <f>C107/B107*100</f>
        <v>#DIV/0!</v>
      </c>
      <c r="E107" s="394">
        <f>C107-'[11]jūnijs'!C107</f>
        <v>0</v>
      </c>
      <c r="F107" s="107" t="s">
        <v>53</v>
      </c>
      <c r="G107" s="394">
        <f>ROUND(B107/1000,0)</f>
        <v>0</v>
      </c>
      <c r="H107" s="394">
        <f>ROUND(C107/1000,0)</f>
        <v>0</v>
      </c>
      <c r="I107" s="396"/>
      <c r="J107" s="394">
        <f>ROUND(E107/1000,0)</f>
        <v>0</v>
      </c>
      <c r="K107" s="257"/>
    </row>
    <row r="108" spans="1:11" ht="12.75" customHeight="1">
      <c r="A108" s="236" t="s">
        <v>96</v>
      </c>
      <c r="B108" s="394"/>
      <c r="C108" s="394"/>
      <c r="D108" s="390"/>
      <c r="E108" s="394"/>
      <c r="F108" s="236" t="s">
        <v>96</v>
      </c>
      <c r="G108" s="392"/>
      <c r="H108" s="392"/>
      <c r="I108" s="390"/>
      <c r="J108" s="394"/>
      <c r="K108" s="257"/>
    </row>
    <row r="109" spans="1:11" ht="12.75" customHeight="1">
      <c r="A109" s="393" t="s">
        <v>211</v>
      </c>
      <c r="B109" s="394"/>
      <c r="C109" s="394"/>
      <c r="D109" s="390" t="e">
        <f>C109/B109*100</f>
        <v>#DIV/0!</v>
      </c>
      <c r="E109" s="394">
        <f>C109-'[11]jūnijs'!C109</f>
        <v>0</v>
      </c>
      <c r="F109" s="393" t="s">
        <v>211</v>
      </c>
      <c r="G109" s="392">
        <f>ROUND(B109/1000,0)</f>
        <v>0</v>
      </c>
      <c r="H109" s="392">
        <f>ROUND(C109/1000,0)</f>
        <v>0</v>
      </c>
      <c r="I109" s="395"/>
      <c r="J109" s="394">
        <f>ROUND(E109/1000,0)</f>
        <v>0</v>
      </c>
      <c r="K109" s="257"/>
    </row>
    <row r="110" spans="1:11" ht="12.75" customHeight="1">
      <c r="A110" s="98" t="s">
        <v>333</v>
      </c>
      <c r="B110" s="392">
        <f>SUM(B111:B112)</f>
        <v>0</v>
      </c>
      <c r="C110" s="392">
        <f>SUM(C111:C112)</f>
        <v>0</v>
      </c>
      <c r="D110" s="390" t="e">
        <f>C110/B110*100</f>
        <v>#DIV/0!</v>
      </c>
      <c r="E110" s="392">
        <f>E111+E112</f>
        <v>0</v>
      </c>
      <c r="F110" s="98" t="s">
        <v>333</v>
      </c>
      <c r="G110" s="392">
        <f>SUM(G111:G112)</f>
        <v>0</v>
      </c>
      <c r="H110" s="392">
        <f>SUM(H111:H112)</f>
        <v>0</v>
      </c>
      <c r="I110" s="395"/>
      <c r="J110" s="394">
        <f>SUM(J111:J112)</f>
        <v>0</v>
      </c>
      <c r="K110" s="257"/>
    </row>
    <row r="111" spans="1:11" ht="12.75" customHeight="1">
      <c r="A111" s="107" t="s">
        <v>52</v>
      </c>
      <c r="B111" s="392"/>
      <c r="C111" s="398"/>
      <c r="D111" s="390" t="e">
        <f>C111/B111*100</f>
        <v>#DIV/0!</v>
      </c>
      <c r="E111" s="398">
        <f>C111-'[11]jūnijs'!C111</f>
        <v>0</v>
      </c>
      <c r="F111" s="107" t="s">
        <v>52</v>
      </c>
      <c r="G111" s="394">
        <f>ROUND(B111/1000,0)</f>
        <v>0</v>
      </c>
      <c r="H111" s="394">
        <f>ROUND(C111/1000,0)</f>
        <v>0</v>
      </c>
      <c r="I111" s="396"/>
      <c r="J111" s="394">
        <f>ROUND(E111/1000,0)</f>
        <v>0</v>
      </c>
      <c r="K111" s="257"/>
    </row>
    <row r="112" spans="1:11" ht="12.75" customHeight="1">
      <c r="A112" s="107" t="s">
        <v>53</v>
      </c>
      <c r="B112" s="392"/>
      <c r="C112" s="398"/>
      <c r="D112" s="390" t="e">
        <f>C112/B112*100</f>
        <v>#DIV/0!</v>
      </c>
      <c r="E112" s="398">
        <f>C112-'[11]jūnijs'!C112</f>
        <v>0</v>
      </c>
      <c r="F112" s="107" t="s">
        <v>53</v>
      </c>
      <c r="G112" s="394">
        <f>ROUND(B112/1000,0)</f>
        <v>0</v>
      </c>
      <c r="H112" s="394">
        <f>ROUND(C112/1000,0)</f>
        <v>0</v>
      </c>
      <c r="I112" s="396"/>
      <c r="J112" s="394">
        <f>ROUND(E112/1000,0)</f>
        <v>0</v>
      </c>
      <c r="K112" s="257"/>
    </row>
    <row r="113" spans="1:11" ht="12.75" customHeight="1">
      <c r="A113" s="816" t="s">
        <v>98</v>
      </c>
      <c r="B113" s="392"/>
      <c r="C113" s="398"/>
      <c r="D113" s="390"/>
      <c r="E113" s="398"/>
      <c r="F113" s="236" t="s">
        <v>98</v>
      </c>
      <c r="G113" s="392"/>
      <c r="H113" s="392"/>
      <c r="I113" s="390"/>
      <c r="J113" s="394"/>
      <c r="K113" s="257"/>
    </row>
    <row r="114" spans="1:11" ht="12.75" customHeight="1">
      <c r="A114" s="393" t="s">
        <v>211</v>
      </c>
      <c r="B114" s="392"/>
      <c r="C114" s="398"/>
      <c r="D114" s="390" t="e">
        <f>C114/B114*100</f>
        <v>#DIV/0!</v>
      </c>
      <c r="E114" s="398">
        <f>C114-'[11]jūnijs'!C114</f>
        <v>0</v>
      </c>
      <c r="F114" s="393" t="s">
        <v>211</v>
      </c>
      <c r="G114" s="392">
        <f>ROUND(B114/1000,0)</f>
        <v>0</v>
      </c>
      <c r="H114" s="392">
        <f>ROUND(C114/1000,0)</f>
        <v>0</v>
      </c>
      <c r="I114" s="395"/>
      <c r="J114" s="394">
        <f>ROUND(E114/1000,0)</f>
        <v>0</v>
      </c>
      <c r="K114" s="257"/>
    </row>
    <row r="115" spans="1:11" ht="12.75" customHeight="1">
      <c r="A115" s="98" t="s">
        <v>333</v>
      </c>
      <c r="B115" s="392">
        <f>SUM(B116:B117)</f>
        <v>0</v>
      </c>
      <c r="C115" s="392">
        <f>SUM(C116:C117)</f>
        <v>0</v>
      </c>
      <c r="D115" s="390" t="e">
        <f>C115/B115*100</f>
        <v>#DIV/0!</v>
      </c>
      <c r="E115" s="392">
        <f>E116+E117</f>
        <v>0</v>
      </c>
      <c r="F115" s="98" t="s">
        <v>333</v>
      </c>
      <c r="G115" s="392">
        <f>SUM(G116:G117)</f>
        <v>0</v>
      </c>
      <c r="H115" s="392">
        <f>SUM(H116:H117)</f>
        <v>0</v>
      </c>
      <c r="I115" s="395"/>
      <c r="J115" s="394">
        <f>SUM(J116:J117)</f>
        <v>0</v>
      </c>
      <c r="K115" s="257"/>
    </row>
    <row r="116" spans="1:11" ht="12.75" customHeight="1">
      <c r="A116" s="107" t="s">
        <v>52</v>
      </c>
      <c r="B116" s="394"/>
      <c r="C116" s="394"/>
      <c r="D116" s="390" t="e">
        <f>C116/B116*100</f>
        <v>#DIV/0!</v>
      </c>
      <c r="E116" s="394">
        <f>C116-'[11]jūnijs'!C116</f>
        <v>0</v>
      </c>
      <c r="F116" s="107" t="s">
        <v>52</v>
      </c>
      <c r="G116" s="394">
        <f>ROUND(B116/1000,0)</f>
        <v>0</v>
      </c>
      <c r="H116" s="394">
        <f>ROUND(C116/1000,0)</f>
        <v>0</v>
      </c>
      <c r="I116" s="396"/>
      <c r="J116" s="394">
        <f>ROUND(E116/1000,0)</f>
        <v>0</v>
      </c>
      <c r="K116" s="257"/>
    </row>
    <row r="117" spans="1:11" ht="12.75" customHeight="1">
      <c r="A117" s="107" t="s">
        <v>53</v>
      </c>
      <c r="B117" s="394"/>
      <c r="C117" s="394"/>
      <c r="D117" s="390" t="e">
        <f>C117/B117*100</f>
        <v>#DIV/0!</v>
      </c>
      <c r="E117" s="394">
        <f>C117-'[11]jūnijs'!C117</f>
        <v>0</v>
      </c>
      <c r="F117" s="107" t="s">
        <v>53</v>
      </c>
      <c r="G117" s="394">
        <f>ROUND(B117/1000,0)</f>
        <v>0</v>
      </c>
      <c r="H117" s="394">
        <f>ROUND(C117/1000,0)</f>
        <v>0</v>
      </c>
      <c r="I117" s="396"/>
      <c r="J117" s="394">
        <f>ROUND(E117/1000,0)</f>
        <v>0</v>
      </c>
      <c r="K117" s="257"/>
    </row>
    <row r="118" spans="1:11" ht="12.75" customHeight="1">
      <c r="A118" s="92" t="s">
        <v>100</v>
      </c>
      <c r="B118" s="392"/>
      <c r="C118" s="392"/>
      <c r="D118" s="390"/>
      <c r="E118" s="392"/>
      <c r="F118" s="236" t="s">
        <v>100</v>
      </c>
      <c r="G118" s="392"/>
      <c r="H118" s="392"/>
      <c r="I118" s="390"/>
      <c r="J118" s="394"/>
      <c r="K118" s="257"/>
    </row>
    <row r="119" spans="1:11" ht="12.75" customHeight="1">
      <c r="A119" s="393" t="s">
        <v>211</v>
      </c>
      <c r="B119" s="394"/>
      <c r="C119" s="394"/>
      <c r="D119" s="390" t="e">
        <f>C119/B119*100</f>
        <v>#DIV/0!</v>
      </c>
      <c r="E119" s="394">
        <f>C119-'[11]jūnijs'!C119</f>
        <v>0</v>
      </c>
      <c r="F119" s="393" t="s">
        <v>211</v>
      </c>
      <c r="G119" s="392">
        <f>ROUND(B119/1000,0)</f>
        <v>0</v>
      </c>
      <c r="H119" s="392">
        <f>ROUND(C119/1000,0)</f>
        <v>0</v>
      </c>
      <c r="I119" s="395"/>
      <c r="J119" s="394">
        <f>ROUND(E119/1000,0)</f>
        <v>0</v>
      </c>
      <c r="K119" s="257"/>
    </row>
    <row r="120" spans="1:11" ht="12.75" customHeight="1">
      <c r="A120" s="98" t="s">
        <v>333</v>
      </c>
      <c r="B120" s="392">
        <f>SUM(B121:B122)</f>
        <v>0</v>
      </c>
      <c r="C120" s="392">
        <f>SUM(C121:C122)</f>
        <v>0</v>
      </c>
      <c r="D120" s="390" t="e">
        <f>C120/B120*100</f>
        <v>#DIV/0!</v>
      </c>
      <c r="E120" s="392">
        <f>E121+E122</f>
        <v>0</v>
      </c>
      <c r="F120" s="98" t="s">
        <v>333</v>
      </c>
      <c r="G120" s="392">
        <f>SUM(G121:G122)</f>
        <v>0</v>
      </c>
      <c r="H120" s="392">
        <f>SUM(H121:H122)</f>
        <v>0</v>
      </c>
      <c r="I120" s="395"/>
      <c r="J120" s="394">
        <f>SUM(J121:J122)</f>
        <v>0</v>
      </c>
      <c r="K120" s="257"/>
    </row>
    <row r="121" spans="1:11" ht="12.75" customHeight="1">
      <c r="A121" s="107" t="s">
        <v>52</v>
      </c>
      <c r="B121" s="394"/>
      <c r="C121" s="394"/>
      <c r="D121" s="390" t="e">
        <f>C121/B121*100</f>
        <v>#DIV/0!</v>
      </c>
      <c r="E121" s="394">
        <f>C121-'[11]jūnijs'!C121</f>
        <v>0</v>
      </c>
      <c r="F121" s="107" t="s">
        <v>52</v>
      </c>
      <c r="G121" s="394">
        <f>ROUND(B121/1000,0)</f>
        <v>0</v>
      </c>
      <c r="H121" s="394">
        <f>ROUND(C121/1000,0)</f>
        <v>0</v>
      </c>
      <c r="I121" s="396"/>
      <c r="J121" s="394">
        <f>ROUND(E121/1000,0)</f>
        <v>0</v>
      </c>
      <c r="K121" s="257"/>
    </row>
    <row r="122" spans="1:11" ht="12.75" customHeight="1">
      <c r="A122" s="107" t="s">
        <v>53</v>
      </c>
      <c r="B122" s="394"/>
      <c r="C122" s="394"/>
      <c r="D122" s="390" t="e">
        <f>C122/B122*100</f>
        <v>#DIV/0!</v>
      </c>
      <c r="E122" s="394">
        <f>C122-'[11]jūnijs'!C122</f>
        <v>0</v>
      </c>
      <c r="F122" s="107" t="s">
        <v>53</v>
      </c>
      <c r="G122" s="394">
        <f>ROUND(B122/1000,0)</f>
        <v>0</v>
      </c>
      <c r="H122" s="394">
        <f>ROUND(C122/1000,0)</f>
        <v>0</v>
      </c>
      <c r="I122" s="396"/>
      <c r="J122" s="394">
        <f>ROUND(E122/1000,0)</f>
        <v>0</v>
      </c>
      <c r="K122" s="257"/>
    </row>
    <row r="123" spans="1:11" ht="12.75" customHeight="1">
      <c r="A123" s="92" t="s">
        <v>102</v>
      </c>
      <c r="B123" s="392"/>
      <c r="C123" s="392"/>
      <c r="D123" s="390"/>
      <c r="E123" s="392"/>
      <c r="F123" s="236" t="s">
        <v>102</v>
      </c>
      <c r="G123" s="392"/>
      <c r="H123" s="392"/>
      <c r="I123" s="390"/>
      <c r="J123" s="394"/>
      <c r="K123" s="257"/>
    </row>
    <row r="124" spans="1:11" ht="12.75" customHeight="1">
      <c r="A124" s="393" t="s">
        <v>211</v>
      </c>
      <c r="B124" s="392"/>
      <c r="C124" s="392"/>
      <c r="D124" s="390" t="e">
        <f>C124/B124*100</f>
        <v>#DIV/0!</v>
      </c>
      <c r="E124" s="392">
        <f>C124-'[11]jūnijs'!C124</f>
        <v>0</v>
      </c>
      <c r="F124" s="393" t="s">
        <v>211</v>
      </c>
      <c r="G124" s="392">
        <f>ROUND(B124/1000,0)</f>
        <v>0</v>
      </c>
      <c r="H124" s="392">
        <f>ROUND(C124/1000,0)</f>
        <v>0</v>
      </c>
      <c r="I124" s="395"/>
      <c r="J124" s="394">
        <f>ROUND(E124/1000,0)</f>
        <v>0</v>
      </c>
      <c r="K124" s="257"/>
    </row>
    <row r="125" spans="1:11" ht="12.75" customHeight="1">
      <c r="A125" s="98" t="s">
        <v>333</v>
      </c>
      <c r="B125" s="392">
        <f>SUM(B126:B127)</f>
        <v>0</v>
      </c>
      <c r="C125" s="392">
        <f>SUM(C126:C127)</f>
        <v>0</v>
      </c>
      <c r="D125" s="390" t="e">
        <f>C125/B125*100</f>
        <v>#DIV/0!</v>
      </c>
      <c r="E125" s="392">
        <f>E126+E127</f>
        <v>0</v>
      </c>
      <c r="F125" s="98" t="s">
        <v>333</v>
      </c>
      <c r="G125" s="392">
        <f>SUM(G126:G127)</f>
        <v>0</v>
      </c>
      <c r="H125" s="392">
        <f>SUM(H126:H127)</f>
        <v>0</v>
      </c>
      <c r="I125" s="395"/>
      <c r="J125" s="394">
        <f>SUM(J126:J127)</f>
        <v>0</v>
      </c>
      <c r="K125" s="257"/>
    </row>
    <row r="126" spans="1:11" ht="12.75" customHeight="1">
      <c r="A126" s="107" t="s">
        <v>52</v>
      </c>
      <c r="B126" s="392"/>
      <c r="C126" s="392"/>
      <c r="D126" s="390" t="e">
        <f>C126/B126*100</f>
        <v>#DIV/0!</v>
      </c>
      <c r="E126" s="392">
        <f>C126-'[11]jūnijs'!C126</f>
        <v>0</v>
      </c>
      <c r="F126" s="107" t="s">
        <v>52</v>
      </c>
      <c r="G126" s="394">
        <f>ROUND(B126/1000,0)</f>
        <v>0</v>
      </c>
      <c r="H126" s="394">
        <f>ROUND(C126/1000,0)</f>
        <v>0</v>
      </c>
      <c r="I126" s="396"/>
      <c r="J126" s="394">
        <f>ROUND(E126/1000,0)</f>
        <v>0</v>
      </c>
      <c r="K126" s="257"/>
    </row>
    <row r="127" spans="1:11" ht="12.75" customHeight="1">
      <c r="A127" s="107" t="s">
        <v>53</v>
      </c>
      <c r="B127" s="392"/>
      <c r="C127" s="392"/>
      <c r="D127" s="390" t="e">
        <f>C127/B127*100</f>
        <v>#DIV/0!</v>
      </c>
      <c r="E127" s="392">
        <f>C127-'[11]jūnijs'!C127</f>
        <v>0</v>
      </c>
      <c r="F127" s="107" t="s">
        <v>53</v>
      </c>
      <c r="G127" s="394">
        <f>ROUND(B127/1000,0)</f>
        <v>0</v>
      </c>
      <c r="H127" s="394">
        <f>ROUND(C127/1000,0)</f>
        <v>0</v>
      </c>
      <c r="I127" s="396"/>
      <c r="J127" s="394">
        <f>ROUND(E127/1000,0)</f>
        <v>0</v>
      </c>
      <c r="K127" s="257"/>
    </row>
    <row r="128" spans="1:11" ht="12.75" customHeight="1">
      <c r="A128" s="236" t="s">
        <v>103</v>
      </c>
      <c r="B128" s="392"/>
      <c r="C128" s="392"/>
      <c r="D128" s="390"/>
      <c r="E128" s="392"/>
      <c r="F128" s="236" t="s">
        <v>103</v>
      </c>
      <c r="G128" s="392"/>
      <c r="H128" s="392"/>
      <c r="I128" s="390"/>
      <c r="J128" s="394"/>
      <c r="K128" s="257"/>
    </row>
    <row r="129" spans="1:11" ht="12.75" customHeight="1">
      <c r="A129" s="393" t="s">
        <v>211</v>
      </c>
      <c r="B129" s="392"/>
      <c r="C129" s="392"/>
      <c r="D129" s="390" t="e">
        <f>C129/B129*100</f>
        <v>#DIV/0!</v>
      </c>
      <c r="E129" s="392">
        <f>C129-'[11]jūnijs'!C129</f>
        <v>0</v>
      </c>
      <c r="F129" s="393" t="s">
        <v>211</v>
      </c>
      <c r="G129" s="392">
        <f>ROUND(B129/1000,0)</f>
        <v>0</v>
      </c>
      <c r="H129" s="392">
        <f>ROUND(C129/1000,0)</f>
        <v>0</v>
      </c>
      <c r="I129" s="395"/>
      <c r="J129" s="394">
        <f>ROUND(E129/1000,0)</f>
        <v>0</v>
      </c>
      <c r="K129" s="257"/>
    </row>
    <row r="130" spans="1:11" ht="12.75" customHeight="1">
      <c r="A130" s="98" t="s">
        <v>333</v>
      </c>
      <c r="B130" s="392">
        <f>SUM(B131:B132)</f>
        <v>0</v>
      </c>
      <c r="C130" s="392">
        <f>SUM(C131:C132)</f>
        <v>0</v>
      </c>
      <c r="D130" s="390" t="e">
        <f>C130/B130*100</f>
        <v>#DIV/0!</v>
      </c>
      <c r="E130" s="392">
        <f>E131+E132</f>
        <v>0</v>
      </c>
      <c r="F130" s="98" t="s">
        <v>333</v>
      </c>
      <c r="G130" s="392">
        <f>SUM(G131:G132)</f>
        <v>0</v>
      </c>
      <c r="H130" s="392">
        <f>SUM(H131:H132)</f>
        <v>0</v>
      </c>
      <c r="I130" s="395"/>
      <c r="J130" s="394">
        <f>SUM(J131:J132)</f>
        <v>0</v>
      </c>
      <c r="K130" s="257"/>
    </row>
    <row r="131" spans="1:11" ht="12.75" customHeight="1">
      <c r="A131" s="107" t="s">
        <v>52</v>
      </c>
      <c r="B131" s="392"/>
      <c r="C131" s="392"/>
      <c r="D131" s="390" t="e">
        <f>C131/B131*100</f>
        <v>#DIV/0!</v>
      </c>
      <c r="E131" s="392">
        <f>C131-'[11]jūnijs'!C131</f>
        <v>0</v>
      </c>
      <c r="F131" s="107" t="s">
        <v>52</v>
      </c>
      <c r="G131" s="394">
        <f>ROUND(B131/1000,0)</f>
        <v>0</v>
      </c>
      <c r="H131" s="394">
        <f>ROUND(C131/1000,0)</f>
        <v>0</v>
      </c>
      <c r="I131" s="396"/>
      <c r="J131" s="394">
        <f>ROUND(E131/1000,0)</f>
        <v>0</v>
      </c>
      <c r="K131" s="257"/>
    </row>
    <row r="132" spans="1:11" ht="12.75" customHeight="1">
      <c r="A132" s="107" t="s">
        <v>53</v>
      </c>
      <c r="B132" s="394"/>
      <c r="C132" s="394"/>
      <c r="D132" s="390" t="e">
        <f>C132/B132*100</f>
        <v>#DIV/0!</v>
      </c>
      <c r="E132" s="394">
        <f>C132-'[11]jūnijs'!C132</f>
        <v>0</v>
      </c>
      <c r="F132" s="107" t="s">
        <v>53</v>
      </c>
      <c r="G132" s="394">
        <f>ROUND(B132/1000,0)</f>
        <v>0</v>
      </c>
      <c r="H132" s="394">
        <f>ROUND(C132/1000,0)</f>
        <v>0</v>
      </c>
      <c r="I132" s="396"/>
      <c r="J132" s="394">
        <f>ROUND(E132/1000,0)</f>
        <v>0</v>
      </c>
      <c r="K132" s="257"/>
    </row>
    <row r="133" spans="1:11" ht="12.75" customHeight="1">
      <c r="A133" s="92" t="s">
        <v>105</v>
      </c>
      <c r="B133" s="394"/>
      <c r="C133" s="394"/>
      <c r="D133" s="390"/>
      <c r="E133" s="394"/>
      <c r="F133" s="236" t="s">
        <v>105</v>
      </c>
      <c r="G133" s="392"/>
      <c r="H133" s="392"/>
      <c r="I133" s="390"/>
      <c r="J133" s="394"/>
      <c r="K133" s="257"/>
    </row>
    <row r="134" spans="1:11" ht="12.75" customHeight="1">
      <c r="A134" s="393" t="s">
        <v>211</v>
      </c>
      <c r="B134" s="392"/>
      <c r="C134" s="392"/>
      <c r="D134" s="390" t="e">
        <f>C134/B134*100</f>
        <v>#DIV/0!</v>
      </c>
      <c r="E134" s="392">
        <f>C134-'[11]jūnijs'!C134</f>
        <v>0</v>
      </c>
      <c r="F134" s="393" t="s">
        <v>211</v>
      </c>
      <c r="G134" s="392">
        <f>ROUND(B134/1000,0)</f>
        <v>0</v>
      </c>
      <c r="H134" s="392">
        <f>ROUND(C134/1000,0)</f>
        <v>0</v>
      </c>
      <c r="I134" s="395"/>
      <c r="J134" s="394">
        <f>ROUND(E134/1000,0)</f>
        <v>0</v>
      </c>
      <c r="K134" s="257"/>
    </row>
    <row r="135" spans="1:11" ht="12.75" customHeight="1">
      <c r="A135" s="98" t="s">
        <v>333</v>
      </c>
      <c r="B135" s="392">
        <f>SUM(B136:B137)</f>
        <v>0</v>
      </c>
      <c r="C135" s="392">
        <f>SUM(C136:C137)</f>
        <v>0</v>
      </c>
      <c r="D135" s="390" t="e">
        <f>C135/B135*100</f>
        <v>#DIV/0!</v>
      </c>
      <c r="E135" s="392">
        <f>E136+E137</f>
        <v>0</v>
      </c>
      <c r="F135" s="98" t="s">
        <v>333</v>
      </c>
      <c r="G135" s="392">
        <f>SUM(G136:G137)</f>
        <v>0</v>
      </c>
      <c r="H135" s="392">
        <f>SUM(H136:H137)</f>
        <v>0</v>
      </c>
      <c r="I135" s="395"/>
      <c r="J135" s="394">
        <f>SUM(J136:J137)</f>
        <v>0</v>
      </c>
      <c r="K135" s="257"/>
    </row>
    <row r="136" spans="1:11" ht="12.75" customHeight="1">
      <c r="A136" s="107" t="s">
        <v>52</v>
      </c>
      <c r="B136" s="394"/>
      <c r="C136" s="394"/>
      <c r="D136" s="390" t="e">
        <f>C136/B136*100</f>
        <v>#DIV/0!</v>
      </c>
      <c r="E136" s="394">
        <f>C136-'[11]jūnijs'!C136</f>
        <v>0</v>
      </c>
      <c r="F136" s="107" t="s">
        <v>52</v>
      </c>
      <c r="G136" s="394">
        <f>ROUND(B136/1000,0)</f>
        <v>0</v>
      </c>
      <c r="H136" s="394">
        <f>ROUND(C136/1000,0)</f>
        <v>0</v>
      </c>
      <c r="I136" s="396"/>
      <c r="J136" s="394">
        <f>ROUND(E136/1000,0)</f>
        <v>0</v>
      </c>
      <c r="K136" s="257"/>
    </row>
    <row r="137" spans="1:11" ht="12.75" customHeight="1">
      <c r="A137" s="107" t="s">
        <v>53</v>
      </c>
      <c r="B137" s="394"/>
      <c r="C137" s="394"/>
      <c r="D137" s="390" t="e">
        <f>C137/B137*100</f>
        <v>#DIV/0!</v>
      </c>
      <c r="E137" s="394">
        <f>C137-'[11]jūnijs'!C137</f>
        <v>0</v>
      </c>
      <c r="F137" s="107" t="s">
        <v>53</v>
      </c>
      <c r="G137" s="394">
        <f>ROUND(B137/1000,0)</f>
        <v>0</v>
      </c>
      <c r="H137" s="394">
        <f>ROUND(C137/1000,0)</f>
        <v>0</v>
      </c>
      <c r="I137" s="396"/>
      <c r="J137" s="394">
        <f>ROUND(E137/1000,0)</f>
        <v>0</v>
      </c>
      <c r="K137" s="257"/>
    </row>
    <row r="138" spans="1:11" ht="38.25">
      <c r="A138" s="92" t="s">
        <v>107</v>
      </c>
      <c r="B138" s="394"/>
      <c r="C138" s="394"/>
      <c r="D138" s="390"/>
      <c r="E138" s="394"/>
      <c r="F138" s="92" t="s">
        <v>107</v>
      </c>
      <c r="G138" s="392"/>
      <c r="H138" s="392"/>
      <c r="I138" s="390"/>
      <c r="J138" s="394"/>
      <c r="K138" s="257"/>
    </row>
    <row r="139" spans="1:11" ht="12.75" customHeight="1">
      <c r="A139" s="397" t="s">
        <v>211</v>
      </c>
      <c r="B139" s="398">
        <v>309973</v>
      </c>
      <c r="C139" s="398">
        <v>70922</v>
      </c>
      <c r="D139" s="405">
        <f>C139/B139*100</f>
        <v>22.880057295312817</v>
      </c>
      <c r="E139" s="398">
        <f>C139-'[11]jūnijs'!C139</f>
        <v>36844</v>
      </c>
      <c r="F139" s="393" t="s">
        <v>211</v>
      </c>
      <c r="G139" s="392">
        <f>ROUND(B139/1000,0)</f>
        <v>310</v>
      </c>
      <c r="H139" s="392">
        <f>ROUND(C139/1000,0)</f>
        <v>71</v>
      </c>
      <c r="I139" s="390">
        <f>H139/G139*100</f>
        <v>22.903225806451612</v>
      </c>
      <c r="J139" s="394">
        <f>ROUND(E139/1000,0)</f>
        <v>37</v>
      </c>
      <c r="K139" s="257"/>
    </row>
    <row r="140" spans="1:11" ht="12.75" customHeight="1">
      <c r="A140" s="98" t="s">
        <v>333</v>
      </c>
      <c r="B140" s="392">
        <f>SUM(B141:B142)</f>
        <v>309973</v>
      </c>
      <c r="C140" s="392">
        <f>SUM(C141:C142)</f>
        <v>58817</v>
      </c>
      <c r="D140" s="390">
        <f>C140/B140*100</f>
        <v>18.974878457155945</v>
      </c>
      <c r="E140" s="392">
        <f>E141+E142</f>
        <v>36883</v>
      </c>
      <c r="F140" s="98" t="s">
        <v>333</v>
      </c>
      <c r="G140" s="392">
        <f>SUM(G141:G142)</f>
        <v>310</v>
      </c>
      <c r="H140" s="392">
        <f>SUM(H141:H142)</f>
        <v>59</v>
      </c>
      <c r="I140" s="390">
        <f>H140/G140*100</f>
        <v>19.032258064516128</v>
      </c>
      <c r="J140" s="394">
        <f>SUM(J141:J142)</f>
        <v>37</v>
      </c>
      <c r="K140" s="257"/>
    </row>
    <row r="141" spans="1:11" ht="12.75" customHeight="1">
      <c r="A141" s="107" t="s">
        <v>52</v>
      </c>
      <c r="B141" s="394">
        <v>309973</v>
      </c>
      <c r="C141" s="394">
        <v>58817</v>
      </c>
      <c r="D141" s="390">
        <f>C141/B141*100</f>
        <v>18.974878457155945</v>
      </c>
      <c r="E141" s="394">
        <f>C141-'[11]jūnijs'!C141</f>
        <v>36883</v>
      </c>
      <c r="F141" s="107" t="s">
        <v>52</v>
      </c>
      <c r="G141" s="394">
        <f>ROUND(B141/1000,0)</f>
        <v>310</v>
      </c>
      <c r="H141" s="394">
        <f>ROUND(C141/1000,0)</f>
        <v>59</v>
      </c>
      <c r="I141" s="390">
        <f>H141/G141*100</f>
        <v>19.032258064516128</v>
      </c>
      <c r="J141" s="394">
        <f>ROUND(E141/1000,0)</f>
        <v>37</v>
      </c>
      <c r="K141" s="257"/>
    </row>
    <row r="142" spans="1:11" ht="12.75" customHeight="1">
      <c r="A142" s="107" t="s">
        <v>53</v>
      </c>
      <c r="B142" s="394"/>
      <c r="C142" s="394"/>
      <c r="D142" s="390" t="e">
        <f>C142/B142*100</f>
        <v>#DIV/0!</v>
      </c>
      <c r="E142" s="394">
        <f>C142-'[11]jūnijs'!C142</f>
        <v>0</v>
      </c>
      <c r="F142" s="107" t="s">
        <v>53</v>
      </c>
      <c r="G142" s="394">
        <f>ROUND(B142/1000,0)</f>
        <v>0</v>
      </c>
      <c r="H142" s="394">
        <f>ROUND(C142/1000,0)</f>
        <v>0</v>
      </c>
      <c r="I142" s="390">
        <v>0</v>
      </c>
      <c r="J142" s="394">
        <f>ROUND(E142/1000,0)</f>
        <v>0</v>
      </c>
      <c r="K142" s="257"/>
    </row>
    <row r="143" spans="1:11" ht="25.5">
      <c r="A143" s="92" t="s">
        <v>109</v>
      </c>
      <c r="B143" s="392"/>
      <c r="C143" s="392"/>
      <c r="D143" s="390"/>
      <c r="E143" s="392"/>
      <c r="F143" s="92" t="s">
        <v>109</v>
      </c>
      <c r="G143" s="392"/>
      <c r="H143" s="392"/>
      <c r="I143" s="390"/>
      <c r="J143" s="394"/>
      <c r="K143" s="257"/>
    </row>
    <row r="144" spans="1:11" ht="12.75" customHeight="1">
      <c r="A144" s="393" t="s">
        <v>211</v>
      </c>
      <c r="B144" s="392">
        <v>82500</v>
      </c>
      <c r="C144" s="392">
        <v>14407</v>
      </c>
      <c r="D144" s="390">
        <f>C144/B144*100</f>
        <v>17.4630303030303</v>
      </c>
      <c r="E144" s="392">
        <f>C144-'[11]jūnijs'!C144</f>
        <v>4102</v>
      </c>
      <c r="F144" s="393" t="s">
        <v>211</v>
      </c>
      <c r="G144" s="392">
        <f>ROUND(B144/1000,0)</f>
        <v>83</v>
      </c>
      <c r="H144" s="392">
        <f>ROUND(C144/1000,0)</f>
        <v>14</v>
      </c>
      <c r="I144" s="390">
        <f>H144/G144*100</f>
        <v>16.867469879518072</v>
      </c>
      <c r="J144" s="394">
        <f>ROUND(E144/1000,0)</f>
        <v>4</v>
      </c>
      <c r="K144" s="257"/>
    </row>
    <row r="145" spans="1:11" ht="12.75" customHeight="1">
      <c r="A145" s="98" t="s">
        <v>333</v>
      </c>
      <c r="B145" s="392">
        <f>SUM(B146:B147)</f>
        <v>82500</v>
      </c>
      <c r="C145" s="392">
        <f>SUM(C146:C147)</f>
        <v>18764</v>
      </c>
      <c r="D145" s="390">
        <f>C145/B145*100</f>
        <v>22.744242424242426</v>
      </c>
      <c r="E145" s="392">
        <f>E146+E147</f>
        <v>4877</v>
      </c>
      <c r="F145" s="98" t="s">
        <v>333</v>
      </c>
      <c r="G145" s="392">
        <f>SUM(G146:G147)</f>
        <v>83</v>
      </c>
      <c r="H145" s="392">
        <f>SUM(H146:H147)</f>
        <v>19</v>
      </c>
      <c r="I145" s="390">
        <f>H145/G145*100</f>
        <v>22.89156626506024</v>
      </c>
      <c r="J145" s="394">
        <f>SUM(J146:J147)</f>
        <v>5</v>
      </c>
      <c r="K145" s="257"/>
    </row>
    <row r="146" spans="1:11" ht="12.75" customHeight="1">
      <c r="A146" s="107" t="s">
        <v>52</v>
      </c>
      <c r="B146" s="394">
        <v>82500</v>
      </c>
      <c r="C146" s="394">
        <v>17970</v>
      </c>
      <c r="D146" s="390">
        <f>C146/B146*100</f>
        <v>21.78181818181818</v>
      </c>
      <c r="E146" s="394">
        <f>C146-'[11]jūnijs'!C146</f>
        <v>4877</v>
      </c>
      <c r="F146" s="107" t="s">
        <v>52</v>
      </c>
      <c r="G146" s="394">
        <f>ROUND(B146/1000,0)</f>
        <v>83</v>
      </c>
      <c r="H146" s="394">
        <f>ROUND(C146/1000,0)</f>
        <v>18</v>
      </c>
      <c r="I146" s="390">
        <f>H146/G146*100</f>
        <v>21.686746987951807</v>
      </c>
      <c r="J146" s="394">
        <f>ROUND(E146/1000,0)</f>
        <v>5</v>
      </c>
      <c r="K146" s="257"/>
    </row>
    <row r="147" spans="1:11" ht="12.75" customHeight="1">
      <c r="A147" s="107" t="s">
        <v>53</v>
      </c>
      <c r="B147" s="394"/>
      <c r="C147" s="394">
        <v>794</v>
      </c>
      <c r="D147" s="390"/>
      <c r="E147" s="394">
        <f>C147-'[11]jūnijs'!C147</f>
        <v>0</v>
      </c>
      <c r="F147" s="107" t="s">
        <v>53</v>
      </c>
      <c r="G147" s="394">
        <f>ROUND(B147/1000,0)</f>
        <v>0</v>
      </c>
      <c r="H147" s="394">
        <f>ROUND(C147/1000,0)</f>
        <v>1</v>
      </c>
      <c r="I147" s="390"/>
      <c r="J147" s="394">
        <f>ROUND(E147/1000,0)</f>
        <v>0</v>
      </c>
      <c r="K147" s="257"/>
    </row>
    <row r="148" spans="2:10" ht="14.25" customHeight="1">
      <c r="B148" s="1"/>
      <c r="C148" s="1"/>
      <c r="D148" s="1"/>
      <c r="E148" s="1"/>
      <c r="F148" s="453"/>
      <c r="G148" s="432"/>
      <c r="H148" s="1"/>
      <c r="I148" s="1"/>
      <c r="J148" s="1"/>
    </row>
    <row r="149" spans="2:10" ht="17.25" customHeight="1">
      <c r="B149" s="1"/>
      <c r="C149" s="1"/>
      <c r="D149" s="1"/>
      <c r="E149" s="1"/>
      <c r="G149"/>
      <c r="H149" s="1"/>
      <c r="I149" s="1"/>
      <c r="J149" s="1"/>
    </row>
    <row r="150" spans="2:10" ht="17.25" customHeight="1">
      <c r="B150" s="1"/>
      <c r="C150" s="1"/>
      <c r="D150" s="1"/>
      <c r="E150" s="1"/>
      <c r="F150" s="41"/>
      <c r="G150" s="1"/>
      <c r="H150" s="1"/>
      <c r="I150" s="1"/>
      <c r="J150" s="1"/>
    </row>
    <row r="151" spans="1:10" ht="17.25" customHeight="1">
      <c r="A151" s="41" t="s">
        <v>883</v>
      </c>
      <c r="B151" s="39"/>
      <c r="C151" s="39"/>
      <c r="D151" s="39" t="s">
        <v>36</v>
      </c>
      <c r="E151" s="1"/>
      <c r="F151" s="139" t="s">
        <v>884</v>
      </c>
      <c r="G151" s="6"/>
      <c r="H151" s="6"/>
      <c r="I151" s="864" t="s">
        <v>862</v>
      </c>
      <c r="J151" s="864"/>
    </row>
    <row r="152" spans="2:10" ht="17.25" customHeight="1">
      <c r="B152" s="1"/>
      <c r="C152" s="1"/>
      <c r="D152" s="1"/>
      <c r="E152" s="1"/>
      <c r="G152" s="1"/>
      <c r="H152" s="1"/>
      <c r="I152" s="1"/>
      <c r="J152" s="1"/>
    </row>
    <row r="153" spans="2:10" ht="17.25" customHeight="1">
      <c r="B153" s="1"/>
      <c r="C153" s="1"/>
      <c r="D153" s="1"/>
      <c r="E153" s="1"/>
      <c r="G153" s="1"/>
      <c r="H153" s="1"/>
      <c r="I153" s="1"/>
      <c r="J153" s="1"/>
    </row>
    <row r="154" spans="2:10" ht="17.25" customHeight="1">
      <c r="B154" s="1"/>
      <c r="C154" s="1"/>
      <c r="D154" s="1"/>
      <c r="E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G156" s="1"/>
      <c r="H156" s="1"/>
      <c r="I156" s="1"/>
      <c r="J156" s="1"/>
    </row>
    <row r="157" spans="2:10" ht="17.25" customHeight="1">
      <c r="B157" s="1"/>
      <c r="C157" s="1"/>
      <c r="D157" s="1"/>
      <c r="E157" s="1"/>
      <c r="G157" s="1"/>
      <c r="H157" s="1"/>
      <c r="I157" s="1"/>
      <c r="J157" s="1"/>
    </row>
    <row r="158" spans="2:10" ht="17.25" customHeight="1">
      <c r="B158" s="1"/>
      <c r="C158" s="1"/>
      <c r="D158" s="1"/>
      <c r="E158" s="1"/>
      <c r="G158" s="1"/>
      <c r="H158" s="1"/>
      <c r="I158" s="1"/>
      <c r="J158" s="1"/>
    </row>
    <row r="159" spans="2:10" ht="17.25" customHeight="1">
      <c r="B159" s="1"/>
      <c r="C159" s="1"/>
      <c r="D159" s="1"/>
      <c r="E159" s="1"/>
      <c r="G159" s="1"/>
      <c r="H159" s="1"/>
      <c r="I159" s="1"/>
      <c r="J159" s="1"/>
    </row>
    <row r="160" spans="2:10" ht="17.25" customHeight="1">
      <c r="B160" s="1"/>
      <c r="C160" s="1"/>
      <c r="D160" s="1"/>
      <c r="E160" s="1"/>
      <c r="G160" s="1"/>
      <c r="H160" s="1"/>
      <c r="I160" s="1"/>
      <c r="J160" s="1"/>
    </row>
    <row r="161" spans="2:10" ht="15" customHeight="1">
      <c r="B161" s="1"/>
      <c r="C161" s="1"/>
      <c r="D161" s="1"/>
      <c r="E161" s="1"/>
      <c r="G161" s="1"/>
      <c r="H161" s="1"/>
      <c r="I161" s="1"/>
      <c r="J161" s="1"/>
    </row>
    <row r="162" spans="2:10" ht="15" customHeight="1">
      <c r="B162" s="1"/>
      <c r="C162" s="1"/>
      <c r="D162" s="1"/>
      <c r="E162" s="1"/>
      <c r="F162" s="230" t="s">
        <v>0</v>
      </c>
      <c r="G162" s="1"/>
      <c r="H162" s="1"/>
      <c r="I162" s="1"/>
      <c r="J162" s="1"/>
    </row>
    <row r="163" ht="17.25" customHeight="1">
      <c r="F163" s="230" t="s">
        <v>885</v>
      </c>
    </row>
  </sheetData>
  <mergeCells count="7">
    <mergeCell ref="A5:E5"/>
    <mergeCell ref="F5:J5"/>
    <mergeCell ref="I151:J151"/>
    <mergeCell ref="A2:E2"/>
    <mergeCell ref="F2:J2"/>
    <mergeCell ref="A4:E4"/>
    <mergeCell ref="F4:J4"/>
  </mergeCells>
  <printOptions horizontalCentered="1"/>
  <pageMargins left="0.9448818897637796" right="0.15748031496062992" top="0.984251968503937" bottom="0.4330708661417323" header="0.5118110236220472" footer="0.2362204724409449"/>
  <pageSetup firstPageNumber="23" useFirstPageNumber="1" horizontalDpi="300" verticalDpi="300" orientation="portrait" paperSize="9" scale="81" r:id="rId1"/>
  <headerFooter alignWithMargins="0">
    <oddFooter>&amp;R&amp;9&amp;P</oddFooter>
  </headerFooter>
  <rowBreaks count="2" manualBreakCount="2">
    <brk id="62" min="5" max="9" man="1"/>
    <brk id="122" min="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F1">
      <selection activeCell="A59" sqref="A59"/>
    </sheetView>
  </sheetViews>
  <sheetFormatPr defaultColWidth="9.140625" defaultRowHeight="17.25" customHeight="1"/>
  <cols>
    <col min="1" max="1" width="37.421875" style="256" hidden="1" customWidth="1"/>
    <col min="2" max="2" width="13.140625" style="256" hidden="1" customWidth="1"/>
    <col min="3" max="3" width="11.7109375" style="406" hidden="1" customWidth="1"/>
    <col min="4" max="4" width="12.421875" style="39" hidden="1" customWidth="1"/>
    <col min="5" max="5" width="11.00390625" style="42" hidden="1" customWidth="1"/>
    <col min="6" max="6" width="37.421875" style="256" customWidth="1"/>
    <col min="7" max="7" width="13.140625" style="256" customWidth="1"/>
    <col min="8" max="8" width="8.8515625" style="42" customWidth="1"/>
    <col min="9" max="9" width="12.421875" style="39" customWidth="1"/>
    <col min="10" max="10" width="9.8515625" style="42" customWidth="1"/>
  </cols>
  <sheetData>
    <row r="1" spans="2:10" ht="17.25" customHeight="1">
      <c r="B1" s="51"/>
      <c r="E1" s="406" t="s">
        <v>334</v>
      </c>
      <c r="G1" s="51"/>
      <c r="H1" s="407"/>
      <c r="J1" s="406" t="s">
        <v>334</v>
      </c>
    </row>
    <row r="2" spans="1:6" ht="17.25" customHeight="1">
      <c r="A2" s="256" t="s">
        <v>335</v>
      </c>
      <c r="F2" s="256" t="s">
        <v>335</v>
      </c>
    </row>
    <row r="4" spans="1:10" ht="32.25" customHeight="1">
      <c r="A4" s="881" t="s">
        <v>336</v>
      </c>
      <c r="B4" s="881"/>
      <c r="C4" s="881"/>
      <c r="D4" s="881"/>
      <c r="E4" s="881"/>
      <c r="F4" s="882" t="s">
        <v>336</v>
      </c>
      <c r="G4" s="882"/>
      <c r="H4" s="882"/>
      <c r="I4" s="882"/>
      <c r="J4" s="882"/>
    </row>
    <row r="5" spans="1:10" ht="17.25" customHeight="1">
      <c r="A5" s="865"/>
      <c r="B5" s="865"/>
      <c r="C5" s="865"/>
      <c r="D5" s="865"/>
      <c r="E5" s="865"/>
      <c r="F5" s="865" t="s">
        <v>865</v>
      </c>
      <c r="G5" s="865"/>
      <c r="H5" s="865"/>
      <c r="I5" s="865"/>
      <c r="J5" s="865"/>
    </row>
    <row r="6" spans="1:10" s="38" customFormat="1" ht="13.5" customHeight="1">
      <c r="A6" s="261"/>
      <c r="B6" s="261"/>
      <c r="C6" s="408"/>
      <c r="D6" s="3"/>
      <c r="E6" s="408" t="s">
        <v>957</v>
      </c>
      <c r="F6" s="261"/>
      <c r="G6" s="261"/>
      <c r="H6" s="409"/>
      <c r="I6" s="3"/>
      <c r="J6" s="408" t="s">
        <v>957</v>
      </c>
    </row>
    <row r="7" spans="1:10" ht="51">
      <c r="A7" s="304" t="s">
        <v>791</v>
      </c>
      <c r="B7" s="304" t="s">
        <v>42</v>
      </c>
      <c r="C7" s="305" t="s">
        <v>337</v>
      </c>
      <c r="D7" s="304" t="s">
        <v>338</v>
      </c>
      <c r="E7" s="9" t="s">
        <v>874</v>
      </c>
      <c r="F7" s="304" t="s">
        <v>791</v>
      </c>
      <c r="G7" s="304" t="s">
        <v>42</v>
      </c>
      <c r="H7" s="305" t="s">
        <v>337</v>
      </c>
      <c r="I7" s="304" t="s">
        <v>338</v>
      </c>
      <c r="J7" s="9" t="s">
        <v>874</v>
      </c>
    </row>
    <row r="8" spans="1:10" ht="12.75">
      <c r="A8" s="267">
        <v>1</v>
      </c>
      <c r="B8" s="267">
        <v>2</v>
      </c>
      <c r="C8" s="410">
        <v>3</v>
      </c>
      <c r="D8" s="267">
        <v>4</v>
      </c>
      <c r="E8" s="353">
        <v>5</v>
      </c>
      <c r="F8" s="267">
        <v>1</v>
      </c>
      <c r="G8" s="267">
        <v>2</v>
      </c>
      <c r="H8" s="353">
        <v>3</v>
      </c>
      <c r="I8" s="267">
        <v>4</v>
      </c>
      <c r="J8" s="353">
        <v>5</v>
      </c>
    </row>
    <row r="9" spans="1:10" ht="25.5">
      <c r="A9" s="92" t="s">
        <v>339</v>
      </c>
      <c r="B9" s="411">
        <f>SUM(B10:B12)</f>
        <v>4658578</v>
      </c>
      <c r="C9" s="411">
        <f>SUM(C10:C12)</f>
        <v>2533645</v>
      </c>
      <c r="D9" s="412">
        <f>C9/B9*100</f>
        <v>54.38666047879847</v>
      </c>
      <c r="E9" s="411">
        <f>E10+E11+E12</f>
        <v>511398</v>
      </c>
      <c r="F9" s="92" t="s">
        <v>339</v>
      </c>
      <c r="G9" s="413">
        <f>SUM(G10:G12)</f>
        <v>4659</v>
      </c>
      <c r="H9" s="413">
        <f>SUM(H10:H12)</f>
        <v>2534</v>
      </c>
      <c r="I9" s="414">
        <f>H9/G9*100</f>
        <v>54.38935393861344</v>
      </c>
      <c r="J9" s="413">
        <f>SUM(J10:J12)</f>
        <v>511</v>
      </c>
    </row>
    <row r="10" spans="1:10" ht="25.5">
      <c r="A10" s="69" t="s">
        <v>340</v>
      </c>
      <c r="B10" s="410">
        <v>3717077</v>
      </c>
      <c r="C10" s="410">
        <v>2071594</v>
      </c>
      <c r="D10" s="415">
        <f>C10/B10*100</f>
        <v>55.73180216605682</v>
      </c>
      <c r="E10" s="410">
        <f>C10-'[13]jūnijs'!C10</f>
        <v>351645</v>
      </c>
      <c r="F10" s="69" t="s">
        <v>340</v>
      </c>
      <c r="G10" s="416">
        <f>ROUND(B10/1000,)</f>
        <v>3717</v>
      </c>
      <c r="H10" s="416">
        <f>ROUND(C10/1000,)</f>
        <v>2072</v>
      </c>
      <c r="I10" s="417">
        <f>H10/G10*100</f>
        <v>55.74387947269304</v>
      </c>
      <c r="J10" s="416">
        <f>ROUND(E10/1000,)</f>
        <v>352</v>
      </c>
    </row>
    <row r="11" spans="1:10" ht="25.5">
      <c r="A11" s="69" t="s">
        <v>341</v>
      </c>
      <c r="B11" s="410">
        <v>941501</v>
      </c>
      <c r="C11" s="410">
        <f>262225+146231</f>
        <v>408456</v>
      </c>
      <c r="D11" s="415">
        <f>C11/B11*100</f>
        <v>43.383490830068155</v>
      </c>
      <c r="E11" s="410">
        <f>C11-'[13]jūnijs'!C11</f>
        <v>159753</v>
      </c>
      <c r="F11" s="69" t="s">
        <v>341</v>
      </c>
      <c r="G11" s="416">
        <f>ROUND(B11/1000,)</f>
        <v>942</v>
      </c>
      <c r="H11" s="416">
        <f>ROUND(C11/1000,)</f>
        <v>408</v>
      </c>
      <c r="I11" s="417">
        <f>H11/G11*100</f>
        <v>43.31210191082803</v>
      </c>
      <c r="J11" s="416">
        <f>ROUND(E11/1000,)-1</f>
        <v>159</v>
      </c>
    </row>
    <row r="12" spans="1:10" ht="25.5">
      <c r="A12" s="69" t="s">
        <v>342</v>
      </c>
      <c r="B12" s="410"/>
      <c r="C12" s="410">
        <v>53595</v>
      </c>
      <c r="D12" s="415"/>
      <c r="E12" s="410">
        <f>C12-'[13]jūnijs'!C12</f>
        <v>0</v>
      </c>
      <c r="F12" s="69" t="s">
        <v>342</v>
      </c>
      <c r="G12" s="267" t="s">
        <v>797</v>
      </c>
      <c r="H12" s="416">
        <f>ROUND(C12/1000,)</f>
        <v>54</v>
      </c>
      <c r="I12" s="267" t="s">
        <v>797</v>
      </c>
      <c r="J12" s="416">
        <f>ROUND(E12/1000,)</f>
        <v>0</v>
      </c>
    </row>
    <row r="13" spans="1:10" ht="17.25" customHeight="1">
      <c r="A13" s="92" t="s">
        <v>343</v>
      </c>
      <c r="B13" s="96">
        <f>SUM(B14,B31)</f>
        <v>5094025</v>
      </c>
      <c r="C13" s="370">
        <f>SUM(C14,C31)</f>
        <v>2458378</v>
      </c>
      <c r="D13" s="412">
        <f>C13/B13*100</f>
        <v>48.2600301333425</v>
      </c>
      <c r="E13" s="410">
        <f>C13-'[13]jūnijs'!C13</f>
        <v>456689</v>
      </c>
      <c r="F13" s="92" t="s">
        <v>343</v>
      </c>
      <c r="G13" s="370">
        <f>SUM(G14,G31)</f>
        <v>5094</v>
      </c>
      <c r="H13" s="370">
        <f>SUM(H14,H31)</f>
        <v>2458</v>
      </c>
      <c r="I13" s="414">
        <f>H13/G13*100</f>
        <v>48.25284648606203</v>
      </c>
      <c r="J13" s="370">
        <f>J14+J31</f>
        <v>456</v>
      </c>
    </row>
    <row r="14" spans="1:10" ht="17.25" customHeight="1">
      <c r="A14" s="98" t="s">
        <v>281</v>
      </c>
      <c r="B14" s="96">
        <f>SUM(B15,B22,B25)</f>
        <v>4599873</v>
      </c>
      <c r="C14" s="418">
        <f>SUM(C15,C22,C25)</f>
        <v>2248179</v>
      </c>
      <c r="D14" s="412">
        <f>C14/B14*100</f>
        <v>48.87480589138005</v>
      </c>
      <c r="E14" s="410">
        <f>C14-'[13]jūnijs'!C14</f>
        <v>434411</v>
      </c>
      <c r="F14" s="98" t="s">
        <v>281</v>
      </c>
      <c r="G14" s="370">
        <f>SUM(G15,G22,G25)</f>
        <v>4600</v>
      </c>
      <c r="H14" s="370">
        <f>SUM(H15,H22,H25)</f>
        <v>2248</v>
      </c>
      <c r="I14" s="414">
        <f>H14/G14*100</f>
        <v>48.869565217391305</v>
      </c>
      <c r="J14" s="370">
        <f>J15+J22+J25</f>
        <v>434</v>
      </c>
    </row>
    <row r="15" spans="1:10" ht="17.25" customHeight="1">
      <c r="A15" s="98" t="s">
        <v>132</v>
      </c>
      <c r="B15" s="370">
        <f>SUM(B16,B17,B18,B21)</f>
        <v>4131329</v>
      </c>
      <c r="C15" s="418">
        <f>SUM(C16,C17,C18,C21)</f>
        <v>1951424</v>
      </c>
      <c r="D15" s="412">
        <f>C15/B15*100</f>
        <v>47.23477602485786</v>
      </c>
      <c r="E15" s="410">
        <f>C15-'[13]jūnijs'!C15</f>
        <v>379512</v>
      </c>
      <c r="F15" s="98" t="s">
        <v>132</v>
      </c>
      <c r="G15" s="370">
        <f>SUM(G16,G17,G18,G21)</f>
        <v>4131</v>
      </c>
      <c r="H15" s="370">
        <f>SUM(H16,H17,H18,H21)</f>
        <v>1952</v>
      </c>
      <c r="I15" s="414">
        <f>H15/G15*100</f>
        <v>47.25248123940934</v>
      </c>
      <c r="J15" s="370">
        <f>SUM(J16:J18)</f>
        <v>379</v>
      </c>
    </row>
    <row r="16" spans="1:10" ht="17.25" customHeight="1">
      <c r="A16" s="242" t="s">
        <v>133</v>
      </c>
      <c r="B16" s="410">
        <v>570070</v>
      </c>
      <c r="C16" s="410">
        <f>'[14]jūlijs'!$B$16</f>
        <v>325901</v>
      </c>
      <c r="D16" s="415">
        <f>C16/B16*100</f>
        <v>57.1685933306436</v>
      </c>
      <c r="E16" s="410">
        <f>C16-'[13]jūnijs'!C16</f>
        <v>38341</v>
      </c>
      <c r="F16" s="242" t="s">
        <v>133</v>
      </c>
      <c r="G16" s="416">
        <f>ROUND(B16/1000,)</f>
        <v>570</v>
      </c>
      <c r="H16" s="416">
        <f>ROUND(C16/1000,)</f>
        <v>326</v>
      </c>
      <c r="I16" s="417">
        <f>H16/G16*100</f>
        <v>57.19298245614035</v>
      </c>
      <c r="J16" s="416">
        <f aca="true" t="shared" si="0" ref="J16:J21">ROUND(E16/1000,)</f>
        <v>38</v>
      </c>
    </row>
    <row r="17" spans="1:10" ht="25.5">
      <c r="A17" s="69" t="s">
        <v>344</v>
      </c>
      <c r="B17" s="334" t="s">
        <v>797</v>
      </c>
      <c r="C17" s="410">
        <f>'[14]jūlijs'!$B$17</f>
        <v>45102</v>
      </c>
      <c r="D17" s="415" t="s">
        <v>345</v>
      </c>
      <c r="E17" s="410">
        <f>C17-'[13]jūnijs'!C17</f>
        <v>5150</v>
      </c>
      <c r="F17" s="69" t="s">
        <v>344</v>
      </c>
      <c r="G17" s="389" t="s">
        <v>797</v>
      </c>
      <c r="H17" s="416">
        <f>ROUND(C17/1000,)</f>
        <v>45</v>
      </c>
      <c r="I17" s="417"/>
      <c r="J17" s="416">
        <f t="shared" si="0"/>
        <v>5</v>
      </c>
    </row>
    <row r="18" spans="1:10" ht="17.25" customHeight="1">
      <c r="A18" s="69" t="s">
        <v>135</v>
      </c>
      <c r="B18" s="281">
        <v>3561259</v>
      </c>
      <c r="C18" s="281">
        <f>'[14]jūlijs'!$B$18</f>
        <v>1580421</v>
      </c>
      <c r="D18" s="415">
        <f>C18/B18*100</f>
        <v>44.378153905683355</v>
      </c>
      <c r="E18" s="410">
        <f>C18-'[13]jūnijs'!C18</f>
        <v>336021</v>
      </c>
      <c r="F18" s="69" t="s">
        <v>135</v>
      </c>
      <c r="G18" s="416">
        <f>ROUND(B18/1000,)</f>
        <v>3561</v>
      </c>
      <c r="H18" s="416">
        <f>H19+H20</f>
        <v>1581</v>
      </c>
      <c r="I18" s="417">
        <f>H18/G18*100</f>
        <v>44.397641112047175</v>
      </c>
      <c r="J18" s="416">
        <f t="shared" si="0"/>
        <v>336</v>
      </c>
    </row>
    <row r="19" spans="1:10" ht="17.25" customHeight="1">
      <c r="A19" s="336" t="s">
        <v>346</v>
      </c>
      <c r="B19" s="419" t="s">
        <v>797</v>
      </c>
      <c r="C19" s="281">
        <f>'[14]jūlijs'!$B$19</f>
        <v>1342353</v>
      </c>
      <c r="D19" s="415"/>
      <c r="E19" s="410">
        <f>C19-'[13]jūnijs'!C19</f>
        <v>320400</v>
      </c>
      <c r="F19" s="336" t="s">
        <v>346</v>
      </c>
      <c r="G19" s="420" t="s">
        <v>797</v>
      </c>
      <c r="H19" s="416">
        <f>ROUND(C19/1000,)+1</f>
        <v>1343</v>
      </c>
      <c r="I19" s="417"/>
      <c r="J19" s="416">
        <f t="shared" si="0"/>
        <v>320</v>
      </c>
    </row>
    <row r="20" spans="1:10" ht="12.75">
      <c r="A20" s="336" t="s">
        <v>347</v>
      </c>
      <c r="B20" s="419" t="s">
        <v>797</v>
      </c>
      <c r="C20" s="281">
        <f>'[14]jūlijs'!$B$20</f>
        <v>238068</v>
      </c>
      <c r="D20" s="415"/>
      <c r="E20" s="410">
        <f>C20-'[13]jūnijs'!C20</f>
        <v>15621</v>
      </c>
      <c r="F20" s="336" t="s">
        <v>347</v>
      </c>
      <c r="G20" s="420" t="s">
        <v>797</v>
      </c>
      <c r="H20" s="416">
        <f>ROUND(C20/1000,)</f>
        <v>238</v>
      </c>
      <c r="I20" s="417"/>
      <c r="J20" s="416">
        <f t="shared" si="0"/>
        <v>16</v>
      </c>
    </row>
    <row r="21" spans="1:10" ht="12.75">
      <c r="A21" s="69" t="s">
        <v>348</v>
      </c>
      <c r="B21" s="334"/>
      <c r="C21" s="410">
        <f>'[14]jūlijs'!$B$21</f>
        <v>0</v>
      </c>
      <c r="D21" s="415"/>
      <c r="E21" s="410">
        <f>C21-'[13]jūnijs'!C21</f>
        <v>0</v>
      </c>
      <c r="F21" s="69" t="s">
        <v>348</v>
      </c>
      <c r="G21" s="389"/>
      <c r="H21" s="410"/>
      <c r="I21" s="417"/>
      <c r="J21" s="416">
        <f t="shared" si="0"/>
        <v>0</v>
      </c>
    </row>
    <row r="22" spans="1:10" ht="25.5">
      <c r="A22" s="76" t="s">
        <v>136</v>
      </c>
      <c r="B22" s="334"/>
      <c r="C22" s="370">
        <f>C23+C24</f>
        <v>0</v>
      </c>
      <c r="D22" s="415"/>
      <c r="E22" s="410">
        <f>C22-'[13]jūnijs'!C22</f>
        <v>0</v>
      </c>
      <c r="F22" s="76" t="s">
        <v>136</v>
      </c>
      <c r="G22" s="389"/>
      <c r="H22" s="370"/>
      <c r="I22" s="417"/>
      <c r="J22" s="370"/>
    </row>
    <row r="23" spans="1:10" ht="25.5">
      <c r="A23" s="69" t="s">
        <v>349</v>
      </c>
      <c r="B23" s="334"/>
      <c r="C23" s="410">
        <f>'[14]jūlijs'!$B$23</f>
        <v>0</v>
      </c>
      <c r="D23" s="415"/>
      <c r="E23" s="410">
        <f>C23-'[13]jūnijs'!C23</f>
        <v>0</v>
      </c>
      <c r="F23" s="69" t="s">
        <v>349</v>
      </c>
      <c r="G23" s="389"/>
      <c r="H23" s="410"/>
      <c r="I23" s="417"/>
      <c r="J23" s="410"/>
    </row>
    <row r="24" spans="1:10" ht="25.5">
      <c r="A24" s="69" t="s">
        <v>350</v>
      </c>
      <c r="B24" s="334"/>
      <c r="C24" s="410">
        <f>'[14]jūlijs'!$B$23</f>
        <v>0</v>
      </c>
      <c r="D24" s="415"/>
      <c r="E24" s="410">
        <f>C24-'[13]jūnijs'!C24</f>
        <v>0</v>
      </c>
      <c r="F24" s="69" t="s">
        <v>350</v>
      </c>
      <c r="G24" s="389"/>
      <c r="H24" s="410"/>
      <c r="I24" s="417"/>
      <c r="J24" s="410"/>
    </row>
    <row r="25" spans="1:10" ht="12.75">
      <c r="A25" s="32" t="s">
        <v>140</v>
      </c>
      <c r="B25" s="370">
        <f>SUM(B26:B30)</f>
        <v>468544</v>
      </c>
      <c r="C25" s="370">
        <f>SUM(C26:C30)</f>
        <v>296755</v>
      </c>
      <c r="D25" s="412">
        <f>C25/B25*100</f>
        <v>63.335567203933884</v>
      </c>
      <c r="E25" s="410">
        <f>C25-'[13]jūnijs'!C25</f>
        <v>54899</v>
      </c>
      <c r="F25" s="32" t="s">
        <v>140</v>
      </c>
      <c r="G25" s="370">
        <f>SUM(G26:G30)</f>
        <v>469</v>
      </c>
      <c r="H25" s="370">
        <f>SUM(H26:H30)</f>
        <v>296</v>
      </c>
      <c r="I25" s="414">
        <f>H25/G25*100</f>
        <v>63.11300639658849</v>
      </c>
      <c r="J25" s="421">
        <f>J26+J27+J28+J29+J30</f>
        <v>55</v>
      </c>
    </row>
    <row r="26" spans="1:10" ht="12.75">
      <c r="A26" s="242" t="s">
        <v>141</v>
      </c>
      <c r="B26" s="389">
        <v>18300</v>
      </c>
      <c r="C26" s="410">
        <f>'[14]jūlijs'!$B$26</f>
        <v>12300</v>
      </c>
      <c r="D26" s="412">
        <f>C26/B26*100</f>
        <v>67.21311475409836</v>
      </c>
      <c r="E26" s="410">
        <f>C26-'[13]jūnijs'!C26</f>
        <v>4100</v>
      </c>
      <c r="F26" s="242" t="s">
        <v>141</v>
      </c>
      <c r="G26" s="416">
        <f>ROUND(B26/1000,)+1</f>
        <v>19</v>
      </c>
      <c r="H26" s="416">
        <f>ROUND(C26/1000,)</f>
        <v>12</v>
      </c>
      <c r="I26" s="417">
        <f>H26/G26*100</f>
        <v>63.1578947368421</v>
      </c>
      <c r="J26" s="416">
        <f>ROUND(E26/1000,)</f>
        <v>4</v>
      </c>
    </row>
    <row r="27" spans="1:10" ht="12.75">
      <c r="A27" s="242" t="s">
        <v>142</v>
      </c>
      <c r="B27" s="389"/>
      <c r="C27" s="410">
        <f>'[14]jūlijs'!$B$27</f>
        <v>300</v>
      </c>
      <c r="D27" s="412"/>
      <c r="E27" s="410">
        <f>C27-'[13]jūnijs'!C27</f>
        <v>0</v>
      </c>
      <c r="F27" s="242" t="s">
        <v>142</v>
      </c>
      <c r="G27" s="389"/>
      <c r="H27" s="416"/>
      <c r="I27" s="417"/>
      <c r="J27" s="416">
        <f>ROUND(E27/1000,)</f>
        <v>0</v>
      </c>
    </row>
    <row r="28" spans="1:10" ht="12.75">
      <c r="A28" s="69" t="s">
        <v>143</v>
      </c>
      <c r="B28" s="389"/>
      <c r="C28" s="410">
        <f>'[14]jūlijs'!$B$28</f>
        <v>0</v>
      </c>
      <c r="D28" s="415"/>
      <c r="E28" s="410">
        <f>C28-'[13]jūnijs'!C28</f>
        <v>0</v>
      </c>
      <c r="F28" s="69" t="s">
        <v>143</v>
      </c>
      <c r="G28" s="389"/>
      <c r="H28" s="416"/>
      <c r="I28" s="417"/>
      <c r="J28" s="416">
        <f>ROUND(E28/1000,)</f>
        <v>0</v>
      </c>
    </row>
    <row r="29" spans="1:10" ht="12.75">
      <c r="A29" s="69" t="s">
        <v>351</v>
      </c>
      <c r="B29" s="410">
        <v>167158</v>
      </c>
      <c r="C29" s="410">
        <f>'[14]jūlijs'!$B$29</f>
        <v>126448</v>
      </c>
      <c r="D29" s="415">
        <f aca="true" t="shared" si="1" ref="D29:D35">C29/B29*100</f>
        <v>75.64579619282355</v>
      </c>
      <c r="E29" s="410">
        <f>C29-'[13]jūnijs'!C29</f>
        <v>15203</v>
      </c>
      <c r="F29" s="69" t="s">
        <v>351</v>
      </c>
      <c r="G29" s="416">
        <f>ROUND(B29/1000,)</f>
        <v>167</v>
      </c>
      <c r="H29" s="416">
        <f>ROUND(C29/1000,)</f>
        <v>126</v>
      </c>
      <c r="I29" s="417">
        <f>H29/G29*100</f>
        <v>75.44910179640718</v>
      </c>
      <c r="J29" s="416">
        <f>ROUND(E29/1000,)</f>
        <v>15</v>
      </c>
    </row>
    <row r="30" spans="1:10" ht="12.75">
      <c r="A30" s="69" t="s">
        <v>146</v>
      </c>
      <c r="B30" s="410">
        <v>283086</v>
      </c>
      <c r="C30" s="410">
        <f>'[14]jūlijs'!$B$30</f>
        <v>157707</v>
      </c>
      <c r="D30" s="415">
        <f t="shared" si="1"/>
        <v>55.70992560564634</v>
      </c>
      <c r="E30" s="410">
        <f>C30-'[13]jūnijs'!C30</f>
        <v>35596</v>
      </c>
      <c r="F30" s="69" t="s">
        <v>146</v>
      </c>
      <c r="G30" s="416">
        <f>ROUND(B30/1000,)</f>
        <v>283</v>
      </c>
      <c r="H30" s="416">
        <f>ROUND(C30/1000,)</f>
        <v>158</v>
      </c>
      <c r="I30" s="417">
        <f>H30/G30*100</f>
        <v>55.830388692579504</v>
      </c>
      <c r="J30" s="416">
        <f>ROUND(E30/1000,)</f>
        <v>36</v>
      </c>
    </row>
    <row r="31" spans="1:10" ht="12.75">
      <c r="A31" s="128" t="s">
        <v>352</v>
      </c>
      <c r="B31" s="370">
        <f>SUM(B32:B33)</f>
        <v>494152</v>
      </c>
      <c r="C31" s="370">
        <f>SUM(C32:C33)</f>
        <v>210199</v>
      </c>
      <c r="D31" s="412">
        <f t="shared" si="1"/>
        <v>42.53731645323706</v>
      </c>
      <c r="E31" s="410">
        <f>C31-'[13]jūnijs'!C31</f>
        <v>22278</v>
      </c>
      <c r="F31" s="128" t="s">
        <v>352</v>
      </c>
      <c r="G31" s="370">
        <f>SUM(G32:G33)</f>
        <v>494</v>
      </c>
      <c r="H31" s="422">
        <f>SUM(H32:H33)</f>
        <v>210</v>
      </c>
      <c r="I31" s="414">
        <f>H31/G31*100</f>
        <v>42.51012145748988</v>
      </c>
      <c r="J31" s="421">
        <f>J32+J33</f>
        <v>22</v>
      </c>
    </row>
    <row r="32" spans="1:10" ht="17.25" customHeight="1">
      <c r="A32" s="69" t="s">
        <v>353</v>
      </c>
      <c r="B32" s="410">
        <v>492542</v>
      </c>
      <c r="C32" s="410">
        <f>'[14]jūlijs'!$B$32</f>
        <v>210199</v>
      </c>
      <c r="D32" s="415">
        <f t="shared" si="1"/>
        <v>42.67636059462949</v>
      </c>
      <c r="E32" s="410">
        <f>C32-'[13]jūnijs'!C32</f>
        <v>22278</v>
      </c>
      <c r="F32" s="69" t="s">
        <v>353</v>
      </c>
      <c r="G32" s="416">
        <f>ROUND(B32/1000,)-1</f>
        <v>492</v>
      </c>
      <c r="H32" s="416">
        <f>ROUND(C32/1000,)</f>
        <v>210</v>
      </c>
      <c r="I32" s="417">
        <f>H32/G32*100</f>
        <v>42.68292682926829</v>
      </c>
      <c r="J32" s="416">
        <f>ROUND(E32/1000,)</f>
        <v>22</v>
      </c>
    </row>
    <row r="33" spans="1:10" ht="17.25" customHeight="1">
      <c r="A33" s="69" t="s">
        <v>354</v>
      </c>
      <c r="B33" s="416">
        <v>1610</v>
      </c>
      <c r="C33" s="410">
        <f>'[14]jūlijs'!$B$33</f>
        <v>0</v>
      </c>
      <c r="D33" s="415">
        <f t="shared" si="1"/>
        <v>0</v>
      </c>
      <c r="E33" s="410">
        <f>C33-'[13]jūnijs'!C33</f>
        <v>0</v>
      </c>
      <c r="F33" s="69" t="s">
        <v>354</v>
      </c>
      <c r="G33" s="416">
        <f>ROUND(B33/1000,)</f>
        <v>2</v>
      </c>
      <c r="H33" s="416">
        <f>ROUND(C33/1000,)</f>
        <v>0</v>
      </c>
      <c r="I33" s="417"/>
      <c r="J33" s="416">
        <f>ROUND(E33/1000,)</f>
        <v>0</v>
      </c>
    </row>
    <row r="34" spans="1:10" ht="12.75">
      <c r="A34" s="128" t="s">
        <v>355</v>
      </c>
      <c r="B34" s="389">
        <f>B9-B13</f>
        <v>-435447</v>
      </c>
      <c r="C34" s="389">
        <f>C9-C13</f>
        <v>75267</v>
      </c>
      <c r="D34" s="415">
        <f t="shared" si="1"/>
        <v>-17.284996796395426</v>
      </c>
      <c r="E34" s="410">
        <f>C34-'[13]jūnijs'!C34</f>
        <v>54709</v>
      </c>
      <c r="F34" s="128" t="s">
        <v>355</v>
      </c>
      <c r="G34" s="389">
        <f>G9-G13</f>
        <v>-435</v>
      </c>
      <c r="H34" s="410">
        <f>(H9-H13)</f>
        <v>76</v>
      </c>
      <c r="I34" s="417">
        <f>H34/G34*100</f>
        <v>-17.47126436781609</v>
      </c>
      <c r="J34" s="416">
        <f>J9-J13</f>
        <v>55</v>
      </c>
    </row>
    <row r="35" spans="1:10" ht="12.75">
      <c r="A35" s="128" t="s">
        <v>166</v>
      </c>
      <c r="B35" s="423">
        <f>-B34</f>
        <v>435447</v>
      </c>
      <c r="C35" s="423">
        <f>-C34</f>
        <v>-75267</v>
      </c>
      <c r="D35" s="415">
        <f t="shared" si="1"/>
        <v>-17.284996796395426</v>
      </c>
      <c r="E35" s="410">
        <f>C35-'[13]jūnijs'!C35</f>
        <v>-54709</v>
      </c>
      <c r="F35" s="128" t="s">
        <v>166</v>
      </c>
      <c r="G35" s="389">
        <f>ROUND(B35/1000,)</f>
        <v>435</v>
      </c>
      <c r="H35" s="410">
        <f>-H34</f>
        <v>-76</v>
      </c>
      <c r="I35" s="417">
        <f>-H35/G35*100</f>
        <v>17.47126436781609</v>
      </c>
      <c r="J35" s="410">
        <f>-J34</f>
        <v>-55</v>
      </c>
    </row>
    <row r="36" spans="1:10" ht="25.5">
      <c r="A36" s="131" t="s">
        <v>356</v>
      </c>
      <c r="B36" s="423">
        <f>-B35</f>
        <v>-435447</v>
      </c>
      <c r="C36" s="410">
        <f>C35</f>
        <v>-75267</v>
      </c>
      <c r="D36" s="424"/>
      <c r="E36" s="410">
        <f>C36-'[13]jūnijs'!C36</f>
        <v>-54709</v>
      </c>
      <c r="F36" s="131" t="s">
        <v>356</v>
      </c>
      <c r="G36" s="389">
        <f>ROUND(B36/1000,)</f>
        <v>-435</v>
      </c>
      <c r="H36" s="410">
        <f>H35</f>
        <v>-76</v>
      </c>
      <c r="I36" s="417">
        <f>-H36/G36*100</f>
        <v>-17.47126436781609</v>
      </c>
      <c r="J36" s="410">
        <f>J35</f>
        <v>-55</v>
      </c>
    </row>
    <row r="37" spans="1:10" ht="12.75">
      <c r="A37" s="696"/>
      <c r="B37" s="425"/>
      <c r="C37" s="697"/>
      <c r="D37" s="698"/>
      <c r="E37" s="697"/>
      <c r="F37" s="453"/>
      <c r="G37" s="432"/>
      <c r="H37" s="697"/>
      <c r="I37" s="699"/>
      <c r="J37" s="697"/>
    </row>
    <row r="38" spans="1:10" ht="12.75">
      <c r="A38" s="696"/>
      <c r="B38" s="425"/>
      <c r="C38" s="697"/>
      <c r="D38" s="698"/>
      <c r="E38" s="697"/>
      <c r="F38" s="49"/>
      <c r="G38"/>
      <c r="H38" s="697"/>
      <c r="I38" s="699"/>
      <c r="J38" s="697"/>
    </row>
    <row r="39" spans="1:10" ht="12.75">
      <c r="A39" s="696"/>
      <c r="B39" s="425"/>
      <c r="C39" s="697"/>
      <c r="D39" s="698"/>
      <c r="E39" s="697"/>
      <c r="F39" s="696"/>
      <c r="G39" s="700"/>
      <c r="H39" s="697"/>
      <c r="I39" s="699"/>
      <c r="J39" s="697"/>
    </row>
    <row r="40" spans="1:10" ht="12.75">
      <c r="A40" s="696"/>
      <c r="B40" s="425"/>
      <c r="C40" s="697"/>
      <c r="D40" s="698"/>
      <c r="E40" s="697"/>
      <c r="F40" s="696"/>
      <c r="G40" s="700"/>
      <c r="H40" s="697"/>
      <c r="I40" s="699"/>
      <c r="J40" s="697"/>
    </row>
    <row r="41" spans="1:9" ht="17.25" customHeight="1">
      <c r="A41" s="41" t="s">
        <v>357</v>
      </c>
      <c r="B41" s="39"/>
      <c r="C41" s="301"/>
      <c r="D41" s="39" t="s">
        <v>36</v>
      </c>
      <c r="E41" s="1"/>
      <c r="F41" s="817" t="s">
        <v>886</v>
      </c>
      <c r="G41" s="780"/>
      <c r="H41" s="818"/>
      <c r="I41" s="780" t="s">
        <v>862</v>
      </c>
    </row>
    <row r="42" spans="1:10" ht="17.25" customHeight="1">
      <c r="A42" s="84"/>
      <c r="B42" s="425"/>
      <c r="C42" s="426"/>
      <c r="D42" s="348"/>
      <c r="E42" s="427"/>
      <c r="F42" s="84"/>
      <c r="G42" s="425"/>
      <c r="H42" s="427"/>
      <c r="I42" s="348"/>
      <c r="J42" s="427"/>
    </row>
    <row r="43" spans="1:10" ht="17.25" customHeight="1">
      <c r="A43" s="84"/>
      <c r="B43" s="84"/>
      <c r="C43" s="426"/>
      <c r="D43" s="380"/>
      <c r="E43" s="427"/>
      <c r="H43" s="428"/>
      <c r="I43" s="380"/>
      <c r="J43" s="427"/>
    </row>
    <row r="45" spans="1:9" ht="17.25" customHeight="1">
      <c r="A45" s="84"/>
      <c r="B45" s="425"/>
      <c r="C45" s="426"/>
      <c r="D45" s="348"/>
      <c r="F45" s="256" t="s">
        <v>953</v>
      </c>
      <c r="G45" s="425"/>
      <c r="H45" s="427"/>
      <c r="I45" s="348"/>
    </row>
    <row r="46" spans="2:10" ht="17.25" customHeight="1">
      <c r="B46" s="429"/>
      <c r="D46" s="430"/>
      <c r="E46" s="407"/>
      <c r="F46" s="256" t="s">
        <v>847</v>
      </c>
      <c r="G46" s="429"/>
      <c r="H46" s="407"/>
      <c r="I46" s="430"/>
      <c r="J46" s="407"/>
    </row>
    <row r="47" spans="2:9" ht="17.25" customHeight="1">
      <c r="B47" s="42"/>
      <c r="D47" s="430"/>
      <c r="G47" s="42"/>
      <c r="I47" s="430"/>
    </row>
    <row r="48" spans="2:9" ht="17.25" customHeight="1">
      <c r="B48" s="42"/>
      <c r="D48" s="430"/>
      <c r="G48" s="42"/>
      <c r="I48" s="430"/>
    </row>
    <row r="49" spans="2:9" ht="17.25" customHeight="1">
      <c r="B49" s="42"/>
      <c r="D49" s="430"/>
      <c r="G49" s="42"/>
      <c r="I49" s="430"/>
    </row>
    <row r="50" spans="1:9" ht="17.25" customHeight="1">
      <c r="A50" s="1"/>
      <c r="B50" s="42"/>
      <c r="D50" s="430"/>
      <c r="F50" s="1"/>
      <c r="G50" s="42"/>
      <c r="I50" s="430"/>
    </row>
    <row r="51" spans="1:6" ht="17.25" customHeight="1">
      <c r="A51" s="1"/>
      <c r="F51" s="1"/>
    </row>
    <row r="52" spans="1:6" ht="17.25" customHeight="1">
      <c r="A52" s="294"/>
      <c r="F52" s="294"/>
    </row>
    <row r="53" spans="2:9" ht="17.25" customHeight="1">
      <c r="B53" s="42"/>
      <c r="D53" s="430"/>
      <c r="G53" s="42"/>
      <c r="I53" s="430"/>
    </row>
  </sheetData>
  <mergeCells count="4">
    <mergeCell ref="A4:E4"/>
    <mergeCell ref="F4:J4"/>
    <mergeCell ref="A5:E5"/>
    <mergeCell ref="F5:J5"/>
  </mergeCells>
  <printOptions horizontalCentered="1"/>
  <pageMargins left="0.9448818897637796" right="0.35433070866141736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H1">
      <selection activeCell="A59" sqref="A59"/>
    </sheetView>
  </sheetViews>
  <sheetFormatPr defaultColWidth="9.140625" defaultRowHeight="12.75"/>
  <cols>
    <col min="1" max="1" width="32.7109375" style="0" hidden="1" customWidth="1"/>
    <col min="2" max="2" width="0" style="0" hidden="1" customWidth="1"/>
    <col min="3" max="3" width="10.8515625" style="0" hidden="1" customWidth="1"/>
    <col min="4" max="4" width="10.00390625" style="0" hidden="1" customWidth="1"/>
    <col min="5" max="6" width="0" style="0" hidden="1" customWidth="1"/>
    <col min="7" max="7" width="0" style="431" hidden="1" customWidth="1"/>
    <col min="8" max="8" width="32.7109375" style="0" customWidth="1"/>
    <col min="10" max="10" width="10.57421875" style="0" customWidth="1"/>
    <col min="11" max="11" width="10.00390625" style="0" customWidth="1"/>
    <col min="12" max="12" width="10.7109375" style="0" customWidth="1"/>
  </cols>
  <sheetData>
    <row r="1" ht="12.75">
      <c r="M1" s="38" t="s">
        <v>358</v>
      </c>
    </row>
    <row r="2" spans="2:13" ht="12.75">
      <c r="B2" t="s">
        <v>3</v>
      </c>
      <c r="H2" s="883" t="s">
        <v>3</v>
      </c>
      <c r="I2" s="883"/>
      <c r="J2" s="883"/>
      <c r="K2" s="883"/>
      <c r="L2" s="883"/>
      <c r="M2" s="883"/>
    </row>
    <row r="4" spans="1:13" ht="12.75">
      <c r="A4" s="883" t="s">
        <v>359</v>
      </c>
      <c r="B4" s="883"/>
      <c r="C4" s="883"/>
      <c r="D4" s="883"/>
      <c r="E4" s="883"/>
      <c r="H4" s="884" t="s">
        <v>359</v>
      </c>
      <c r="I4" s="884"/>
      <c r="J4" s="884"/>
      <c r="K4" s="884"/>
      <c r="L4" s="884"/>
      <c r="M4" s="884"/>
    </row>
    <row r="5" spans="2:13" ht="12.75">
      <c r="B5" s="432" t="s">
        <v>865</v>
      </c>
      <c r="H5" s="865" t="s">
        <v>865</v>
      </c>
      <c r="I5" s="865"/>
      <c r="J5" s="865"/>
      <c r="K5" s="865"/>
      <c r="L5" s="865"/>
      <c r="M5" s="865"/>
    </row>
    <row r="6" ht="12.75">
      <c r="M6" s="38" t="s">
        <v>887</v>
      </c>
    </row>
    <row r="7" spans="1:13" ht="56.25">
      <c r="A7" s="433" t="s">
        <v>791</v>
      </c>
      <c r="B7" s="434" t="s">
        <v>360</v>
      </c>
      <c r="C7" s="435" t="s">
        <v>42</v>
      </c>
      <c r="D7" s="436" t="s">
        <v>337</v>
      </c>
      <c r="E7" s="435" t="s">
        <v>338</v>
      </c>
      <c r="F7" s="435" t="s">
        <v>850</v>
      </c>
      <c r="H7" s="437" t="s">
        <v>791</v>
      </c>
      <c r="I7" s="438" t="s">
        <v>360</v>
      </c>
      <c r="J7" s="435" t="s">
        <v>42</v>
      </c>
      <c r="K7" s="436" t="s">
        <v>337</v>
      </c>
      <c r="L7" s="435" t="s">
        <v>361</v>
      </c>
      <c r="M7" s="435" t="s">
        <v>850</v>
      </c>
    </row>
    <row r="8" spans="1:13" ht="12.75">
      <c r="A8" s="433">
        <v>1</v>
      </c>
      <c r="B8" s="433">
        <v>2</v>
      </c>
      <c r="D8" s="433">
        <v>3</v>
      </c>
      <c r="E8" s="433">
        <v>4</v>
      </c>
      <c r="F8" s="433">
        <v>5</v>
      </c>
      <c r="H8" s="439">
        <v>1</v>
      </c>
      <c r="I8" s="439">
        <v>2</v>
      </c>
      <c r="J8" s="439">
        <v>3</v>
      </c>
      <c r="K8" s="439">
        <v>4</v>
      </c>
      <c r="L8" s="439">
        <v>5</v>
      </c>
      <c r="M8" s="91">
        <v>6</v>
      </c>
    </row>
    <row r="9" spans="1:13" ht="19.5" customHeight="1">
      <c r="A9" s="440" t="s">
        <v>58</v>
      </c>
      <c r="B9" s="432"/>
      <c r="C9" s="431">
        <f>SUM(C10:C23)</f>
        <v>5094025</v>
      </c>
      <c r="D9" s="431">
        <f>SUM(D10:D23)</f>
        <v>2458359</v>
      </c>
      <c r="E9" s="441">
        <f aca="true" t="shared" si="0" ref="E9:E17">D9/C9*100</f>
        <v>48.25965714734419</v>
      </c>
      <c r="F9" s="431">
        <f>SUM(F10:F23)</f>
        <v>456668</v>
      </c>
      <c r="H9" s="442" t="s">
        <v>58</v>
      </c>
      <c r="I9" s="443"/>
      <c r="J9" s="444">
        <f>SUM(J10:J23)</f>
        <v>5094</v>
      </c>
      <c r="K9" s="444">
        <f>SUM(K10:K23)</f>
        <v>2458</v>
      </c>
      <c r="L9" s="445">
        <f aca="true" t="shared" si="1" ref="L9:L17">K9/J9*100</f>
        <v>48.25284648606203</v>
      </c>
      <c r="M9" s="446">
        <f>SUM(M10:M23)</f>
        <v>456</v>
      </c>
    </row>
    <row r="10" spans="1:13" ht="19.5" customHeight="1">
      <c r="A10" s="432" t="s">
        <v>181</v>
      </c>
      <c r="B10" s="447" t="s">
        <v>362</v>
      </c>
      <c r="C10" s="431">
        <v>789894</v>
      </c>
      <c r="D10" s="431">
        <v>258229</v>
      </c>
      <c r="E10" s="441">
        <f t="shared" si="0"/>
        <v>32.69160165794398</v>
      </c>
      <c r="F10" s="431">
        <f>D10-'[15]jūnijs'!D10</f>
        <v>67718</v>
      </c>
      <c r="H10" s="443" t="s">
        <v>181</v>
      </c>
      <c r="I10" s="448" t="s">
        <v>362</v>
      </c>
      <c r="J10" s="449">
        <f>ROUND(C10/1000,)</f>
        <v>790</v>
      </c>
      <c r="K10" s="449">
        <f>ROUND(D10/1000,)</f>
        <v>258</v>
      </c>
      <c r="L10" s="450">
        <f t="shared" si="1"/>
        <v>32.65822784810127</v>
      </c>
      <c r="M10" s="443">
        <f>ROUND(F10/1000,)-1</f>
        <v>67</v>
      </c>
    </row>
    <row r="11" spans="1:13" ht="19.5" customHeight="1">
      <c r="A11" s="432" t="s">
        <v>182</v>
      </c>
      <c r="B11" s="447" t="s">
        <v>363</v>
      </c>
      <c r="C11" s="431">
        <v>38508</v>
      </c>
      <c r="D11" s="431">
        <v>19935</v>
      </c>
      <c r="E11" s="441">
        <f t="shared" si="0"/>
        <v>51.7684636958554</v>
      </c>
      <c r="F11" s="431">
        <f>D11-'[15]jūnijs'!D11</f>
        <v>1472</v>
      </c>
      <c r="H11" s="443" t="s">
        <v>182</v>
      </c>
      <c r="I11" s="448" t="s">
        <v>363</v>
      </c>
      <c r="J11" s="449">
        <f>ROUND(C11/1000,)-1</f>
        <v>38</v>
      </c>
      <c r="K11" s="449">
        <f aca="true" t="shared" si="2" ref="K11:K19">ROUND(D11/1000,)</f>
        <v>20</v>
      </c>
      <c r="L11" s="450">
        <f t="shared" si="1"/>
        <v>52.63157894736842</v>
      </c>
      <c r="M11" s="443">
        <f>ROUND(F11/1000,)+1</f>
        <v>2</v>
      </c>
    </row>
    <row r="12" spans="1:13" ht="26.25" customHeight="1">
      <c r="A12" s="451" t="s">
        <v>183</v>
      </c>
      <c r="B12" s="433" t="s">
        <v>364</v>
      </c>
      <c r="C12" s="431">
        <v>348235</v>
      </c>
      <c r="D12" s="431">
        <v>144645</v>
      </c>
      <c r="E12" s="441">
        <f t="shared" si="0"/>
        <v>41.53660602753887</v>
      </c>
      <c r="F12" s="431">
        <f>D12-'[15]jūnijs'!D12</f>
        <v>26339</v>
      </c>
      <c r="H12" s="452" t="s">
        <v>183</v>
      </c>
      <c r="I12" s="439" t="s">
        <v>364</v>
      </c>
      <c r="J12" s="449">
        <f>ROUND(C12/1000,)</f>
        <v>348</v>
      </c>
      <c r="K12" s="449">
        <f t="shared" si="2"/>
        <v>145</v>
      </c>
      <c r="L12" s="450">
        <f t="shared" si="1"/>
        <v>41.66666666666667</v>
      </c>
      <c r="M12" s="443">
        <f aca="true" t="shared" si="3" ref="M12:M17">ROUND(F12/1000,)</f>
        <v>26</v>
      </c>
    </row>
    <row r="13" spans="1:13" ht="19.5" customHeight="1">
      <c r="A13" s="432" t="s">
        <v>184</v>
      </c>
      <c r="B13" s="433" t="s">
        <v>365</v>
      </c>
      <c r="C13" s="431">
        <v>2142733</v>
      </c>
      <c r="D13" s="431">
        <v>844164</v>
      </c>
      <c r="E13" s="441">
        <f t="shared" si="0"/>
        <v>39.39660237649768</v>
      </c>
      <c r="F13" s="431">
        <f>D13-'[15]jūnijs'!D13</f>
        <v>65017</v>
      </c>
      <c r="H13" s="443" t="s">
        <v>184</v>
      </c>
      <c r="I13" s="439" t="s">
        <v>365</v>
      </c>
      <c r="J13" s="449">
        <f>ROUND(C13/1000,)</f>
        <v>2143</v>
      </c>
      <c r="K13" s="449">
        <f t="shared" si="2"/>
        <v>844</v>
      </c>
      <c r="L13" s="450">
        <f t="shared" si="1"/>
        <v>39.38404106392907</v>
      </c>
      <c r="M13" s="443">
        <f t="shared" si="3"/>
        <v>65</v>
      </c>
    </row>
    <row r="14" spans="1:13" ht="19.5" customHeight="1">
      <c r="A14" s="432" t="s">
        <v>185</v>
      </c>
      <c r="B14" s="433" t="s">
        <v>366</v>
      </c>
      <c r="C14" s="431">
        <v>634195</v>
      </c>
      <c r="D14" s="431">
        <f>331540+146213</f>
        <v>477753</v>
      </c>
      <c r="E14" s="441">
        <f t="shared" si="0"/>
        <v>75.33219277982323</v>
      </c>
      <c r="F14" s="431">
        <f>D14-'[15]jūnijs'!D14</f>
        <v>214527</v>
      </c>
      <c r="H14" s="443" t="s">
        <v>185</v>
      </c>
      <c r="I14" s="439" t="s">
        <v>366</v>
      </c>
      <c r="J14" s="449">
        <f>ROUND(C14/1000,)</f>
        <v>634</v>
      </c>
      <c r="K14" s="449">
        <f t="shared" si="2"/>
        <v>478</v>
      </c>
      <c r="L14" s="450">
        <f t="shared" si="1"/>
        <v>75.39432176656152</v>
      </c>
      <c r="M14" s="443">
        <f t="shared" si="3"/>
        <v>215</v>
      </c>
    </row>
    <row r="15" spans="1:13" ht="25.5" customHeight="1">
      <c r="A15" s="451" t="s">
        <v>186</v>
      </c>
      <c r="B15" s="433" t="s">
        <v>367</v>
      </c>
      <c r="C15" s="431">
        <v>31553</v>
      </c>
      <c r="D15" s="431">
        <v>15415</v>
      </c>
      <c r="E15" s="441">
        <f t="shared" si="0"/>
        <v>48.854308623585716</v>
      </c>
      <c r="F15" s="431">
        <f>D15-'[15]jūnijs'!D15</f>
        <v>2260</v>
      </c>
      <c r="H15" s="452" t="s">
        <v>186</v>
      </c>
      <c r="I15" s="439" t="s">
        <v>367</v>
      </c>
      <c r="J15" s="449">
        <f>ROUND(C15/1000,)-1</f>
        <v>31</v>
      </c>
      <c r="K15" s="449">
        <f t="shared" si="2"/>
        <v>15</v>
      </c>
      <c r="L15" s="450">
        <f t="shared" si="1"/>
        <v>48.38709677419355</v>
      </c>
      <c r="M15" s="443">
        <f t="shared" si="3"/>
        <v>2</v>
      </c>
    </row>
    <row r="16" spans="1:13" ht="24.75" customHeight="1">
      <c r="A16" s="451" t="s">
        <v>187</v>
      </c>
      <c r="B16" s="433" t="s">
        <v>368</v>
      </c>
      <c r="C16" s="431">
        <v>144816</v>
      </c>
      <c r="D16" s="431">
        <v>50996</v>
      </c>
      <c r="E16" s="441">
        <f t="shared" si="0"/>
        <v>35.214340956800356</v>
      </c>
      <c r="F16" s="431">
        <f>D16-'[15]jūnijs'!D16</f>
        <v>33203</v>
      </c>
      <c r="H16" s="452" t="s">
        <v>187</v>
      </c>
      <c r="I16" s="439" t="s">
        <v>368</v>
      </c>
      <c r="J16" s="449">
        <f>ROUND(C16/1000,)</f>
        <v>145</v>
      </c>
      <c r="K16" s="449">
        <f t="shared" si="2"/>
        <v>51</v>
      </c>
      <c r="L16" s="450">
        <f t="shared" si="1"/>
        <v>35.172413793103445</v>
      </c>
      <c r="M16" s="443">
        <f t="shared" si="3"/>
        <v>33</v>
      </c>
    </row>
    <row r="17" spans="1:13" ht="19.5" customHeight="1">
      <c r="A17" s="432" t="s">
        <v>369</v>
      </c>
      <c r="B17" s="433" t="s">
        <v>370</v>
      </c>
      <c r="C17" s="431">
        <v>862959</v>
      </c>
      <c r="D17" s="431">
        <v>526633</v>
      </c>
      <c r="E17" s="441">
        <f t="shared" si="0"/>
        <v>61.02642188099318</v>
      </c>
      <c r="F17" s="431">
        <f>D17-'[15]jūnijs'!D17</f>
        <v>77271</v>
      </c>
      <c r="H17" s="443" t="s">
        <v>369</v>
      </c>
      <c r="I17" s="439" t="s">
        <v>370</v>
      </c>
      <c r="J17" s="449">
        <f>ROUND(C17/1000,)</f>
        <v>863</v>
      </c>
      <c r="K17" s="449">
        <f t="shared" si="2"/>
        <v>527</v>
      </c>
      <c r="L17" s="450">
        <f t="shared" si="1"/>
        <v>61.06604866743916</v>
      </c>
      <c r="M17" s="443">
        <f t="shared" si="3"/>
        <v>77</v>
      </c>
    </row>
    <row r="18" spans="1:13" ht="19.5" customHeight="1">
      <c r="A18" s="432" t="s">
        <v>189</v>
      </c>
      <c r="B18" s="433" t="s">
        <v>371</v>
      </c>
      <c r="C18" s="431"/>
      <c r="D18" s="431"/>
      <c r="E18" s="441"/>
      <c r="F18" s="431">
        <f>D18-'[15]jūnijs'!D18</f>
        <v>0</v>
      </c>
      <c r="H18" s="443" t="s">
        <v>189</v>
      </c>
      <c r="I18" s="439" t="s">
        <v>371</v>
      </c>
      <c r="J18" s="449"/>
      <c r="K18" s="449">
        <f t="shared" si="2"/>
        <v>0</v>
      </c>
      <c r="L18" s="450"/>
      <c r="M18" s="443"/>
    </row>
    <row r="19" spans="1:13" ht="27.75" customHeight="1">
      <c r="A19" s="451" t="s">
        <v>372</v>
      </c>
      <c r="B19" s="433" t="s">
        <v>373</v>
      </c>
      <c r="C19" s="431">
        <v>93568</v>
      </c>
      <c r="D19" s="431">
        <v>65413</v>
      </c>
      <c r="E19" s="441">
        <f>D19/C19*100</f>
        <v>69.90958447332422</v>
      </c>
      <c r="F19" s="431">
        <f>D19-'[15]jūnijs'!D19</f>
        <v>19190</v>
      </c>
      <c r="H19" s="452" t="s">
        <v>372</v>
      </c>
      <c r="I19" s="439" t="s">
        <v>373</v>
      </c>
      <c r="J19" s="449">
        <f>ROUND(C19/1000,)</f>
        <v>94</v>
      </c>
      <c r="K19" s="449">
        <f t="shared" si="2"/>
        <v>65</v>
      </c>
      <c r="L19" s="450">
        <f>K19/J19*100</f>
        <v>69.14893617021278</v>
      </c>
      <c r="M19" s="443">
        <f>ROUND(F19/1000,)</f>
        <v>19</v>
      </c>
    </row>
    <row r="20" spans="1:13" ht="22.5" customHeight="1">
      <c r="A20" s="451" t="s">
        <v>191</v>
      </c>
      <c r="B20" s="433" t="s">
        <v>374</v>
      </c>
      <c r="C20" s="431"/>
      <c r="D20" s="431"/>
      <c r="E20" s="441"/>
      <c r="F20" s="431">
        <f>D20-'[15]jūnijs'!D20</f>
        <v>0</v>
      </c>
      <c r="H20" s="452" t="s">
        <v>191</v>
      </c>
      <c r="I20" s="439" t="s">
        <v>374</v>
      </c>
      <c r="J20" s="449"/>
      <c r="K20" s="449"/>
      <c r="L20" s="450"/>
      <c r="M20" s="443"/>
    </row>
    <row r="21" spans="1:13" ht="19.5" customHeight="1">
      <c r="A21" s="432" t="s">
        <v>192</v>
      </c>
      <c r="B21" s="433" t="s">
        <v>375</v>
      </c>
      <c r="C21" s="431"/>
      <c r="D21" s="431"/>
      <c r="E21" s="441"/>
      <c r="F21" s="431">
        <f>D21-'[15]jūnijs'!D21</f>
        <v>0</v>
      </c>
      <c r="H21" s="443" t="s">
        <v>192</v>
      </c>
      <c r="I21" s="439" t="s">
        <v>375</v>
      </c>
      <c r="J21" s="449"/>
      <c r="K21" s="449"/>
      <c r="L21" s="450"/>
      <c r="M21" s="443"/>
    </row>
    <row r="22" spans="1:13" ht="19.5" customHeight="1">
      <c r="A22" s="432" t="s">
        <v>193</v>
      </c>
      <c r="B22" s="433" t="s">
        <v>376</v>
      </c>
      <c r="C22" s="431">
        <v>7564</v>
      </c>
      <c r="D22" s="431">
        <f>1581</f>
        <v>1581</v>
      </c>
      <c r="E22" s="441">
        <f>D22/C22*100</f>
        <v>20.901639344262296</v>
      </c>
      <c r="F22" s="431">
        <f>D22-'[15]jūnijs'!D22</f>
        <v>-50329</v>
      </c>
      <c r="H22" s="443" t="s">
        <v>193</v>
      </c>
      <c r="I22" s="439" t="s">
        <v>376</v>
      </c>
      <c r="J22" s="449">
        <f>ROUND(C22/1000,)</f>
        <v>8</v>
      </c>
      <c r="K22" s="449">
        <f>ROUND(D22/1000,)-1</f>
        <v>1</v>
      </c>
      <c r="L22" s="450"/>
      <c r="M22" s="443">
        <f>ROUND(F22/1000,)</f>
        <v>-50</v>
      </c>
    </row>
    <row r="23" spans="1:13" ht="27" customHeight="1">
      <c r="A23" s="451" t="s">
        <v>377</v>
      </c>
      <c r="B23" s="433" t="s">
        <v>378</v>
      </c>
      <c r="C23" s="431"/>
      <c r="D23" s="431">
        <v>53595</v>
      </c>
      <c r="E23" s="441"/>
      <c r="F23" s="431">
        <f>D23-'[15]jūnijs'!D23</f>
        <v>0</v>
      </c>
      <c r="H23" s="452" t="s">
        <v>888</v>
      </c>
      <c r="I23" s="439" t="s">
        <v>378</v>
      </c>
      <c r="J23" s="449"/>
      <c r="K23" s="449">
        <f>ROUND(D23/1000,)</f>
        <v>54</v>
      </c>
      <c r="L23" s="450"/>
      <c r="M23" s="443">
        <f>ROUND(F23/1000,)</f>
        <v>0</v>
      </c>
    </row>
    <row r="24" spans="1:13" ht="12.75">
      <c r="A24" s="432"/>
      <c r="B24" s="432"/>
      <c r="C24" s="431"/>
      <c r="D24" s="431"/>
      <c r="F24" s="431"/>
      <c r="H24" s="453"/>
      <c r="I24" s="432"/>
      <c r="J24" s="431"/>
      <c r="K24" s="431"/>
      <c r="M24" s="432"/>
    </row>
    <row r="25" spans="8:12" ht="12.75">
      <c r="H25" s="49" t="s">
        <v>889</v>
      </c>
      <c r="L25" s="1"/>
    </row>
    <row r="26" ht="12.75">
      <c r="L26" s="39"/>
    </row>
    <row r="27" spans="8:12" ht="12.75">
      <c r="H27" s="49"/>
      <c r="I27" s="425"/>
      <c r="J27" s="427"/>
      <c r="K27" s="348"/>
      <c r="L27" s="427"/>
    </row>
    <row r="28" spans="8:12" ht="12.75">
      <c r="H28" s="49"/>
      <c r="I28" s="425"/>
      <c r="J28" s="427"/>
      <c r="K28" s="348"/>
      <c r="L28" s="427"/>
    </row>
    <row r="29" spans="8:13" ht="12.75">
      <c r="H29" s="41" t="s">
        <v>884</v>
      </c>
      <c r="I29" s="39"/>
      <c r="J29" s="39"/>
      <c r="K29" s="39" t="s">
        <v>862</v>
      </c>
      <c r="M29" s="49"/>
    </row>
    <row r="30" spans="8:12" ht="12.75">
      <c r="H30" s="256"/>
      <c r="I30" s="256"/>
      <c r="J30" s="42"/>
      <c r="K30" s="39"/>
      <c r="L30" s="42"/>
    </row>
    <row r="31" spans="8:12" ht="12.75">
      <c r="H31" s="84"/>
      <c r="I31" s="425"/>
      <c r="J31" s="427"/>
      <c r="K31" s="348"/>
      <c r="L31" s="42"/>
    </row>
    <row r="32" spans="8:12" ht="12.75">
      <c r="H32" s="256"/>
      <c r="I32" s="429"/>
      <c r="J32" s="407"/>
      <c r="K32" s="430"/>
      <c r="L32" s="407"/>
    </row>
    <row r="33" spans="8:12" ht="12.75">
      <c r="H33" s="256"/>
      <c r="I33" s="42"/>
      <c r="J33" s="42"/>
      <c r="K33" s="430"/>
      <c r="L33" s="42"/>
    </row>
    <row r="34" spans="9:12" ht="12.75">
      <c r="I34" s="42"/>
      <c r="J34" s="42"/>
      <c r="K34" s="430"/>
      <c r="L34" s="42"/>
    </row>
    <row r="35" spans="9:12" ht="12.75">
      <c r="I35" s="42"/>
      <c r="J35" s="42"/>
      <c r="K35" s="430"/>
      <c r="L35" s="42"/>
    </row>
    <row r="43" ht="12.75">
      <c r="H43" s="294" t="s">
        <v>953</v>
      </c>
    </row>
    <row r="44" ht="12.75">
      <c r="H44" s="294" t="s">
        <v>847</v>
      </c>
    </row>
  </sheetData>
  <mergeCells count="4">
    <mergeCell ref="H2:M2"/>
    <mergeCell ref="A4:E4"/>
    <mergeCell ref="H4:M4"/>
    <mergeCell ref="H5:M5"/>
  </mergeCells>
  <printOptions horizontalCentered="1"/>
  <pageMargins left="0.9448818897637796" right="0.35433070866141736" top="0.984251968503937" bottom="0.984251968503937" header="0.5118110236220472" footer="0.5118110236220472"/>
  <pageSetup firstPageNumber="27" useFirstPageNumber="1" horizontalDpi="300" verticalDpi="300" orientation="portrait" paperSize="9" scale="96" r:id="rId1"/>
  <headerFooter alignWithMargins="0">
    <oddFooter>&amp;R&amp;9&amp;P</oddFooter>
  </headerFooter>
  <colBreaks count="2" manualBreakCount="2">
    <brk id="6" max="34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67"/>
  <sheetViews>
    <sheetView workbookViewId="0" topLeftCell="H1">
      <selection activeCell="A59" sqref="A59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4" width="9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3.57421875" style="49" customWidth="1"/>
    <col min="9" max="9" width="10.851562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39</v>
      </c>
      <c r="B1" s="51"/>
      <c r="C1" s="174"/>
      <c r="D1" s="51"/>
      <c r="E1" s="51"/>
      <c r="F1" s="174"/>
      <c r="G1" s="38" t="s">
        <v>379</v>
      </c>
      <c r="H1" s="51" t="s">
        <v>39</v>
      </c>
      <c r="I1" s="51"/>
      <c r="J1" s="174"/>
      <c r="K1" s="51"/>
      <c r="L1" s="51"/>
      <c r="M1" s="174"/>
      <c r="N1" s="1" t="s">
        <v>380</v>
      </c>
    </row>
    <row r="2" spans="1:14" ht="12.75">
      <c r="A2" s="51"/>
      <c r="B2" s="51"/>
      <c r="C2" s="174"/>
      <c r="D2" s="51"/>
      <c r="E2" s="51"/>
      <c r="F2" s="174"/>
      <c r="H2" s="51"/>
      <c r="I2" s="51"/>
      <c r="J2" s="174"/>
      <c r="K2" s="51"/>
      <c r="L2" s="51"/>
      <c r="M2" s="174"/>
      <c r="N2" s="1"/>
    </row>
    <row r="3" spans="1:14" ht="18.75" customHeight="1">
      <c r="A3" s="454" t="s">
        <v>381</v>
      </c>
      <c r="B3" s="174"/>
      <c r="C3" s="174"/>
      <c r="D3" s="174"/>
      <c r="E3" s="174"/>
      <c r="F3" s="174"/>
      <c r="H3" s="454" t="s">
        <v>381</v>
      </c>
      <c r="I3" s="174"/>
      <c r="J3" s="174"/>
      <c r="K3" s="174"/>
      <c r="L3" s="174"/>
      <c r="M3" s="174"/>
      <c r="N3" s="1"/>
    </row>
    <row r="4" spans="1:14" ht="15" customHeight="1">
      <c r="A4" s="454" t="s">
        <v>890</v>
      </c>
      <c r="B4" s="174"/>
      <c r="C4" s="174"/>
      <c r="D4" s="174"/>
      <c r="E4" s="174"/>
      <c r="F4" s="174"/>
      <c r="H4" s="455" t="s">
        <v>865</v>
      </c>
      <c r="I4" s="174"/>
      <c r="J4" s="174"/>
      <c r="K4" s="174"/>
      <c r="L4" s="174"/>
      <c r="M4" s="174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382</v>
      </c>
      <c r="H5" s="1"/>
      <c r="I5" s="1"/>
      <c r="J5" s="1"/>
      <c r="K5" s="5"/>
      <c r="L5" s="39"/>
      <c r="M5" s="1"/>
      <c r="N5" s="2" t="s">
        <v>176</v>
      </c>
    </row>
    <row r="6" spans="1:14" ht="79.5" customHeight="1">
      <c r="A6" s="9" t="s">
        <v>791</v>
      </c>
      <c r="B6" s="9" t="s">
        <v>958</v>
      </c>
      <c r="C6" s="9" t="s">
        <v>42</v>
      </c>
      <c r="D6" s="9" t="s">
        <v>959</v>
      </c>
      <c r="E6" s="9" t="s">
        <v>43</v>
      </c>
      <c r="F6" s="9" t="s">
        <v>383</v>
      </c>
      <c r="G6" s="9" t="s">
        <v>384</v>
      </c>
      <c r="H6" s="9" t="s">
        <v>791</v>
      </c>
      <c r="I6" s="9" t="s">
        <v>958</v>
      </c>
      <c r="J6" s="9" t="s">
        <v>42</v>
      </c>
      <c r="K6" s="9" t="s">
        <v>959</v>
      </c>
      <c r="L6" s="9" t="s">
        <v>43</v>
      </c>
      <c r="M6" s="9" t="s">
        <v>44</v>
      </c>
      <c r="N6" s="9" t="s">
        <v>834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1">
        <v>7</v>
      </c>
    </row>
    <row r="8" spans="1:104" ht="38.25">
      <c r="A8" s="456" t="s">
        <v>385</v>
      </c>
      <c r="B8" s="457">
        <f>B9+B12</f>
        <v>60252297</v>
      </c>
      <c r="C8" s="457">
        <f>C9+C12</f>
        <v>24680454</v>
      </c>
      <c r="D8" s="457">
        <f>D9+D12</f>
        <v>10722129</v>
      </c>
      <c r="E8" s="458">
        <f aca="true" t="shared" si="0" ref="E8:E39">IF(ISERROR(D8/B8)," ",(D8/B8))</f>
        <v>0.17795386290418105</v>
      </c>
      <c r="F8" s="458">
        <f aca="true" t="shared" si="1" ref="F8:F39">IF(ISERROR(D8/C8)," ",(D8/C8))</f>
        <v>0.4344380780029411</v>
      </c>
      <c r="G8" s="459">
        <f>D8-'[16]Junijs'!D8</f>
        <v>1442869</v>
      </c>
      <c r="H8" s="456" t="s">
        <v>385</v>
      </c>
      <c r="I8" s="457">
        <f>I9+I12</f>
        <v>60252</v>
      </c>
      <c r="J8" s="460">
        <f>J9+J12</f>
        <v>24680</v>
      </c>
      <c r="K8" s="460">
        <f>SUM(K15,K18,K23,K26,K32,K39,K46,K52,K59,K65,K72,K79,K86,K91,K98,K104)</f>
        <v>10722</v>
      </c>
      <c r="L8" s="461">
        <f aca="true" t="shared" si="2" ref="L8:L39">IF(ISERROR(ROUND(K8,0)/ROUND(I8,0))," ",(ROUND(K8,)/ROUND(I8,)))*100</f>
        <v>17.795259908384782</v>
      </c>
      <c r="M8" s="461">
        <f aca="true" t="shared" si="3" ref="M8:M43">IF(ISERROR(ROUND(K8,0)/ROUND(J8,0))," ",(ROUND(K8,)/ROUND(J8,)))*100</f>
        <v>43.44408427876824</v>
      </c>
      <c r="N8" s="460">
        <f>K8-'[16]Junijs'!K8</f>
        <v>1443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63" customFormat="1" ht="15" customHeight="1">
      <c r="A9" s="462" t="s">
        <v>50</v>
      </c>
      <c r="B9" s="457">
        <f>SUM(B10:B11)</f>
        <v>51309574</v>
      </c>
      <c r="C9" s="457">
        <f>SUM(C10:C11)</f>
        <v>21022411</v>
      </c>
      <c r="D9" s="457">
        <f>SUM(D10:D11)</f>
        <v>8851917</v>
      </c>
      <c r="E9" s="458">
        <f t="shared" si="0"/>
        <v>0.1725197913356287</v>
      </c>
      <c r="F9" s="458">
        <f t="shared" si="1"/>
        <v>0.421070494721086</v>
      </c>
      <c r="G9" s="459">
        <f>D9-'[16]Junijs'!D9</f>
        <v>1213138</v>
      </c>
      <c r="H9" s="462" t="s">
        <v>50</v>
      </c>
      <c r="I9" s="457">
        <f>SUM(I10:I11)</f>
        <v>51309</v>
      </c>
      <c r="J9" s="457">
        <f>SUM(J10:J11)</f>
        <v>21022</v>
      </c>
      <c r="K9" s="457">
        <f>SUM(K10:K11)</f>
        <v>8852</v>
      </c>
      <c r="L9" s="461">
        <f t="shared" si="2"/>
        <v>17.252333898536317</v>
      </c>
      <c r="M9" s="461">
        <f t="shared" si="3"/>
        <v>42.108267529255066</v>
      </c>
      <c r="N9" s="457">
        <f>K9-'[16]Junijs'!K9</f>
        <v>1213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67" customFormat="1" ht="13.5" customHeight="1">
      <c r="A10" s="464" t="s">
        <v>386</v>
      </c>
      <c r="B10" s="11">
        <f>SUM(B20,B28,B34,B41,B48,B54,B61,B88,B67,B74,B81,B93,B100,B106)</f>
        <v>31455653</v>
      </c>
      <c r="C10" s="11">
        <f>SUM(C17,C20,C25,C28,C34,C41,C48,C54,C61,C88,C67,C74,C81,C93,C100,C106)</f>
        <v>11098092</v>
      </c>
      <c r="D10" s="11">
        <f>SUM(D17,D20,D25,D28,D34,D41,D48,D54,D61,D88,D67,D74,D81,D93,D100,D106)</f>
        <v>4365938</v>
      </c>
      <c r="E10" s="465">
        <f t="shared" si="0"/>
        <v>0.1387966099448007</v>
      </c>
      <c r="F10" s="465">
        <f t="shared" si="1"/>
        <v>0.39339536922202484</v>
      </c>
      <c r="G10" s="459">
        <f>D10-'[16]Junijs'!D10</f>
        <v>829053</v>
      </c>
      <c r="H10" s="464" t="s">
        <v>386</v>
      </c>
      <c r="I10" s="11">
        <f>SUM(I17,I20,I25,I28,I34,I41,I48,I54,I61,I67,I74,I81,I100,I106,I88,I93)</f>
        <v>31455</v>
      </c>
      <c r="J10" s="392">
        <f>SUM(J17,J20,J25,J28,J34,J41,J48,J54,J61,J88,J67,J74,J81,J100,J106)</f>
        <v>11098</v>
      </c>
      <c r="K10" s="392">
        <f>SUM(K17,K20,K25,K28,K34,K41,K48,K54,K61,K67,K74,K81,K88,K100,K106)</f>
        <v>4366</v>
      </c>
      <c r="L10" s="58">
        <f t="shared" si="2"/>
        <v>13.880146240661261</v>
      </c>
      <c r="M10" s="58">
        <f t="shared" si="3"/>
        <v>39.340421697603176</v>
      </c>
      <c r="N10" s="392">
        <f>K10-'[16]Junijs'!K10</f>
        <v>828</v>
      </c>
      <c r="O10" s="466"/>
      <c r="P10" s="466"/>
      <c r="Q10" s="466"/>
      <c r="R10" s="466"/>
      <c r="S10" s="466"/>
      <c r="T10" s="466"/>
      <c r="U10" s="466"/>
      <c r="V10" s="466"/>
      <c r="W10" s="466"/>
      <c r="X10" s="466"/>
      <c r="Y10" s="466"/>
      <c r="Z10" s="466"/>
      <c r="AA10" s="466"/>
      <c r="AB10" s="466"/>
      <c r="AC10" s="466"/>
      <c r="AD10" s="466"/>
      <c r="AE10" s="466"/>
      <c r="AF10" s="466"/>
      <c r="AG10" s="466"/>
      <c r="AH10" s="466"/>
      <c r="AI10" s="466"/>
      <c r="AJ10" s="466"/>
      <c r="AK10" s="466"/>
      <c r="AL10" s="466"/>
      <c r="AM10" s="466"/>
      <c r="AN10" s="466"/>
      <c r="AO10" s="466"/>
      <c r="AP10" s="466"/>
      <c r="AQ10" s="466"/>
      <c r="AR10" s="466"/>
      <c r="AS10" s="466"/>
      <c r="AT10" s="466"/>
      <c r="AU10" s="466"/>
      <c r="AV10" s="466"/>
      <c r="AW10" s="466"/>
      <c r="AX10" s="466"/>
      <c r="AY10" s="466"/>
      <c r="AZ10" s="466"/>
      <c r="BA10" s="466"/>
      <c r="BB10" s="466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  <c r="BO10" s="466"/>
      <c r="BP10" s="466"/>
      <c r="BQ10" s="466"/>
      <c r="BR10" s="466"/>
      <c r="BS10" s="466"/>
      <c r="BT10" s="466"/>
      <c r="BU10" s="466"/>
      <c r="BV10" s="466"/>
      <c r="BW10" s="466"/>
      <c r="BX10" s="466"/>
      <c r="BY10" s="466"/>
      <c r="BZ10" s="466"/>
      <c r="CA10" s="466"/>
      <c r="CB10" s="466"/>
      <c r="CC10" s="466"/>
      <c r="CD10" s="466"/>
      <c r="CE10" s="466"/>
      <c r="CF10" s="466"/>
      <c r="CG10" s="466"/>
      <c r="CH10" s="466"/>
      <c r="CI10" s="466"/>
      <c r="CJ10" s="466"/>
      <c r="CK10" s="466"/>
      <c r="CL10" s="466"/>
      <c r="CM10" s="466"/>
      <c r="CN10" s="466"/>
      <c r="CO10" s="466"/>
      <c r="CP10" s="466"/>
      <c r="CQ10" s="466"/>
      <c r="CR10" s="466"/>
      <c r="CS10" s="466"/>
      <c r="CT10" s="466"/>
      <c r="CU10" s="466"/>
      <c r="CV10" s="466"/>
      <c r="CW10" s="466"/>
      <c r="CX10" s="466"/>
      <c r="CY10" s="466"/>
      <c r="CZ10" s="466"/>
    </row>
    <row r="11" spans="1:104" s="467" customFormat="1" ht="14.25" customHeight="1">
      <c r="A11" s="464" t="s">
        <v>387</v>
      </c>
      <c r="B11" s="11">
        <f>SUM(B29,B35,B42,B49,B55,B62,B68,B75,B82,B94,B101,)</f>
        <v>19853921</v>
      </c>
      <c r="C11" s="11">
        <f>SUM(C29,C35,C42,C49,C55,C62,C68,C75,C82,C94,C101,)</f>
        <v>9924319</v>
      </c>
      <c r="D11" s="11">
        <f>SUM(D29,D35,D42,D49,D55,D62,D68,D75,D82,D94,D101,)</f>
        <v>4485979</v>
      </c>
      <c r="E11" s="465">
        <f t="shared" si="0"/>
        <v>0.22594927218658722</v>
      </c>
      <c r="F11" s="465">
        <f t="shared" si="1"/>
        <v>0.4520188236593362</v>
      </c>
      <c r="G11" s="459">
        <f>D11-'[16]Junijs'!D11</f>
        <v>384085</v>
      </c>
      <c r="H11" s="464" t="s">
        <v>387</v>
      </c>
      <c r="I11" s="11">
        <f>SUM(I29,I35,I42,I49,I55,I62,I68,I75,I82,I94,I101)</f>
        <v>19854</v>
      </c>
      <c r="J11" s="392">
        <f>SUM(J29,J35,J42,J55,J49,J62,J68,J75,J82,)</f>
        <v>9924</v>
      </c>
      <c r="K11" s="392">
        <f>SUM(K29,K35,K42,K49,K55,K62,K68,K75,K82,)</f>
        <v>4486</v>
      </c>
      <c r="L11" s="58">
        <f t="shared" si="2"/>
        <v>22.594943084516974</v>
      </c>
      <c r="M11" s="58">
        <f t="shared" si="3"/>
        <v>45.20354695687223</v>
      </c>
      <c r="N11" s="392">
        <f>K11-'[16]Junijs'!K11</f>
        <v>385</v>
      </c>
      <c r="O11" s="466"/>
      <c r="P11" s="466"/>
      <c r="Q11" s="466"/>
      <c r="R11" s="466"/>
      <c r="S11" s="466"/>
      <c r="T11" s="466"/>
      <c r="U11" s="466"/>
      <c r="V11" s="466"/>
      <c r="W11" s="466"/>
      <c r="X11" s="466"/>
      <c r="Y11" s="466"/>
      <c r="Z11" s="466"/>
      <c r="AA11" s="466"/>
      <c r="AB11" s="466"/>
      <c r="AC11" s="466"/>
      <c r="AD11" s="466"/>
      <c r="AE11" s="466"/>
      <c r="AF11" s="466"/>
      <c r="AG11" s="466"/>
      <c r="AH11" s="466"/>
      <c r="AI11" s="466"/>
      <c r="AJ11" s="466"/>
      <c r="AK11" s="466"/>
      <c r="AL11" s="466"/>
      <c r="AM11" s="466"/>
      <c r="AN11" s="466"/>
      <c r="AO11" s="466"/>
      <c r="AP11" s="466"/>
      <c r="AQ11" s="466"/>
      <c r="AR11" s="466"/>
      <c r="AS11" s="466"/>
      <c r="AT11" s="466"/>
      <c r="AU11" s="466"/>
      <c r="AV11" s="466"/>
      <c r="AW11" s="466"/>
      <c r="AX11" s="466"/>
      <c r="AY11" s="466"/>
      <c r="AZ11" s="466"/>
      <c r="BA11" s="466"/>
      <c r="BB11" s="466"/>
      <c r="BC11" s="466"/>
      <c r="BD11" s="466"/>
      <c r="BE11" s="466"/>
      <c r="BF11" s="466"/>
      <c r="BG11" s="466"/>
      <c r="BH11" s="466"/>
      <c r="BI11" s="466"/>
      <c r="BJ11" s="466"/>
      <c r="BK11" s="466"/>
      <c r="BL11" s="466"/>
      <c r="BM11" s="466"/>
      <c r="BN11" s="466"/>
      <c r="BO11" s="466"/>
      <c r="BP11" s="466"/>
      <c r="BQ11" s="466"/>
      <c r="BR11" s="466"/>
      <c r="BS11" s="466"/>
      <c r="BT11" s="466"/>
      <c r="BU11" s="466"/>
      <c r="BV11" s="466"/>
      <c r="BW11" s="466"/>
      <c r="BX11" s="466"/>
      <c r="BY11" s="466"/>
      <c r="BZ11" s="466"/>
      <c r="CA11" s="466"/>
      <c r="CB11" s="466"/>
      <c r="CC11" s="466"/>
      <c r="CD11" s="466"/>
      <c r="CE11" s="466"/>
      <c r="CF11" s="466"/>
      <c r="CG11" s="466"/>
      <c r="CH11" s="466"/>
      <c r="CI11" s="466"/>
      <c r="CJ11" s="466"/>
      <c r="CK11" s="466"/>
      <c r="CL11" s="466"/>
      <c r="CM11" s="466"/>
      <c r="CN11" s="466"/>
      <c r="CO11" s="466"/>
      <c r="CP11" s="466"/>
      <c r="CQ11" s="466"/>
      <c r="CR11" s="466"/>
      <c r="CS11" s="466"/>
      <c r="CT11" s="466"/>
      <c r="CU11" s="466"/>
      <c r="CV11" s="466"/>
      <c r="CW11" s="466"/>
      <c r="CX11" s="466"/>
      <c r="CY11" s="466"/>
      <c r="CZ11" s="466"/>
    </row>
    <row r="12" spans="1:104" s="60" customFormat="1" ht="14.25" customHeight="1">
      <c r="A12" s="462" t="s">
        <v>388</v>
      </c>
      <c r="B12" s="457">
        <f>SUM(B13:B14)</f>
        <v>8942723</v>
      </c>
      <c r="C12" s="457">
        <f>SUM(C13:C14)</f>
        <v>3658043</v>
      </c>
      <c r="D12" s="457">
        <f>SUM(D13:D14)</f>
        <v>1870212</v>
      </c>
      <c r="E12" s="458">
        <f t="shared" si="0"/>
        <v>0.20913227436430715</v>
      </c>
      <c r="F12" s="465">
        <f t="shared" si="1"/>
        <v>0.5112602558253142</v>
      </c>
      <c r="G12" s="459">
        <f>D12-'[16]Junijs'!D12</f>
        <v>229731</v>
      </c>
      <c r="H12" s="462" t="s">
        <v>388</v>
      </c>
      <c r="I12" s="457">
        <f>SUM(I13:I14)</f>
        <v>8943</v>
      </c>
      <c r="J12" s="460">
        <f>SUM(J13:J14)</f>
        <v>3658</v>
      </c>
      <c r="K12" s="460">
        <f>SUM(K13:K14)</f>
        <v>1870</v>
      </c>
      <c r="L12" s="461">
        <f t="shared" si="2"/>
        <v>20.91020910209102</v>
      </c>
      <c r="M12" s="461">
        <f t="shared" si="3"/>
        <v>51.12083105522143</v>
      </c>
      <c r="N12" s="460">
        <f>K12-'[16]Junijs'!K12</f>
        <v>230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67" customFormat="1" ht="13.5" customHeight="1">
      <c r="A13" s="464" t="s">
        <v>386</v>
      </c>
      <c r="B13" s="11">
        <f>B22+B31+B37+B44+B51+B57+B70+B77+B90+B96+B103+B108</f>
        <v>3721447</v>
      </c>
      <c r="C13" s="11">
        <f>C22+C31+C37+C44+C51+C57+C70+C77+C84+C90+C96+C103+C108</f>
        <v>1785346</v>
      </c>
      <c r="D13" s="11">
        <f>D22+D31+D37+D44+D51+D57+D70+D77+D84+D90+D96+D103+D108</f>
        <v>1051028</v>
      </c>
      <c r="E13" s="465">
        <f t="shared" si="0"/>
        <v>0.2824245515252535</v>
      </c>
      <c r="F13" s="465">
        <f t="shared" si="1"/>
        <v>0.5886970928884373</v>
      </c>
      <c r="G13" s="459">
        <f>D13-'[16]Junijs'!D13</f>
        <v>73336</v>
      </c>
      <c r="H13" s="464" t="s">
        <v>386</v>
      </c>
      <c r="I13" s="11">
        <f>I22+I31+I37+I44+I51+I57+I70+I77+I84+I103+I90+I96+I108</f>
        <v>3721</v>
      </c>
      <c r="J13" s="392">
        <f>J22+J31+J37+J44+J51+J57+J70+J77+J84+J103+J90+J96</f>
        <v>1785</v>
      </c>
      <c r="K13" s="392">
        <f>K22+K31+K37+K44+K51+K57+K70+K77+K84+K90+K96+K103+K108</f>
        <v>1050</v>
      </c>
      <c r="L13" s="58">
        <f t="shared" si="2"/>
        <v>28.218220908357967</v>
      </c>
      <c r="M13" s="58">
        <f t="shared" si="3"/>
        <v>58.82352941176471</v>
      </c>
      <c r="N13" s="392">
        <f>K13-'[16]Junijs'!K13</f>
        <v>73</v>
      </c>
      <c r="O13" s="466"/>
      <c r="P13" s="466"/>
      <c r="Q13" s="466"/>
      <c r="R13" s="466"/>
      <c r="S13" s="466"/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466"/>
      <c r="AK13" s="466"/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6"/>
      <c r="AZ13" s="466"/>
      <c r="BA13" s="466"/>
      <c r="BB13" s="466"/>
      <c r="BC13" s="466"/>
      <c r="BD13" s="466"/>
      <c r="BE13" s="466"/>
      <c r="BF13" s="466"/>
      <c r="BG13" s="466"/>
      <c r="BH13" s="466"/>
      <c r="BI13" s="466"/>
      <c r="BJ13" s="466"/>
      <c r="BK13" s="466"/>
      <c r="BL13" s="466"/>
      <c r="BM13" s="466"/>
      <c r="BN13" s="466"/>
      <c r="BO13" s="466"/>
      <c r="BP13" s="466"/>
      <c r="BQ13" s="466"/>
      <c r="BR13" s="466"/>
      <c r="BS13" s="466"/>
      <c r="BT13" s="466"/>
      <c r="BU13" s="466"/>
      <c r="BV13" s="466"/>
      <c r="BW13" s="466"/>
      <c r="BX13" s="466"/>
      <c r="BY13" s="466"/>
      <c r="BZ13" s="466"/>
      <c r="CA13" s="466"/>
      <c r="CB13" s="466"/>
      <c r="CC13" s="466"/>
      <c r="CD13" s="466"/>
      <c r="CE13" s="466"/>
      <c r="CF13" s="466"/>
      <c r="CG13" s="466"/>
      <c r="CH13" s="466"/>
      <c r="CI13" s="466"/>
      <c r="CJ13" s="466"/>
      <c r="CK13" s="466"/>
      <c r="CL13" s="466"/>
      <c r="CM13" s="466"/>
      <c r="CN13" s="466"/>
      <c r="CO13" s="466"/>
      <c r="CP13" s="466"/>
      <c r="CQ13" s="466"/>
      <c r="CR13" s="466"/>
      <c r="CS13" s="466"/>
      <c r="CT13" s="466"/>
      <c r="CU13" s="466"/>
      <c r="CV13" s="466"/>
      <c r="CW13" s="466"/>
      <c r="CX13" s="466"/>
      <c r="CY13" s="466"/>
      <c r="CZ13" s="466"/>
    </row>
    <row r="14" spans="1:104" s="467" customFormat="1" ht="14.25" customHeight="1">
      <c r="A14" s="464" t="s">
        <v>387</v>
      </c>
      <c r="B14" s="11">
        <f>B38+B45+B58+B64+B71+B78+B85+B97</f>
        <v>5221276</v>
      </c>
      <c r="C14" s="11">
        <f>C38+C45+C58+C64+C71+C78+C85+C97</f>
        <v>1872697</v>
      </c>
      <c r="D14" s="11">
        <f>D38+D45+D58+D64+D71+D78+D85+D97</f>
        <v>819184</v>
      </c>
      <c r="E14" s="465">
        <f t="shared" si="0"/>
        <v>0.15689344903429736</v>
      </c>
      <c r="F14" s="465">
        <f t="shared" si="1"/>
        <v>0.43743542067937313</v>
      </c>
      <c r="G14" s="459">
        <f>D14-'[16]Junijs'!D14</f>
        <v>156395</v>
      </c>
      <c r="H14" s="464" t="s">
        <v>387</v>
      </c>
      <c r="I14" s="11">
        <f>I38+I45+I58+I64+I71+I78+I85+I97</f>
        <v>5222</v>
      </c>
      <c r="J14" s="468">
        <f>J38+J45+J58+J64+J71+J78+J85+J97</f>
        <v>1873</v>
      </c>
      <c r="K14" s="468">
        <f>K38+K45+K58+K64+K71+K78+K85+K97</f>
        <v>820</v>
      </c>
      <c r="L14" s="58">
        <f t="shared" si="2"/>
        <v>15.702795863653773</v>
      </c>
      <c r="M14" s="58">
        <f t="shared" si="3"/>
        <v>43.78003203416978</v>
      </c>
      <c r="N14" s="468">
        <f>K14-'[16]Junijs'!K14</f>
        <v>157</v>
      </c>
      <c r="O14" s="466"/>
      <c r="P14" s="466"/>
      <c r="Q14" s="466"/>
      <c r="R14" s="466"/>
      <c r="S14" s="466"/>
      <c r="T14" s="466"/>
      <c r="U14" s="466"/>
      <c r="V14" s="466"/>
      <c r="W14" s="466"/>
      <c r="X14" s="466"/>
      <c r="Y14" s="466"/>
      <c r="Z14" s="466"/>
      <c r="AA14" s="466"/>
      <c r="AB14" s="466"/>
      <c r="AC14" s="466"/>
      <c r="AD14" s="466"/>
      <c r="AE14" s="466"/>
      <c r="AF14" s="466"/>
      <c r="AG14" s="466"/>
      <c r="AH14" s="466"/>
      <c r="AI14" s="466"/>
      <c r="AJ14" s="466"/>
      <c r="AK14" s="466"/>
      <c r="AL14" s="466"/>
      <c r="AM14" s="466"/>
      <c r="AN14" s="466"/>
      <c r="AO14" s="466"/>
      <c r="AP14" s="466"/>
      <c r="AQ14" s="466"/>
      <c r="AR14" s="466"/>
      <c r="AS14" s="466"/>
      <c r="AT14" s="466"/>
      <c r="AU14" s="466"/>
      <c r="AV14" s="466"/>
      <c r="AW14" s="466"/>
      <c r="AX14" s="466"/>
      <c r="AY14" s="466"/>
      <c r="AZ14" s="466"/>
      <c r="BA14" s="466"/>
      <c r="BB14" s="466"/>
      <c r="BC14" s="466"/>
      <c r="BD14" s="466"/>
      <c r="BE14" s="466"/>
      <c r="BF14" s="466"/>
      <c r="BG14" s="466"/>
      <c r="BH14" s="466"/>
      <c r="BI14" s="466"/>
      <c r="BJ14" s="466"/>
      <c r="BK14" s="466"/>
      <c r="BL14" s="466"/>
      <c r="BM14" s="466"/>
      <c r="BN14" s="466"/>
      <c r="BO14" s="466"/>
      <c r="BP14" s="466"/>
      <c r="BQ14" s="466"/>
      <c r="BR14" s="466"/>
      <c r="BS14" s="466"/>
      <c r="BT14" s="466"/>
      <c r="BU14" s="466"/>
      <c r="BV14" s="466"/>
      <c r="BW14" s="466"/>
      <c r="BX14" s="466"/>
      <c r="BY14" s="466"/>
      <c r="BZ14" s="466"/>
      <c r="CA14" s="466"/>
      <c r="CB14" s="466"/>
      <c r="CC14" s="466"/>
      <c r="CD14" s="466"/>
      <c r="CE14" s="466"/>
      <c r="CF14" s="466"/>
      <c r="CG14" s="466"/>
      <c r="CH14" s="466"/>
      <c r="CI14" s="466"/>
      <c r="CJ14" s="466"/>
      <c r="CK14" s="466"/>
      <c r="CL14" s="466"/>
      <c r="CM14" s="466"/>
      <c r="CN14" s="466"/>
      <c r="CO14" s="466"/>
      <c r="CP14" s="466"/>
      <c r="CQ14" s="466"/>
      <c r="CR14" s="466"/>
      <c r="CS14" s="466"/>
      <c r="CT14" s="466"/>
      <c r="CU14" s="466"/>
      <c r="CV14" s="466"/>
      <c r="CW14" s="466"/>
      <c r="CX14" s="466"/>
      <c r="CY14" s="466"/>
      <c r="CZ14" s="466"/>
    </row>
    <row r="15" spans="1:104" s="66" customFormat="1" ht="13.5" customHeight="1" hidden="1">
      <c r="A15" s="74" t="s">
        <v>60</v>
      </c>
      <c r="B15" s="392">
        <f aca="true" t="shared" si="4" ref="B15:D16">B16</f>
        <v>0</v>
      </c>
      <c r="C15" s="392">
        <f t="shared" si="4"/>
        <v>0</v>
      </c>
      <c r="D15" s="392">
        <f t="shared" si="4"/>
        <v>0</v>
      </c>
      <c r="E15" s="465" t="str">
        <f t="shared" si="0"/>
        <v> </v>
      </c>
      <c r="F15" s="465" t="str">
        <f t="shared" si="1"/>
        <v> </v>
      </c>
      <c r="G15" s="459">
        <f>D15-'[16]Junijs'!D15</f>
        <v>0</v>
      </c>
      <c r="H15" s="74" t="s">
        <v>60</v>
      </c>
      <c r="I15" s="392">
        <f aca="true" t="shared" si="5" ref="I15:K16">I16</f>
        <v>0</v>
      </c>
      <c r="J15" s="392">
        <f t="shared" si="5"/>
        <v>0</v>
      </c>
      <c r="K15" s="392">
        <f t="shared" si="5"/>
        <v>0</v>
      </c>
      <c r="L15" s="58" t="e">
        <f t="shared" si="2"/>
        <v>#VALUE!</v>
      </c>
      <c r="M15" s="58" t="e">
        <f t="shared" si="3"/>
        <v>#VALUE!</v>
      </c>
      <c r="N15" s="392">
        <f>K15-'[16]Junijs'!K15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67" customFormat="1" ht="12.75" hidden="1">
      <c r="A16" s="469" t="s">
        <v>389</v>
      </c>
      <c r="B16" s="470">
        <f t="shared" si="4"/>
        <v>0</v>
      </c>
      <c r="C16" s="470">
        <f t="shared" si="4"/>
        <v>0</v>
      </c>
      <c r="D16" s="470">
        <f t="shared" si="4"/>
        <v>0</v>
      </c>
      <c r="E16" s="465" t="str">
        <f t="shared" si="0"/>
        <v> </v>
      </c>
      <c r="F16" s="465" t="str">
        <f t="shared" si="1"/>
        <v> </v>
      </c>
      <c r="G16" s="459">
        <f>D16-'[16]Junijs'!D16</f>
        <v>0</v>
      </c>
      <c r="H16" s="469" t="s">
        <v>389</v>
      </c>
      <c r="I16" s="470">
        <f t="shared" si="5"/>
        <v>0</v>
      </c>
      <c r="J16" s="470">
        <f t="shared" si="5"/>
        <v>0</v>
      </c>
      <c r="K16" s="470">
        <f t="shared" si="5"/>
        <v>0</v>
      </c>
      <c r="L16" s="471" t="e">
        <f t="shared" si="2"/>
        <v>#VALUE!</v>
      </c>
      <c r="M16" s="471" t="e">
        <f t="shared" si="3"/>
        <v>#VALUE!</v>
      </c>
      <c r="N16" s="470">
        <f>K16-'[16]Junijs'!K16</f>
        <v>0</v>
      </c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6"/>
      <c r="BD16" s="466"/>
      <c r="BE16" s="466"/>
      <c r="BF16" s="466"/>
      <c r="BG16" s="466"/>
      <c r="BH16" s="466"/>
      <c r="BI16" s="466"/>
      <c r="BJ16" s="466"/>
      <c r="BK16" s="466"/>
      <c r="BL16" s="466"/>
      <c r="BM16" s="466"/>
      <c r="BN16" s="466"/>
      <c r="BO16" s="466"/>
      <c r="BP16" s="466"/>
      <c r="BQ16" s="466"/>
      <c r="BR16" s="466"/>
      <c r="BS16" s="466"/>
      <c r="BT16" s="466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</row>
    <row r="17" spans="1:104" s="60" customFormat="1" ht="12.75" hidden="1">
      <c r="A17" s="472" t="s">
        <v>386</v>
      </c>
      <c r="B17" s="473"/>
      <c r="C17" s="473"/>
      <c r="D17" s="473"/>
      <c r="E17" s="465" t="str">
        <f t="shared" si="0"/>
        <v> </v>
      </c>
      <c r="F17" s="465" t="str">
        <f t="shared" si="1"/>
        <v> </v>
      </c>
      <c r="G17" s="459">
        <f>D17-'[16]Junijs'!D17</f>
        <v>0</v>
      </c>
      <c r="H17" s="472" t="s">
        <v>386</v>
      </c>
      <c r="I17" s="473">
        <f>ROUND(B17/1000,0)</f>
        <v>0</v>
      </c>
      <c r="J17" s="473">
        <f>ROUND(C17/1000,0)</f>
        <v>0</v>
      </c>
      <c r="K17" s="473">
        <f>ROUND(D17/1000,0)</f>
        <v>0</v>
      </c>
      <c r="L17" s="81" t="e">
        <f t="shared" si="2"/>
        <v>#VALUE!</v>
      </c>
      <c r="M17" s="81" t="e">
        <f t="shared" si="3"/>
        <v>#VALUE!</v>
      </c>
      <c r="N17" s="473">
        <f>K17-'[16]Junijs'!K17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62</v>
      </c>
      <c r="B18" s="392">
        <f>B19+B21</f>
        <v>288119</v>
      </c>
      <c r="C18" s="392">
        <f>C19+C21</f>
        <v>277186</v>
      </c>
      <c r="D18" s="392">
        <f>D19+D21</f>
        <v>36965</v>
      </c>
      <c r="E18" s="474">
        <f t="shared" si="0"/>
        <v>0.12829768255477772</v>
      </c>
      <c r="F18" s="474">
        <f t="shared" si="1"/>
        <v>0.13335810610925516</v>
      </c>
      <c r="G18" s="459">
        <f>D18-'[16]Junijs'!D18</f>
        <v>2180</v>
      </c>
      <c r="H18" s="74" t="s">
        <v>62</v>
      </c>
      <c r="I18" s="392">
        <f>I19+I21</f>
        <v>288</v>
      </c>
      <c r="J18" s="392">
        <f>J19+J21</f>
        <v>277</v>
      </c>
      <c r="K18" s="392">
        <f>K19+K21</f>
        <v>37</v>
      </c>
      <c r="L18" s="58">
        <f t="shared" si="2"/>
        <v>12.847222222222221</v>
      </c>
      <c r="M18" s="58">
        <f t="shared" si="3"/>
        <v>13.357400722021662</v>
      </c>
      <c r="N18" s="392">
        <f>K18-'[16]Junijs'!K18</f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67" customFormat="1" ht="12.75">
      <c r="A19" s="469" t="s">
        <v>389</v>
      </c>
      <c r="B19" s="470">
        <f>B20</f>
        <v>261926</v>
      </c>
      <c r="C19" s="470">
        <f>C20</f>
        <v>261926</v>
      </c>
      <c r="D19" s="470">
        <f>D20</f>
        <v>21711</v>
      </c>
      <c r="E19" s="465">
        <f t="shared" si="0"/>
        <v>0.0828898238433756</v>
      </c>
      <c r="F19" s="465">
        <f t="shared" si="1"/>
        <v>0.0828898238433756</v>
      </c>
      <c r="G19" s="459">
        <f>D19-'[16]Junijs'!D19</f>
        <v>0</v>
      </c>
      <c r="H19" s="469" t="s">
        <v>389</v>
      </c>
      <c r="I19" s="470">
        <f>I20</f>
        <v>262</v>
      </c>
      <c r="J19" s="470">
        <f>J20</f>
        <v>262</v>
      </c>
      <c r="K19" s="470">
        <f>K20</f>
        <v>22</v>
      </c>
      <c r="L19" s="471">
        <f t="shared" si="2"/>
        <v>8.396946564885496</v>
      </c>
      <c r="M19" s="471">
        <f t="shared" si="3"/>
        <v>8.396946564885496</v>
      </c>
      <c r="N19" s="470">
        <f>K19-'[16]Junijs'!K19</f>
        <v>0</v>
      </c>
      <c r="O19" s="466"/>
      <c r="P19" s="466"/>
      <c r="Q19" s="466"/>
      <c r="R19" s="466"/>
      <c r="S19" s="466"/>
      <c r="T19" s="466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</row>
    <row r="20" spans="1:104" s="60" customFormat="1" ht="12.75">
      <c r="A20" s="472" t="s">
        <v>386</v>
      </c>
      <c r="B20" s="473">
        <v>261926</v>
      </c>
      <c r="C20" s="473">
        <v>261926</v>
      </c>
      <c r="D20" s="473">
        <v>21711</v>
      </c>
      <c r="E20" s="465">
        <f t="shared" si="0"/>
        <v>0.0828898238433756</v>
      </c>
      <c r="F20" s="465">
        <f t="shared" si="1"/>
        <v>0.0828898238433756</v>
      </c>
      <c r="G20" s="459">
        <f>D20-'[16]Junijs'!D20</f>
        <v>0</v>
      </c>
      <c r="H20" s="472" t="s">
        <v>386</v>
      </c>
      <c r="I20" s="473">
        <f>ROUND(B20/1000,0)</f>
        <v>262</v>
      </c>
      <c r="J20" s="473">
        <f>ROUND(C20/1000,0)</f>
        <v>262</v>
      </c>
      <c r="K20" s="473">
        <f>ROUND(D20/1000,0)</f>
        <v>22</v>
      </c>
      <c r="L20" s="81">
        <f t="shared" si="2"/>
        <v>8.396946564885496</v>
      </c>
      <c r="M20" s="81">
        <f t="shared" si="3"/>
        <v>8.396946564885496</v>
      </c>
      <c r="N20" s="473">
        <f>K20-'[16]Junijs'!K20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467" customFormat="1" ht="12.75">
      <c r="A21" s="469" t="s">
        <v>390</v>
      </c>
      <c r="B21" s="470">
        <f>B22</f>
        <v>26193</v>
      </c>
      <c r="C21" s="470">
        <f>C22</f>
        <v>15260</v>
      </c>
      <c r="D21" s="470">
        <f>D22</f>
        <v>15254</v>
      </c>
      <c r="E21" s="465">
        <f t="shared" si="0"/>
        <v>0.5823693353185966</v>
      </c>
      <c r="F21" s="465">
        <f t="shared" si="1"/>
        <v>0.9996068152031454</v>
      </c>
      <c r="G21" s="459">
        <f>D21-'[16]Junijs'!D21</f>
        <v>2180</v>
      </c>
      <c r="H21" s="469" t="s">
        <v>390</v>
      </c>
      <c r="I21" s="470">
        <f>I22</f>
        <v>26</v>
      </c>
      <c r="J21" s="470">
        <f>J22</f>
        <v>15</v>
      </c>
      <c r="K21" s="470">
        <f>K22</f>
        <v>15</v>
      </c>
      <c r="L21" s="471">
        <f t="shared" si="2"/>
        <v>57.692307692307686</v>
      </c>
      <c r="M21" s="471">
        <f t="shared" si="3"/>
        <v>100</v>
      </c>
      <c r="N21" s="470">
        <f>K21-'[16]Junijs'!K21</f>
        <v>2</v>
      </c>
      <c r="O21" s="466"/>
      <c r="P21" s="466"/>
      <c r="Q21" s="466"/>
      <c r="R21" s="466"/>
      <c r="S21" s="466"/>
      <c r="T21" s="466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</row>
    <row r="22" spans="1:104" s="60" customFormat="1" ht="12.75">
      <c r="A22" s="472" t="s">
        <v>386</v>
      </c>
      <c r="B22" s="473">
        <v>26193</v>
      </c>
      <c r="C22" s="473">
        <v>15260</v>
      </c>
      <c r="D22" s="473">
        <v>15254</v>
      </c>
      <c r="E22" s="465">
        <f t="shared" si="0"/>
        <v>0.5823693353185966</v>
      </c>
      <c r="F22" s="465">
        <f t="shared" si="1"/>
        <v>0.9996068152031454</v>
      </c>
      <c r="G22" s="459">
        <f>D22-'[16]Junijs'!D22</f>
        <v>2180</v>
      </c>
      <c r="H22" s="472" t="s">
        <v>386</v>
      </c>
      <c r="I22" s="473">
        <f>ROUND(B22/1000,0)</f>
        <v>26</v>
      </c>
      <c r="J22" s="473">
        <f>ROUND(C22/1000,0)</f>
        <v>15</v>
      </c>
      <c r="K22" s="473">
        <f>ROUND(D22/1000,0)</f>
        <v>15</v>
      </c>
      <c r="L22" s="81">
        <f t="shared" si="2"/>
        <v>57.692307692307686</v>
      </c>
      <c r="M22" s="81">
        <f t="shared" si="3"/>
        <v>100</v>
      </c>
      <c r="N22" s="473">
        <f>K22-'[16]Junijs'!K22</f>
        <v>2</v>
      </c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</row>
    <row r="23" spans="1:104" s="66" customFormat="1" ht="13.5" customHeight="1" hidden="1">
      <c r="A23" s="74" t="s">
        <v>66</v>
      </c>
      <c r="B23" s="392">
        <f aca="true" t="shared" si="6" ref="B23:D24">B24</f>
        <v>0</v>
      </c>
      <c r="C23" s="392">
        <f t="shared" si="6"/>
        <v>0</v>
      </c>
      <c r="D23" s="392">
        <f t="shared" si="6"/>
        <v>0</v>
      </c>
      <c r="E23" s="474" t="str">
        <f t="shared" si="0"/>
        <v> </v>
      </c>
      <c r="F23" s="465" t="str">
        <f t="shared" si="1"/>
        <v> </v>
      </c>
      <c r="G23" s="459">
        <f>D23-'[16]Junijs'!D23</f>
        <v>0</v>
      </c>
      <c r="H23" s="74" t="s">
        <v>66</v>
      </c>
      <c r="I23" s="392">
        <f aca="true" t="shared" si="7" ref="I23:K24">I24</f>
        <v>0</v>
      </c>
      <c r="J23" s="392">
        <f t="shared" si="7"/>
        <v>0</v>
      </c>
      <c r="K23" s="392">
        <f t="shared" si="7"/>
        <v>0</v>
      </c>
      <c r="L23" s="58" t="e">
        <f t="shared" si="2"/>
        <v>#VALUE!</v>
      </c>
      <c r="M23" s="58" t="e">
        <f t="shared" si="3"/>
        <v>#VALUE!</v>
      </c>
      <c r="N23" s="392">
        <f>K23-'[16]Junijs'!K23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</row>
    <row r="24" spans="1:104" s="467" customFormat="1" ht="12.75" hidden="1">
      <c r="A24" s="469" t="s">
        <v>389</v>
      </c>
      <c r="B24" s="470">
        <f t="shared" si="6"/>
        <v>0</v>
      </c>
      <c r="C24" s="470">
        <f t="shared" si="6"/>
        <v>0</v>
      </c>
      <c r="D24" s="470">
        <f t="shared" si="6"/>
        <v>0</v>
      </c>
      <c r="E24" s="465" t="str">
        <f t="shared" si="0"/>
        <v> </v>
      </c>
      <c r="F24" s="465" t="str">
        <f t="shared" si="1"/>
        <v> </v>
      </c>
      <c r="G24" s="459">
        <f>D24-'[16]Junijs'!D24</f>
        <v>0</v>
      </c>
      <c r="H24" s="469" t="s">
        <v>389</v>
      </c>
      <c r="I24" s="470">
        <f t="shared" si="7"/>
        <v>0</v>
      </c>
      <c r="J24" s="470">
        <f t="shared" si="7"/>
        <v>0</v>
      </c>
      <c r="K24" s="470">
        <f t="shared" si="7"/>
        <v>0</v>
      </c>
      <c r="L24" s="471" t="e">
        <f t="shared" si="2"/>
        <v>#VALUE!</v>
      </c>
      <c r="M24" s="471" t="e">
        <f t="shared" si="3"/>
        <v>#VALUE!</v>
      </c>
      <c r="N24" s="470">
        <f>K24-'[16]Junijs'!K24</f>
        <v>0</v>
      </c>
      <c r="O24" s="466"/>
      <c r="P24" s="466"/>
      <c r="Q24" s="466"/>
      <c r="R24" s="466"/>
      <c r="S24" s="466"/>
      <c r="T24" s="466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</row>
    <row r="25" spans="1:104" s="60" customFormat="1" ht="12.75" hidden="1">
      <c r="A25" s="472" t="s">
        <v>386</v>
      </c>
      <c r="B25" s="473"/>
      <c r="C25" s="473"/>
      <c r="D25" s="473"/>
      <c r="E25" s="465" t="str">
        <f t="shared" si="0"/>
        <v> </v>
      </c>
      <c r="F25" s="465" t="str">
        <f t="shared" si="1"/>
        <v> </v>
      </c>
      <c r="G25" s="459">
        <f>D25-'[16]Junijs'!D25</f>
        <v>0</v>
      </c>
      <c r="H25" s="472" t="s">
        <v>386</v>
      </c>
      <c r="I25" s="473">
        <f>ROUND(B25/1000,0)</f>
        <v>0</v>
      </c>
      <c r="J25" s="473">
        <f>ROUND(C25/1000,0)</f>
        <v>0</v>
      </c>
      <c r="K25" s="473">
        <f>ROUND(D25/1000,0)</f>
        <v>0</v>
      </c>
      <c r="L25" s="81" t="e">
        <f t="shared" si="2"/>
        <v>#VALUE!</v>
      </c>
      <c r="M25" s="81" t="e">
        <f t="shared" si="3"/>
        <v>#VALUE!</v>
      </c>
      <c r="N25" s="473">
        <f>K25-'[16]Junijs'!K25</f>
        <v>0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</row>
    <row r="26" spans="1:104" s="66" customFormat="1" ht="12">
      <c r="A26" s="74" t="s">
        <v>68</v>
      </c>
      <c r="B26" s="392">
        <f>B27+B30</f>
        <v>3119346</v>
      </c>
      <c r="C26" s="392">
        <f>C27+C30</f>
        <v>1908870</v>
      </c>
      <c r="D26" s="392">
        <f>D27+D30</f>
        <v>615630</v>
      </c>
      <c r="E26" s="474">
        <f t="shared" si="0"/>
        <v>0.19735867710731672</v>
      </c>
      <c r="F26" s="474">
        <f t="shared" si="1"/>
        <v>0.32251017617752914</v>
      </c>
      <c r="G26" s="459">
        <f>D26-'[16]Junijs'!D26</f>
        <v>138352</v>
      </c>
      <c r="H26" s="74" t="s">
        <v>68</v>
      </c>
      <c r="I26" s="392">
        <f>I27+I30</f>
        <v>3119</v>
      </c>
      <c r="J26" s="392">
        <f>J27+J30</f>
        <v>1909</v>
      </c>
      <c r="K26" s="392">
        <f>K27+K30</f>
        <v>614</v>
      </c>
      <c r="L26" s="58">
        <f t="shared" si="2"/>
        <v>19.685796729721066</v>
      </c>
      <c r="M26" s="58">
        <f t="shared" si="3"/>
        <v>32.1634363541121</v>
      </c>
      <c r="N26" s="392">
        <f>K26-'[16]Junijs'!K26</f>
        <v>137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</row>
    <row r="27" spans="1:104" s="467" customFormat="1" ht="12.75">
      <c r="A27" s="469" t="s">
        <v>389</v>
      </c>
      <c r="B27" s="470">
        <f>SUM(B28:B29)</f>
        <v>3102386</v>
      </c>
      <c r="C27" s="470">
        <f>SUM(C28:C29)</f>
        <v>1900390</v>
      </c>
      <c r="D27" s="470">
        <f>SUM(D28:D29)</f>
        <v>607150</v>
      </c>
      <c r="E27" s="465">
        <f t="shared" si="0"/>
        <v>0.19570420959867663</v>
      </c>
      <c r="F27" s="465">
        <f t="shared" si="1"/>
        <v>0.3194870526576124</v>
      </c>
      <c r="G27" s="459">
        <f>D27-'[16]Junijs'!D27</f>
        <v>138352</v>
      </c>
      <c r="H27" s="469" t="s">
        <v>389</v>
      </c>
      <c r="I27" s="470">
        <f>SUM(I28:I29)</f>
        <v>3102</v>
      </c>
      <c r="J27" s="470">
        <f>SUM(J28:J29)</f>
        <v>1901</v>
      </c>
      <c r="K27" s="470">
        <f>SUM(K28:K29)</f>
        <v>606</v>
      </c>
      <c r="L27" s="471">
        <f t="shared" si="2"/>
        <v>19.535783365570598</v>
      </c>
      <c r="M27" s="471">
        <f t="shared" si="3"/>
        <v>31.877958968963704</v>
      </c>
      <c r="N27" s="470">
        <f>K27-'[16]Junijs'!K27</f>
        <v>137</v>
      </c>
      <c r="O27" s="466"/>
      <c r="P27" s="466"/>
      <c r="Q27" s="466"/>
      <c r="R27" s="466"/>
      <c r="S27" s="466"/>
      <c r="T27" s="466"/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</row>
    <row r="28" spans="1:104" s="60" customFormat="1" ht="12.75">
      <c r="A28" s="472" t="s">
        <v>386</v>
      </c>
      <c r="B28" s="473">
        <v>2952580</v>
      </c>
      <c r="C28" s="473">
        <v>1750584</v>
      </c>
      <c r="D28" s="473">
        <v>530726</v>
      </c>
      <c r="E28" s="465">
        <f t="shared" si="0"/>
        <v>0.17974991363485493</v>
      </c>
      <c r="F28" s="465">
        <f t="shared" si="1"/>
        <v>0.3031708275638301</v>
      </c>
      <c r="G28" s="459">
        <f>D28-'[16]Junijs'!D28</f>
        <v>105253</v>
      </c>
      <c r="H28" s="472" t="s">
        <v>386</v>
      </c>
      <c r="I28" s="473">
        <f>ROUND(B28/1000,0)-1</f>
        <v>2952</v>
      </c>
      <c r="J28" s="473">
        <f>ROUND(C28/1000,0)</f>
        <v>1751</v>
      </c>
      <c r="K28" s="473">
        <f>ROUND(D28/1000,0)-1</f>
        <v>530</v>
      </c>
      <c r="L28" s="81">
        <f t="shared" si="2"/>
        <v>17.953929539295395</v>
      </c>
      <c r="M28" s="81">
        <f t="shared" si="3"/>
        <v>30.26841804683038</v>
      </c>
      <c r="N28" s="473">
        <f>K28-'[16]Junijs'!K28</f>
        <v>104</v>
      </c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</row>
    <row r="29" spans="1:104" s="60" customFormat="1" ht="12.75">
      <c r="A29" s="472" t="s">
        <v>387</v>
      </c>
      <c r="B29" s="473">
        <v>149806</v>
      </c>
      <c r="C29" s="473">
        <v>149806</v>
      </c>
      <c r="D29" s="473">
        <v>76424</v>
      </c>
      <c r="E29" s="465">
        <f t="shared" si="0"/>
        <v>0.5101531313832557</v>
      </c>
      <c r="F29" s="465">
        <f t="shared" si="1"/>
        <v>0.5101531313832557</v>
      </c>
      <c r="G29" s="459">
        <f>D29-'[16]Junijs'!D29</f>
        <v>33099</v>
      </c>
      <c r="H29" s="472" t="s">
        <v>387</v>
      </c>
      <c r="I29" s="473">
        <f>ROUND(B29/1000,0)</f>
        <v>150</v>
      </c>
      <c r="J29" s="473">
        <f>ROUND(C29/1000,0)</f>
        <v>150</v>
      </c>
      <c r="K29" s="473">
        <f>ROUND(D29/1000,0)</f>
        <v>76</v>
      </c>
      <c r="L29" s="81">
        <f t="shared" si="2"/>
        <v>50.66666666666667</v>
      </c>
      <c r="M29" s="81">
        <f t="shared" si="3"/>
        <v>50.66666666666667</v>
      </c>
      <c r="N29" s="473">
        <f>K29-'[16]Junijs'!K29</f>
        <v>33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467" customFormat="1" ht="12.75">
      <c r="A30" s="469" t="s">
        <v>390</v>
      </c>
      <c r="B30" s="470">
        <f>B31</f>
        <v>16960</v>
      </c>
      <c r="C30" s="470">
        <f>C31</f>
        <v>8480</v>
      </c>
      <c r="D30" s="470">
        <f>D31</f>
        <v>8480</v>
      </c>
      <c r="E30" s="465">
        <f t="shared" si="0"/>
        <v>0.5</v>
      </c>
      <c r="F30" s="465">
        <f t="shared" si="1"/>
        <v>1</v>
      </c>
      <c r="G30" s="459">
        <f>D30-'[16]Junijs'!D30</f>
        <v>0</v>
      </c>
      <c r="H30" s="469" t="s">
        <v>390</v>
      </c>
      <c r="I30" s="470">
        <f>I31</f>
        <v>17</v>
      </c>
      <c r="J30" s="470">
        <f>J31</f>
        <v>8</v>
      </c>
      <c r="K30" s="470">
        <f>K31</f>
        <v>8</v>
      </c>
      <c r="L30" s="471">
        <f t="shared" si="2"/>
        <v>47.05882352941176</v>
      </c>
      <c r="M30" s="471">
        <f t="shared" si="3"/>
        <v>100</v>
      </c>
      <c r="N30" s="470">
        <f>K30-'[16]Junijs'!K30</f>
        <v>0</v>
      </c>
      <c r="O30" s="466"/>
      <c r="P30" s="466"/>
      <c r="Q30" s="466"/>
      <c r="R30" s="466"/>
      <c r="S30" s="466"/>
      <c r="T30" s="466"/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</row>
    <row r="31" spans="1:104" s="60" customFormat="1" ht="12.75">
      <c r="A31" s="472" t="s">
        <v>386</v>
      </c>
      <c r="B31" s="473">
        <v>16960</v>
      </c>
      <c r="C31" s="473">
        <v>8480</v>
      </c>
      <c r="D31" s="473">
        <v>8480</v>
      </c>
      <c r="E31" s="465">
        <f t="shared" si="0"/>
        <v>0.5</v>
      </c>
      <c r="F31" s="465">
        <f t="shared" si="1"/>
        <v>1</v>
      </c>
      <c r="G31" s="459">
        <f>D31-'[16]Junijs'!D31</f>
        <v>0</v>
      </c>
      <c r="H31" s="472" t="s">
        <v>386</v>
      </c>
      <c r="I31" s="473">
        <f>ROUND(B31/1000,0)</f>
        <v>17</v>
      </c>
      <c r="J31" s="473">
        <f>ROUND(C31/1000,0)</f>
        <v>8</v>
      </c>
      <c r="K31" s="473">
        <f>ROUND(D31/1000,0)</f>
        <v>8</v>
      </c>
      <c r="L31" s="81">
        <f t="shared" si="2"/>
        <v>47.05882352941176</v>
      </c>
      <c r="M31" s="81">
        <f t="shared" si="3"/>
        <v>100</v>
      </c>
      <c r="N31" s="473">
        <f>K31-'[16]Junijs'!K31</f>
        <v>0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66" customFormat="1" ht="12">
      <c r="A32" s="74" t="s">
        <v>70</v>
      </c>
      <c r="B32" s="392">
        <f>B33+B36</f>
        <v>3899330</v>
      </c>
      <c r="C32" s="392">
        <f>C33+C36</f>
        <v>1854698</v>
      </c>
      <c r="D32" s="392">
        <f>D33+D36</f>
        <v>1066543</v>
      </c>
      <c r="E32" s="474">
        <f t="shared" si="0"/>
        <v>0.27351955335916683</v>
      </c>
      <c r="F32" s="474">
        <f t="shared" si="1"/>
        <v>0.5750494150530168</v>
      </c>
      <c r="G32" s="459">
        <f>D32-'[16]Junijs'!D32</f>
        <v>8012</v>
      </c>
      <c r="H32" s="74" t="s">
        <v>70</v>
      </c>
      <c r="I32" s="392">
        <f>I33+I36</f>
        <v>3899</v>
      </c>
      <c r="J32" s="392">
        <f>J33+J36</f>
        <v>1854</v>
      </c>
      <c r="K32" s="392">
        <f>K33+K36</f>
        <v>1067</v>
      </c>
      <c r="L32" s="58">
        <f t="shared" si="2"/>
        <v>27.36599127981534</v>
      </c>
      <c r="M32" s="58">
        <f t="shared" si="3"/>
        <v>57.5512405609493</v>
      </c>
      <c r="N32" s="392">
        <f>K32-'[16]Junijs'!K32</f>
        <v>9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</row>
    <row r="33" spans="1:104" s="467" customFormat="1" ht="12.75">
      <c r="A33" s="469" t="s">
        <v>389</v>
      </c>
      <c r="B33" s="470">
        <f>SUM(B34:B35)</f>
        <v>3028980</v>
      </c>
      <c r="C33" s="470">
        <f>SUM(C34:C35)</f>
        <v>1480698</v>
      </c>
      <c r="D33" s="470">
        <f>SUM(D34:D35)</f>
        <v>866106</v>
      </c>
      <c r="E33" s="465">
        <f t="shared" si="0"/>
        <v>0.28593982132599094</v>
      </c>
      <c r="F33" s="465">
        <f t="shared" si="1"/>
        <v>0.5849308907015475</v>
      </c>
      <c r="G33" s="459">
        <f>D33-'[16]Junijs'!D33</f>
        <v>8012</v>
      </c>
      <c r="H33" s="469" t="s">
        <v>389</v>
      </c>
      <c r="I33" s="470">
        <f>SUM(I34:I35)</f>
        <v>3029</v>
      </c>
      <c r="J33" s="470">
        <f>SUM(J34:J35)</f>
        <v>1480</v>
      </c>
      <c r="K33" s="470">
        <f>SUM(K34:K35)</f>
        <v>866</v>
      </c>
      <c r="L33" s="471">
        <f t="shared" si="2"/>
        <v>28.59029382634533</v>
      </c>
      <c r="M33" s="471">
        <f t="shared" si="3"/>
        <v>58.513513513513516</v>
      </c>
      <c r="N33" s="470">
        <f>K33-'[16]Junijs'!K33</f>
        <v>8</v>
      </c>
      <c r="O33" s="466"/>
      <c r="P33" s="466"/>
      <c r="Q33" s="466"/>
      <c r="R33" s="466"/>
      <c r="S33" s="466"/>
      <c r="T33" s="466"/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</row>
    <row r="34" spans="1:104" s="60" customFormat="1" ht="12.75">
      <c r="A34" s="472" t="s">
        <v>386</v>
      </c>
      <c r="B34" s="473">
        <v>1815117</v>
      </c>
      <c r="C34" s="473">
        <v>562335</v>
      </c>
      <c r="D34" s="473">
        <v>274114</v>
      </c>
      <c r="E34" s="465">
        <f t="shared" si="0"/>
        <v>0.15101726224810852</v>
      </c>
      <c r="F34" s="465">
        <f t="shared" si="1"/>
        <v>0.48745676509553915</v>
      </c>
      <c r="G34" s="459">
        <f>D34-'[16]Junijs'!D34</f>
        <v>8012</v>
      </c>
      <c r="H34" s="472" t="s">
        <v>386</v>
      </c>
      <c r="I34" s="473">
        <f aca="true" t="shared" si="8" ref="I34:K35">ROUND(B34/1000,0)</f>
        <v>1815</v>
      </c>
      <c r="J34" s="473">
        <f t="shared" si="8"/>
        <v>562</v>
      </c>
      <c r="K34" s="473">
        <f t="shared" si="8"/>
        <v>274</v>
      </c>
      <c r="L34" s="81">
        <f t="shared" si="2"/>
        <v>15.096418732782368</v>
      </c>
      <c r="M34" s="81">
        <f t="shared" si="3"/>
        <v>48.754448398576514</v>
      </c>
      <c r="N34" s="473">
        <f>K34-'[16]Junijs'!K34</f>
        <v>8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60" customFormat="1" ht="12.75">
      <c r="A35" s="472" t="s">
        <v>387</v>
      </c>
      <c r="B35" s="473">
        <v>1213863</v>
      </c>
      <c r="C35" s="473">
        <v>918363</v>
      </c>
      <c r="D35" s="473">
        <v>591992</v>
      </c>
      <c r="E35" s="465">
        <f t="shared" si="0"/>
        <v>0.48769259792909087</v>
      </c>
      <c r="F35" s="465">
        <f t="shared" si="1"/>
        <v>0.6446165622961727</v>
      </c>
      <c r="G35" s="459">
        <f>D35-'[16]Junijs'!D35</f>
        <v>0</v>
      </c>
      <c r="H35" s="472" t="s">
        <v>387</v>
      </c>
      <c r="I35" s="473">
        <f t="shared" si="8"/>
        <v>1214</v>
      </c>
      <c r="J35" s="473">
        <f t="shared" si="8"/>
        <v>918</v>
      </c>
      <c r="K35" s="473">
        <f t="shared" si="8"/>
        <v>592</v>
      </c>
      <c r="L35" s="81">
        <f t="shared" si="2"/>
        <v>48.76441515650741</v>
      </c>
      <c r="M35" s="81">
        <f t="shared" si="3"/>
        <v>64.4880174291939</v>
      </c>
      <c r="N35" s="473">
        <f>K35-'[16]Junijs'!K35</f>
        <v>0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467" customFormat="1" ht="12.75">
      <c r="A36" s="469" t="s">
        <v>390</v>
      </c>
      <c r="B36" s="470">
        <f>SUM(B37:B38)</f>
        <v>870350</v>
      </c>
      <c r="C36" s="470">
        <f>SUM(C37:C38)</f>
        <v>374000</v>
      </c>
      <c r="D36" s="470">
        <f>SUM(D37:D38)</f>
        <v>200437</v>
      </c>
      <c r="E36" s="465">
        <f t="shared" si="0"/>
        <v>0.23029470902510485</v>
      </c>
      <c r="F36" s="465">
        <f t="shared" si="1"/>
        <v>0.535927807486631</v>
      </c>
      <c r="G36" s="459">
        <f>D36-'[16]Junijs'!D36</f>
        <v>0</v>
      </c>
      <c r="H36" s="469" t="s">
        <v>390</v>
      </c>
      <c r="I36" s="470">
        <f>SUM(I37:I38)</f>
        <v>870</v>
      </c>
      <c r="J36" s="470">
        <f>SUM(J37:J38)</f>
        <v>374</v>
      </c>
      <c r="K36" s="470">
        <f>SUM(K37:K38)</f>
        <v>201</v>
      </c>
      <c r="L36" s="471">
        <f t="shared" si="2"/>
        <v>23.103448275862068</v>
      </c>
      <c r="M36" s="471">
        <f t="shared" si="3"/>
        <v>53.7433155080214</v>
      </c>
      <c r="N36" s="470">
        <f>K36-'[16]Junijs'!K36</f>
        <v>1</v>
      </c>
      <c r="O36" s="466"/>
      <c r="P36" s="466"/>
      <c r="Q36" s="466"/>
      <c r="R36" s="466"/>
      <c r="S36" s="466"/>
      <c r="T36" s="466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</row>
    <row r="37" spans="1:104" s="60" customFormat="1" ht="12.75">
      <c r="A37" s="472" t="s">
        <v>386</v>
      </c>
      <c r="B37" s="473">
        <v>73450</v>
      </c>
      <c r="C37" s="473">
        <v>6000</v>
      </c>
      <c r="D37" s="473">
        <v>2453</v>
      </c>
      <c r="E37" s="465">
        <f t="shared" si="0"/>
        <v>0.033396868618107554</v>
      </c>
      <c r="F37" s="465">
        <f t="shared" si="1"/>
        <v>0.4088333333333333</v>
      </c>
      <c r="G37" s="459">
        <f>D37-'[16]Junijs'!D37</f>
        <v>0</v>
      </c>
      <c r="H37" s="472" t="s">
        <v>386</v>
      </c>
      <c r="I37" s="473">
        <f>ROUND(B37/1000,0)</f>
        <v>73</v>
      </c>
      <c r="J37" s="473">
        <f>ROUND(C37/1000,0)</f>
        <v>6</v>
      </c>
      <c r="K37" s="473">
        <f>ROUND(D37/1000,0)+1</f>
        <v>3</v>
      </c>
      <c r="L37" s="81">
        <f t="shared" si="2"/>
        <v>4.10958904109589</v>
      </c>
      <c r="M37" s="81">
        <f t="shared" si="3"/>
        <v>50</v>
      </c>
      <c r="N37" s="473">
        <f>K37-'[16]Junijs'!K37</f>
        <v>1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60" customFormat="1" ht="12.75">
      <c r="A38" s="472" t="s">
        <v>387</v>
      </c>
      <c r="B38" s="473">
        <v>796900</v>
      </c>
      <c r="C38" s="473">
        <v>368000</v>
      </c>
      <c r="D38" s="473">
        <v>197984</v>
      </c>
      <c r="E38" s="465">
        <f t="shared" si="0"/>
        <v>0.24844271552265026</v>
      </c>
      <c r="F38" s="465">
        <f t="shared" si="1"/>
        <v>0.538</v>
      </c>
      <c r="G38" s="459">
        <f>D38-'[16]Junijs'!D38</f>
        <v>0</v>
      </c>
      <c r="H38" s="472" t="s">
        <v>387</v>
      </c>
      <c r="I38" s="473">
        <f>ROUND(B38/1000,0)</f>
        <v>797</v>
      </c>
      <c r="J38" s="473">
        <f>ROUND(C38/1000,0)</f>
        <v>368</v>
      </c>
      <c r="K38" s="473">
        <f>ROUND(D38/1000,0)</f>
        <v>198</v>
      </c>
      <c r="L38" s="81">
        <f t="shared" si="2"/>
        <v>24.843161856963615</v>
      </c>
      <c r="M38" s="81">
        <f t="shared" si="3"/>
        <v>53.80434782608695</v>
      </c>
      <c r="N38" s="473">
        <f>K38-'[16]Junijs'!K38</f>
        <v>0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6" customFormat="1" ht="12">
      <c r="A39" s="74" t="s">
        <v>72</v>
      </c>
      <c r="B39" s="392">
        <f>B40+B43</f>
        <v>4195425</v>
      </c>
      <c r="C39" s="392">
        <f>C40+C43</f>
        <v>2591844</v>
      </c>
      <c r="D39" s="392">
        <f>D40+D43</f>
        <v>277014</v>
      </c>
      <c r="E39" s="474">
        <f t="shared" si="0"/>
        <v>0.06602763724771626</v>
      </c>
      <c r="F39" s="474">
        <f t="shared" si="1"/>
        <v>0.10687911772467787</v>
      </c>
      <c r="G39" s="459">
        <f>D39-'[16]Junijs'!D39</f>
        <v>44361</v>
      </c>
      <c r="H39" s="74" t="s">
        <v>72</v>
      </c>
      <c r="I39" s="392">
        <f>I40+I43</f>
        <v>4196</v>
      </c>
      <c r="J39" s="392">
        <f>J40+J43</f>
        <v>2592</v>
      </c>
      <c r="K39" s="392">
        <f>K40+K43</f>
        <v>277</v>
      </c>
      <c r="L39" s="58">
        <f t="shared" si="2"/>
        <v>6.601525262154433</v>
      </c>
      <c r="M39" s="58">
        <f t="shared" si="3"/>
        <v>10.686728395061728</v>
      </c>
      <c r="N39" s="392">
        <f>K39-'[16]Junijs'!K39</f>
        <v>44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</row>
    <row r="40" spans="1:104" s="467" customFormat="1" ht="12.75">
      <c r="A40" s="469" t="s">
        <v>389</v>
      </c>
      <c r="B40" s="470">
        <f>SUM(B41:B42)</f>
        <v>3361152</v>
      </c>
      <c r="C40" s="470">
        <f>SUM(C41:C42)</f>
        <v>2407388</v>
      </c>
      <c r="D40" s="470">
        <f>SUM(D41:D42)</f>
        <v>275028</v>
      </c>
      <c r="E40" s="465">
        <f aca="true" t="shared" si="9" ref="E40:E71">IF(ISERROR(D40/B40)," ",(D40/B40))</f>
        <v>0.08182551696561179</v>
      </c>
      <c r="F40" s="465">
        <f aca="true" t="shared" si="10" ref="F40:F71">IF(ISERROR(D40/C40)," ",(D40/C40))</f>
        <v>0.11424332097692604</v>
      </c>
      <c r="G40" s="459">
        <f>D40-'[16]Junijs'!D40</f>
        <v>43321</v>
      </c>
      <c r="H40" s="469" t="s">
        <v>389</v>
      </c>
      <c r="I40" s="470">
        <f>SUM(I41:I42)</f>
        <v>3361</v>
      </c>
      <c r="J40" s="470">
        <f>SUM(J41:J42)</f>
        <v>2407</v>
      </c>
      <c r="K40" s="470">
        <f>SUM(K41:K42)</f>
        <v>275</v>
      </c>
      <c r="L40" s="471">
        <f aca="true" t="shared" si="11" ref="L40:L71">IF(ISERROR(ROUND(K40,0)/ROUND(I40,0))," ",(ROUND(K40,)/ROUND(I40,)))*100</f>
        <v>8.182088664088068</v>
      </c>
      <c r="M40" s="471">
        <f t="shared" si="3"/>
        <v>11.425010386373078</v>
      </c>
      <c r="N40" s="470">
        <f>K40-'[16]Junijs'!K40</f>
        <v>43</v>
      </c>
      <c r="O40" s="466"/>
      <c r="P40" s="466"/>
      <c r="Q40" s="466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  <c r="AE40" s="466"/>
      <c r="AF40" s="466"/>
      <c r="AG40" s="466"/>
      <c r="AH40" s="466"/>
      <c r="AI40" s="466"/>
      <c r="AJ40" s="466"/>
      <c r="AK40" s="466"/>
      <c r="AL40" s="466"/>
      <c r="AM40" s="466"/>
      <c r="AN40" s="466"/>
      <c r="AO40" s="466"/>
      <c r="AP40" s="466"/>
      <c r="AQ40" s="466"/>
      <c r="AR40" s="466"/>
      <c r="AS40" s="466"/>
      <c r="AT40" s="466"/>
      <c r="AU40" s="466"/>
      <c r="AV40" s="466"/>
      <c r="AW40" s="466"/>
      <c r="AX40" s="466"/>
      <c r="AY40" s="466"/>
      <c r="AZ40" s="466"/>
      <c r="BA40" s="466"/>
      <c r="BB40" s="466"/>
      <c r="BC40" s="466"/>
      <c r="BD40" s="466"/>
      <c r="BE40" s="466"/>
      <c r="BF40" s="466"/>
      <c r="BG40" s="466"/>
      <c r="BH40" s="466"/>
      <c r="BI40" s="466"/>
      <c r="BJ40" s="466"/>
      <c r="BK40" s="466"/>
      <c r="BL40" s="466"/>
      <c r="BM40" s="466"/>
      <c r="BN40" s="466"/>
      <c r="BO40" s="466"/>
      <c r="BP40" s="466"/>
      <c r="BQ40" s="466"/>
      <c r="BR40" s="466"/>
      <c r="BS40" s="466"/>
      <c r="BT40" s="466"/>
      <c r="BU40" s="466"/>
      <c r="BV40" s="466"/>
      <c r="BW40" s="466"/>
      <c r="BX40" s="466"/>
      <c r="BY40" s="466"/>
      <c r="BZ40" s="466"/>
      <c r="CA40" s="466"/>
      <c r="CB40" s="466"/>
      <c r="CC40" s="466"/>
      <c r="CD40" s="466"/>
      <c r="CE40" s="466"/>
      <c r="CF40" s="466"/>
      <c r="CG40" s="466"/>
      <c r="CH40" s="466"/>
      <c r="CI40" s="466"/>
      <c r="CJ40" s="466"/>
      <c r="CK40" s="466"/>
      <c r="CL40" s="466"/>
      <c r="CM40" s="466"/>
      <c r="CN40" s="466"/>
      <c r="CO40" s="466"/>
      <c r="CP40" s="466"/>
      <c r="CQ40" s="466"/>
      <c r="CR40" s="466"/>
      <c r="CS40" s="466"/>
      <c r="CT40" s="466"/>
      <c r="CU40" s="466"/>
      <c r="CV40" s="466"/>
      <c r="CW40" s="466"/>
      <c r="CX40" s="466"/>
      <c r="CY40" s="466"/>
      <c r="CZ40" s="466"/>
    </row>
    <row r="41" spans="1:104" s="60" customFormat="1" ht="12.75">
      <c r="A41" s="472" t="s">
        <v>386</v>
      </c>
      <c r="B41" s="473">
        <v>240052</v>
      </c>
      <c r="C41" s="473">
        <v>142888</v>
      </c>
      <c r="D41" s="473">
        <v>47596</v>
      </c>
      <c r="E41" s="465">
        <f t="shared" si="9"/>
        <v>0.1982737073634046</v>
      </c>
      <c r="F41" s="465">
        <f t="shared" si="10"/>
        <v>0.33310005038911594</v>
      </c>
      <c r="G41" s="459">
        <f>D41-'[16]Junijs'!D41</f>
        <v>0</v>
      </c>
      <c r="H41" s="472" t="s">
        <v>386</v>
      </c>
      <c r="I41" s="473">
        <f>ROUND(B41/1000,0)</f>
        <v>240</v>
      </c>
      <c r="J41" s="473">
        <f>ROUND(C41/1000,0)</f>
        <v>143</v>
      </c>
      <c r="K41" s="473">
        <f>ROUND(D41/1000,0)</f>
        <v>48</v>
      </c>
      <c r="L41" s="81">
        <f t="shared" si="11"/>
        <v>20</v>
      </c>
      <c r="M41" s="81">
        <f t="shared" si="3"/>
        <v>33.56643356643357</v>
      </c>
      <c r="N41" s="473">
        <f>K41-'[16]Junijs'!K41</f>
        <v>0</v>
      </c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60" customFormat="1" ht="12.75">
      <c r="A42" s="472" t="s">
        <v>387</v>
      </c>
      <c r="B42" s="473">
        <v>3121100</v>
      </c>
      <c r="C42" s="473">
        <v>2264500</v>
      </c>
      <c r="D42" s="473">
        <v>227432</v>
      </c>
      <c r="E42" s="465">
        <f t="shared" si="9"/>
        <v>0.07286918073756048</v>
      </c>
      <c r="F42" s="465">
        <f t="shared" si="10"/>
        <v>0.1004336498123206</v>
      </c>
      <c r="G42" s="459">
        <f>D42-'[16]Junijs'!D42</f>
        <v>43321</v>
      </c>
      <c r="H42" s="472" t="s">
        <v>387</v>
      </c>
      <c r="I42" s="473">
        <f>ROUND(B42/1000,0)</f>
        <v>3121</v>
      </c>
      <c r="J42" s="473">
        <f>ROUND(C42/1000,0)-1</f>
        <v>2264</v>
      </c>
      <c r="K42" s="473">
        <f>ROUND(D42/1000,0)</f>
        <v>227</v>
      </c>
      <c r="L42" s="81">
        <f t="shared" si="11"/>
        <v>7.273309836590837</v>
      </c>
      <c r="M42" s="81">
        <f t="shared" si="3"/>
        <v>10.026501766784452</v>
      </c>
      <c r="N42" s="473">
        <f>K42-'[16]Junijs'!K42</f>
        <v>43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467" customFormat="1" ht="12.75">
      <c r="A43" s="469" t="s">
        <v>390</v>
      </c>
      <c r="B43" s="470">
        <f>SUM(B44:B45)</f>
        <v>834273</v>
      </c>
      <c r="C43" s="470">
        <f>SUM(C44:C45)</f>
        <v>184456</v>
      </c>
      <c r="D43" s="470">
        <f>SUM(D44:D45)</f>
        <v>1986</v>
      </c>
      <c r="E43" s="465">
        <f t="shared" si="9"/>
        <v>0.0023805157304623305</v>
      </c>
      <c r="F43" s="465">
        <f t="shared" si="10"/>
        <v>0.01076679533330442</v>
      </c>
      <c r="G43" s="459">
        <f>D43-'[16]Junijs'!D43</f>
        <v>1040</v>
      </c>
      <c r="H43" s="469" t="s">
        <v>390</v>
      </c>
      <c r="I43" s="470">
        <f>SUM(I44:I45)</f>
        <v>835</v>
      </c>
      <c r="J43" s="470">
        <f>SUM(J44:J45)</f>
        <v>185</v>
      </c>
      <c r="K43" s="470">
        <f>SUM(K44:K45)</f>
        <v>2</v>
      </c>
      <c r="L43" s="471">
        <f t="shared" si="11"/>
        <v>0.23952095808383234</v>
      </c>
      <c r="M43" s="471">
        <f t="shared" si="3"/>
        <v>1.0810810810810811</v>
      </c>
      <c r="N43" s="470">
        <f>K43-'[16]Junijs'!K43</f>
        <v>1</v>
      </c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</row>
    <row r="44" spans="1:104" s="60" customFormat="1" ht="12.75">
      <c r="A44" s="472" t="s">
        <v>386</v>
      </c>
      <c r="B44" s="473">
        <v>6623</v>
      </c>
      <c r="C44" s="473"/>
      <c r="D44" s="473"/>
      <c r="E44" s="465">
        <f t="shared" si="9"/>
        <v>0</v>
      </c>
      <c r="F44" s="465" t="str">
        <f t="shared" si="10"/>
        <v> </v>
      </c>
      <c r="G44" s="459">
        <f>D44-'[16]Junijs'!D44</f>
        <v>0</v>
      </c>
      <c r="H44" s="472" t="s">
        <v>386</v>
      </c>
      <c r="I44" s="473">
        <f>ROUND(B44/1000,0)</f>
        <v>7</v>
      </c>
      <c r="J44" s="473">
        <f>ROUND(C44/1000,0)</f>
        <v>0</v>
      </c>
      <c r="K44" s="473">
        <f>ROUND(D44/1000,0)</f>
        <v>0</v>
      </c>
      <c r="L44" s="81">
        <f t="shared" si="11"/>
        <v>0</v>
      </c>
      <c r="M44" s="81"/>
      <c r="N44" s="473">
        <f>K44-'[16]Junijs'!K44</f>
        <v>0</v>
      </c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60" customFormat="1" ht="12.75">
      <c r="A45" s="472" t="s">
        <v>387</v>
      </c>
      <c r="B45" s="473">
        <v>827650</v>
      </c>
      <c r="C45" s="473">
        <v>184456</v>
      </c>
      <c r="D45" s="473">
        <v>1986</v>
      </c>
      <c r="E45" s="465">
        <f t="shared" si="9"/>
        <v>0.0023995650335286653</v>
      </c>
      <c r="F45" s="465">
        <f t="shared" si="10"/>
        <v>0.01076679533330442</v>
      </c>
      <c r="G45" s="459">
        <f>D45-'[16]Junijs'!D45</f>
        <v>1040</v>
      </c>
      <c r="H45" s="472" t="s">
        <v>387</v>
      </c>
      <c r="I45" s="473">
        <f>ROUND(B45/1000,0)</f>
        <v>828</v>
      </c>
      <c r="J45" s="473">
        <f>ROUND(C45/1000,0)+1</f>
        <v>185</v>
      </c>
      <c r="K45" s="473">
        <f>ROUND(D45/1000,0)</f>
        <v>2</v>
      </c>
      <c r="L45" s="81">
        <f t="shared" si="11"/>
        <v>0.24154589371980675</v>
      </c>
      <c r="M45" s="81">
        <f aca="true" t="shared" si="12" ref="M45:M82">IF(ISERROR(ROUND(K45,0)/ROUND(J45,0))," ",(ROUND(K45,)/ROUND(J45,)))*100</f>
        <v>1.0810810810810811</v>
      </c>
      <c r="N45" s="473">
        <f>K45-'[16]Junijs'!K45</f>
        <v>1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6" customFormat="1" ht="12">
      <c r="A46" s="59" t="s">
        <v>74</v>
      </c>
      <c r="B46" s="392">
        <f>B47+B50</f>
        <v>5945668</v>
      </c>
      <c r="C46" s="392">
        <f>C47+C50</f>
        <v>4513667</v>
      </c>
      <c r="D46" s="392">
        <f>D47+D50</f>
        <v>2885901</v>
      </c>
      <c r="E46" s="474">
        <f t="shared" si="9"/>
        <v>0.48537876652379514</v>
      </c>
      <c r="F46" s="474">
        <f t="shared" si="10"/>
        <v>0.6393694971294959</v>
      </c>
      <c r="G46" s="459">
        <f>D46-'[16]Junijs'!D46</f>
        <v>578476</v>
      </c>
      <c r="H46" s="59" t="s">
        <v>74</v>
      </c>
      <c r="I46" s="392">
        <f>I47+I50</f>
        <v>5946</v>
      </c>
      <c r="J46" s="392">
        <f>J47+J50</f>
        <v>4514</v>
      </c>
      <c r="K46" s="392">
        <f>K47+K50</f>
        <v>2885</v>
      </c>
      <c r="L46" s="58">
        <f t="shared" si="11"/>
        <v>48.52001345442314</v>
      </c>
      <c r="M46" s="58">
        <f t="shared" si="12"/>
        <v>63.91227292866637</v>
      </c>
      <c r="N46" s="392">
        <f>K46-'[16]Junijs'!K46</f>
        <v>578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</row>
    <row r="47" spans="1:104" s="467" customFormat="1" ht="12.75" customHeight="1">
      <c r="A47" s="469" t="s">
        <v>389</v>
      </c>
      <c r="B47" s="470">
        <f>SUM(B48:B49)</f>
        <v>3292889</v>
      </c>
      <c r="C47" s="470">
        <f>SUM(C48:C49)</f>
        <v>3115889</v>
      </c>
      <c r="D47" s="470">
        <f>SUM(D48:D49)</f>
        <v>2073602</v>
      </c>
      <c r="E47" s="465">
        <f t="shared" si="9"/>
        <v>0.6297211961897289</v>
      </c>
      <c r="F47" s="465">
        <f t="shared" si="10"/>
        <v>0.66549289785355</v>
      </c>
      <c r="G47" s="459">
        <f>D47-'[16]Junijs'!D47</f>
        <v>537471</v>
      </c>
      <c r="H47" s="469" t="s">
        <v>389</v>
      </c>
      <c r="I47" s="470">
        <f>I48+I49</f>
        <v>3293</v>
      </c>
      <c r="J47" s="470">
        <f>J48+J49</f>
        <v>3116</v>
      </c>
      <c r="K47" s="470">
        <f>K48+K49</f>
        <v>2073</v>
      </c>
      <c r="L47" s="471">
        <f t="shared" si="11"/>
        <v>62.95171576070453</v>
      </c>
      <c r="M47" s="471">
        <f t="shared" si="12"/>
        <v>66.52759948652118</v>
      </c>
      <c r="N47" s="470">
        <f>K47-'[16]Junijs'!K47</f>
        <v>537</v>
      </c>
      <c r="O47" s="466"/>
      <c r="P47" s="466"/>
      <c r="Q47" s="466"/>
      <c r="R47" s="466"/>
      <c r="S47" s="466"/>
      <c r="T47" s="466"/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</row>
    <row r="48" spans="1:104" s="60" customFormat="1" ht="12.75">
      <c r="A48" s="472" t="s">
        <v>386</v>
      </c>
      <c r="B48" s="473">
        <v>3209109</v>
      </c>
      <c r="C48" s="473">
        <v>3032109</v>
      </c>
      <c r="D48" s="473">
        <v>1998208</v>
      </c>
      <c r="E48" s="465">
        <f t="shared" si="9"/>
        <v>0.6226675379365425</v>
      </c>
      <c r="F48" s="465">
        <f t="shared" si="10"/>
        <v>0.6590158863022405</v>
      </c>
      <c r="G48" s="459">
        <f>D48-'[16]Junijs'!D48</f>
        <v>537471</v>
      </c>
      <c r="H48" s="472" t="s">
        <v>386</v>
      </c>
      <c r="I48" s="473">
        <f aca="true" t="shared" si="13" ref="I48:K49">ROUND(B48/1000,0)</f>
        <v>3209</v>
      </c>
      <c r="J48" s="473">
        <f t="shared" si="13"/>
        <v>3032</v>
      </c>
      <c r="K48" s="473">
        <f t="shared" si="13"/>
        <v>1998</v>
      </c>
      <c r="L48" s="81">
        <f t="shared" si="11"/>
        <v>62.262387036459955</v>
      </c>
      <c r="M48" s="81">
        <f t="shared" si="12"/>
        <v>65.89709762532982</v>
      </c>
      <c r="N48" s="473">
        <f>K48-'[16]Junijs'!K48</f>
        <v>537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60" customFormat="1" ht="12.75">
      <c r="A49" s="472" t="s">
        <v>387</v>
      </c>
      <c r="B49" s="473">
        <v>83780</v>
      </c>
      <c r="C49" s="473">
        <v>83780</v>
      </c>
      <c r="D49" s="473">
        <v>75394</v>
      </c>
      <c r="E49" s="465">
        <f t="shared" si="9"/>
        <v>0.8999045118166626</v>
      </c>
      <c r="F49" s="465">
        <f t="shared" si="10"/>
        <v>0.8999045118166626</v>
      </c>
      <c r="G49" s="459">
        <f>D49-'[16]Junijs'!D49</f>
        <v>0</v>
      </c>
      <c r="H49" s="472" t="s">
        <v>387</v>
      </c>
      <c r="I49" s="473">
        <f t="shared" si="13"/>
        <v>84</v>
      </c>
      <c r="J49" s="473">
        <f t="shared" si="13"/>
        <v>84</v>
      </c>
      <c r="K49" s="473">
        <f t="shared" si="13"/>
        <v>75</v>
      </c>
      <c r="L49" s="81">
        <f t="shared" si="11"/>
        <v>89.28571428571429</v>
      </c>
      <c r="M49" s="81">
        <f t="shared" si="12"/>
        <v>89.28571428571429</v>
      </c>
      <c r="N49" s="473">
        <f>K49-'[16]Junijs'!K49</f>
        <v>0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133" customFormat="1" ht="12.75">
      <c r="A50" s="469" t="s">
        <v>390</v>
      </c>
      <c r="B50" s="470">
        <f>B51</f>
        <v>2652779</v>
      </c>
      <c r="C50" s="470">
        <f>C51</f>
        <v>1397778</v>
      </c>
      <c r="D50" s="470">
        <f>D51</f>
        <v>812299</v>
      </c>
      <c r="E50" s="465">
        <f t="shared" si="9"/>
        <v>0.3062068118000029</v>
      </c>
      <c r="F50" s="465">
        <f t="shared" si="10"/>
        <v>0.5811359171485029</v>
      </c>
      <c r="G50" s="459">
        <f>D50-'[16]Junijs'!D50</f>
        <v>41005</v>
      </c>
      <c r="H50" s="469" t="s">
        <v>390</v>
      </c>
      <c r="I50" s="470">
        <f>I51</f>
        <v>2653</v>
      </c>
      <c r="J50" s="470">
        <f>J51</f>
        <v>1398</v>
      </c>
      <c r="K50" s="470">
        <f>K51</f>
        <v>812</v>
      </c>
      <c r="L50" s="471">
        <f t="shared" si="11"/>
        <v>30.606860158311346</v>
      </c>
      <c r="M50" s="471">
        <f t="shared" si="12"/>
        <v>58.0829756795422</v>
      </c>
      <c r="N50" s="470">
        <f>K50-'[16]Junijs'!K50</f>
        <v>41</v>
      </c>
      <c r="O50" s="466"/>
      <c r="P50" s="466"/>
      <c r="Q50" s="466"/>
      <c r="R50" s="466"/>
      <c r="S50" s="466"/>
      <c r="T50" s="466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</row>
    <row r="51" spans="1:104" s="83" customFormat="1" ht="12.75">
      <c r="A51" s="472" t="s">
        <v>386</v>
      </c>
      <c r="B51" s="473">
        <v>2652779</v>
      </c>
      <c r="C51" s="473">
        <v>1397778</v>
      </c>
      <c r="D51" s="473">
        <v>812299</v>
      </c>
      <c r="E51" s="465">
        <f t="shared" si="9"/>
        <v>0.3062068118000029</v>
      </c>
      <c r="F51" s="465">
        <f t="shared" si="10"/>
        <v>0.5811359171485029</v>
      </c>
      <c r="G51" s="459">
        <f>D51-'[16]Junijs'!D51</f>
        <v>41005</v>
      </c>
      <c r="H51" s="472" t="s">
        <v>386</v>
      </c>
      <c r="I51" s="473">
        <f>ROUND(B51/1000,0)</f>
        <v>2653</v>
      </c>
      <c r="J51" s="473">
        <f>ROUND(C51/1000,0)</f>
        <v>1398</v>
      </c>
      <c r="K51" s="473">
        <f>ROUND(D51/1000,0)</f>
        <v>812</v>
      </c>
      <c r="L51" s="81">
        <f t="shared" si="11"/>
        <v>30.606860158311346</v>
      </c>
      <c r="M51" s="81">
        <f t="shared" si="12"/>
        <v>58.0829756795422</v>
      </c>
      <c r="N51" s="473">
        <f>K51-'[16]Junijs'!K51</f>
        <v>41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4" s="1" customFormat="1" ht="12">
      <c r="A52" s="74" t="s">
        <v>76</v>
      </c>
      <c r="B52" s="475">
        <f>B53+B56</f>
        <v>16574093</v>
      </c>
      <c r="C52" s="475">
        <f>C53+C56</f>
        <v>1450600</v>
      </c>
      <c r="D52" s="475">
        <f>D53+D56</f>
        <v>749243</v>
      </c>
      <c r="E52" s="474">
        <f t="shared" si="9"/>
        <v>0.04520567128469715</v>
      </c>
      <c r="F52" s="474">
        <f t="shared" si="10"/>
        <v>0.5165055838963187</v>
      </c>
      <c r="G52" s="459">
        <f>D52-'[16]Junijs'!D52</f>
        <v>79285</v>
      </c>
      <c r="H52" s="74" t="s">
        <v>76</v>
      </c>
      <c r="I52" s="392">
        <f>I53+I56</f>
        <v>16574</v>
      </c>
      <c r="J52" s="392">
        <f>J53+J56</f>
        <v>1451</v>
      </c>
      <c r="K52" s="392">
        <f>K53+K56</f>
        <v>749</v>
      </c>
      <c r="L52" s="58">
        <f t="shared" si="11"/>
        <v>4.519126342464101</v>
      </c>
      <c r="M52" s="58">
        <f t="shared" si="12"/>
        <v>51.619572708476916</v>
      </c>
      <c r="N52" s="392">
        <f>K52-'[16]Junijs'!K52</f>
        <v>79</v>
      </c>
    </row>
    <row r="53" spans="1:14" s="466" customFormat="1" ht="12.75">
      <c r="A53" s="469" t="s">
        <v>389</v>
      </c>
      <c r="B53" s="470">
        <f>SUM(B54:B55)</f>
        <v>16233430</v>
      </c>
      <c r="C53" s="470">
        <f>SUM(C54:C55)</f>
        <v>1284470</v>
      </c>
      <c r="D53" s="470">
        <f>SUM(D54:D55)</f>
        <v>612376</v>
      </c>
      <c r="E53" s="465">
        <f t="shared" si="9"/>
        <v>0.037723142921736195</v>
      </c>
      <c r="F53" s="465">
        <f t="shared" si="10"/>
        <v>0.4767538362126013</v>
      </c>
      <c r="G53" s="459">
        <f>D53-'[16]Junijs'!D53</f>
        <v>76782</v>
      </c>
      <c r="H53" s="469" t="s">
        <v>389</v>
      </c>
      <c r="I53" s="470">
        <f>SUM(I54:I55)</f>
        <v>16233</v>
      </c>
      <c r="J53" s="470">
        <f>SUM(J54:J55)</f>
        <v>1285</v>
      </c>
      <c r="K53" s="470">
        <f>SUM(K54:K55)</f>
        <v>612</v>
      </c>
      <c r="L53" s="471">
        <f t="shared" si="11"/>
        <v>3.7700979486231754</v>
      </c>
      <c r="M53" s="471">
        <f t="shared" si="12"/>
        <v>47.626459143968866</v>
      </c>
      <c r="N53" s="470">
        <f>K53-'[16]Junijs'!K53</f>
        <v>77</v>
      </c>
    </row>
    <row r="54" spans="1:14" ht="12.75">
      <c r="A54" s="472" t="s">
        <v>386</v>
      </c>
      <c r="B54" s="473">
        <v>14472230</v>
      </c>
      <c r="C54" s="473">
        <v>584470</v>
      </c>
      <c r="D54" s="473">
        <v>139547</v>
      </c>
      <c r="E54" s="465">
        <f t="shared" si="9"/>
        <v>0.00964239788892244</v>
      </c>
      <c r="F54" s="465">
        <f t="shared" si="10"/>
        <v>0.2387581911817544</v>
      </c>
      <c r="G54" s="459">
        <f>D54-'[16]Junijs'!D54</f>
        <v>24663</v>
      </c>
      <c r="H54" s="472" t="s">
        <v>386</v>
      </c>
      <c r="I54" s="473">
        <f>ROUND(B54/1000,0)</f>
        <v>14472</v>
      </c>
      <c r="J54" s="473">
        <f>ROUND(C54/1000,0)+1</f>
        <v>585</v>
      </c>
      <c r="K54" s="473">
        <f>ROUND(D54/1000,0)-1</f>
        <v>139</v>
      </c>
      <c r="L54" s="81">
        <f t="shared" si="11"/>
        <v>0.9604754007739082</v>
      </c>
      <c r="M54" s="81">
        <f t="shared" si="12"/>
        <v>23.760683760683758</v>
      </c>
      <c r="N54" s="473">
        <f>K54-'[16]Junijs'!K54</f>
        <v>25</v>
      </c>
    </row>
    <row r="55" spans="1:14" ht="12.75">
      <c r="A55" s="472" t="s">
        <v>387</v>
      </c>
      <c r="B55" s="473">
        <v>1761200</v>
      </c>
      <c r="C55" s="473">
        <v>700000</v>
      </c>
      <c r="D55" s="473">
        <v>472829</v>
      </c>
      <c r="E55" s="465">
        <f t="shared" si="9"/>
        <v>0.2684697933227345</v>
      </c>
      <c r="F55" s="465">
        <f t="shared" si="10"/>
        <v>0.67547</v>
      </c>
      <c r="G55" s="459">
        <f>D55-'[16]Junijs'!D55</f>
        <v>52119</v>
      </c>
      <c r="H55" s="472" t="s">
        <v>387</v>
      </c>
      <c r="I55" s="473">
        <f>ROUND(B55/1000,0)</f>
        <v>1761</v>
      </c>
      <c r="J55" s="473">
        <f>ROUND(C55/1000,0)</f>
        <v>700</v>
      </c>
      <c r="K55" s="473">
        <f>ROUND(D55/1000,0)</f>
        <v>473</v>
      </c>
      <c r="L55" s="81">
        <f t="shared" si="11"/>
        <v>26.859738784781374</v>
      </c>
      <c r="M55" s="81">
        <f t="shared" si="12"/>
        <v>67.57142857142857</v>
      </c>
      <c r="N55" s="473">
        <f>K55-'[16]Junijs'!K55</f>
        <v>52</v>
      </c>
    </row>
    <row r="56" spans="1:14" s="466" customFormat="1" ht="12.75">
      <c r="A56" s="469" t="s">
        <v>390</v>
      </c>
      <c r="B56" s="470">
        <f>SUM(B57:B58)</f>
        <v>340663</v>
      </c>
      <c r="C56" s="470">
        <f>SUM(C57:C58)</f>
        <v>166130</v>
      </c>
      <c r="D56" s="470">
        <f>SUM(D57:D58)</f>
        <v>136867</v>
      </c>
      <c r="E56" s="465">
        <f t="shared" si="9"/>
        <v>0.40176655521732624</v>
      </c>
      <c r="F56" s="465">
        <f t="shared" si="10"/>
        <v>0.8238548124962379</v>
      </c>
      <c r="G56" s="459">
        <f>D56-'[16]Junijs'!D56</f>
        <v>2503</v>
      </c>
      <c r="H56" s="469" t="s">
        <v>390</v>
      </c>
      <c r="I56" s="470">
        <f>SUM(I57:I58)</f>
        <v>341</v>
      </c>
      <c r="J56" s="470">
        <f>SUM(J57:J58)</f>
        <v>166</v>
      </c>
      <c r="K56" s="470">
        <f>SUM(K57:K58)</f>
        <v>137</v>
      </c>
      <c r="L56" s="471">
        <f t="shared" si="11"/>
        <v>40.17595307917888</v>
      </c>
      <c r="M56" s="471">
        <f t="shared" si="12"/>
        <v>82.53012048192771</v>
      </c>
      <c r="N56" s="470">
        <f>K56-'[16]Junijs'!K56</f>
        <v>2</v>
      </c>
    </row>
    <row r="57" spans="1:14" ht="12.75">
      <c r="A57" s="472" t="s">
        <v>386</v>
      </c>
      <c r="B57" s="473">
        <v>132163</v>
      </c>
      <c r="C57" s="473">
        <v>7130</v>
      </c>
      <c r="D57" s="473">
        <v>3274</v>
      </c>
      <c r="E57" s="465">
        <f t="shared" si="9"/>
        <v>0.024772440092915567</v>
      </c>
      <c r="F57" s="465">
        <f t="shared" si="10"/>
        <v>0.4591865357643759</v>
      </c>
      <c r="G57" s="459">
        <f>D57-'[16]Junijs'!D57</f>
        <v>2503</v>
      </c>
      <c r="H57" s="472" t="s">
        <v>386</v>
      </c>
      <c r="I57" s="473">
        <f aca="true" t="shared" si="14" ref="I57:K58">ROUND(B57/1000,0)</f>
        <v>132</v>
      </c>
      <c r="J57" s="473">
        <f t="shared" si="14"/>
        <v>7</v>
      </c>
      <c r="K57" s="473">
        <f t="shared" si="14"/>
        <v>3</v>
      </c>
      <c r="L57" s="81">
        <f t="shared" si="11"/>
        <v>2.272727272727273</v>
      </c>
      <c r="M57" s="81">
        <f t="shared" si="12"/>
        <v>42.857142857142854</v>
      </c>
      <c r="N57" s="473">
        <f>K57-'[16]Junijs'!K57</f>
        <v>2</v>
      </c>
    </row>
    <row r="58" spans="1:14" ht="12.75">
      <c r="A58" s="472" t="s">
        <v>387</v>
      </c>
      <c r="B58" s="473">
        <v>208500</v>
      </c>
      <c r="C58" s="473">
        <v>159000</v>
      </c>
      <c r="D58" s="473">
        <v>133593</v>
      </c>
      <c r="E58" s="465">
        <f t="shared" si="9"/>
        <v>0.6407338129496403</v>
      </c>
      <c r="F58" s="465">
        <f t="shared" si="10"/>
        <v>0.8402075471698113</v>
      </c>
      <c r="G58" s="459">
        <f>D58-'[16]Junijs'!D58</f>
        <v>0</v>
      </c>
      <c r="H58" s="472" t="s">
        <v>387</v>
      </c>
      <c r="I58" s="473">
        <f t="shared" si="14"/>
        <v>209</v>
      </c>
      <c r="J58" s="473">
        <f t="shared" si="14"/>
        <v>159</v>
      </c>
      <c r="K58" s="473">
        <f t="shared" si="14"/>
        <v>134</v>
      </c>
      <c r="L58" s="81">
        <f t="shared" si="11"/>
        <v>64.11483253588517</v>
      </c>
      <c r="M58" s="81">
        <f t="shared" si="12"/>
        <v>84.27672955974843</v>
      </c>
      <c r="N58" s="473">
        <f>K58-'[16]Junijs'!K58</f>
        <v>0</v>
      </c>
    </row>
    <row r="59" spans="1:14" s="1" customFormat="1" ht="12.75" customHeight="1">
      <c r="A59" s="74" t="s">
        <v>78</v>
      </c>
      <c r="B59" s="475">
        <f>B60+B63</f>
        <v>8889527</v>
      </c>
      <c r="C59" s="475">
        <f>C60+C63</f>
        <v>3459777</v>
      </c>
      <c r="D59" s="475">
        <f>D60+D63</f>
        <v>1763310</v>
      </c>
      <c r="E59" s="474">
        <f t="shared" si="9"/>
        <v>0.19835813536535746</v>
      </c>
      <c r="F59" s="474">
        <f t="shared" si="10"/>
        <v>0.5096600156599689</v>
      </c>
      <c r="G59" s="459">
        <f>D59-'[16]Junijs'!D59</f>
        <v>373560</v>
      </c>
      <c r="H59" s="74" t="s">
        <v>78</v>
      </c>
      <c r="I59" s="392">
        <f>I60+I63</f>
        <v>8889</v>
      </c>
      <c r="J59" s="392">
        <f>J60+J63</f>
        <v>3460</v>
      </c>
      <c r="K59" s="392">
        <f>K60+K63</f>
        <v>1764</v>
      </c>
      <c r="L59" s="58">
        <f t="shared" si="11"/>
        <v>19.84475194060074</v>
      </c>
      <c r="M59" s="58">
        <f t="shared" si="12"/>
        <v>50.982658959537574</v>
      </c>
      <c r="N59" s="392">
        <f>K59-'[16]Junijs'!K59</f>
        <v>374</v>
      </c>
    </row>
    <row r="60" spans="1:14" s="466" customFormat="1" ht="12.75" customHeight="1">
      <c r="A60" s="469" t="s">
        <v>389</v>
      </c>
      <c r="B60" s="470">
        <f>SUM(B61:B62)</f>
        <v>6174527</v>
      </c>
      <c r="C60" s="470">
        <f>SUM(C61:C62)</f>
        <v>2488777</v>
      </c>
      <c r="D60" s="470">
        <f>SUM(D61:D62)</f>
        <v>1370296</v>
      </c>
      <c r="E60" s="465">
        <f t="shared" si="9"/>
        <v>0.2219272828509779</v>
      </c>
      <c r="F60" s="465">
        <f t="shared" si="10"/>
        <v>0.5505901091178519</v>
      </c>
      <c r="G60" s="459">
        <f>D60-'[16]Junijs'!D60</f>
        <v>255546</v>
      </c>
      <c r="H60" s="469" t="s">
        <v>389</v>
      </c>
      <c r="I60" s="470">
        <f>I61+I62</f>
        <v>6174</v>
      </c>
      <c r="J60" s="470">
        <f>J61+J62</f>
        <v>2489</v>
      </c>
      <c r="K60" s="470">
        <f>K61+K62</f>
        <v>1371</v>
      </c>
      <c r="L60" s="471">
        <f t="shared" si="11"/>
        <v>22.206025267249757</v>
      </c>
      <c r="M60" s="471">
        <f t="shared" si="12"/>
        <v>55.082362394535956</v>
      </c>
      <c r="N60" s="470">
        <f>K60-'[16]Junijs'!K60</f>
        <v>256</v>
      </c>
    </row>
    <row r="61" spans="1:14" ht="12.75">
      <c r="A61" s="472" t="s">
        <v>386</v>
      </c>
      <c r="B61" s="473">
        <v>477522</v>
      </c>
      <c r="C61" s="473">
        <v>325272</v>
      </c>
      <c r="D61" s="473">
        <v>225676</v>
      </c>
      <c r="E61" s="465">
        <f t="shared" si="9"/>
        <v>0.472598121133686</v>
      </c>
      <c r="F61" s="465">
        <f t="shared" si="10"/>
        <v>0.6938070291940284</v>
      </c>
      <c r="G61" s="459">
        <f>D61-'[16]Junijs'!D61</f>
        <v>0</v>
      </c>
      <c r="H61" s="472" t="s">
        <v>386</v>
      </c>
      <c r="I61" s="473">
        <f>ROUND(B61/1000,0)-1</f>
        <v>477</v>
      </c>
      <c r="J61" s="473">
        <f>ROUND(C61/1000,0)</f>
        <v>325</v>
      </c>
      <c r="K61" s="473">
        <f>ROUND(D61/1000,0)</f>
        <v>226</v>
      </c>
      <c r="L61" s="81">
        <f t="shared" si="11"/>
        <v>47.37945492662474</v>
      </c>
      <c r="M61" s="81">
        <f t="shared" si="12"/>
        <v>69.53846153846153</v>
      </c>
      <c r="N61" s="473">
        <f>K61-'[16]Junijs'!K61</f>
        <v>0</v>
      </c>
    </row>
    <row r="62" spans="1:14" ht="12.75">
      <c r="A62" s="472" t="s">
        <v>387</v>
      </c>
      <c r="B62" s="473">
        <v>5697005</v>
      </c>
      <c r="C62" s="473">
        <v>2163505</v>
      </c>
      <c r="D62" s="473">
        <v>1144620</v>
      </c>
      <c r="E62" s="465">
        <f t="shared" si="9"/>
        <v>0.2009160953869621</v>
      </c>
      <c r="F62" s="465">
        <f t="shared" si="10"/>
        <v>0.5290581718091708</v>
      </c>
      <c r="G62" s="459">
        <f>D62-'[16]Junijs'!D62</f>
        <v>255546</v>
      </c>
      <c r="H62" s="472" t="s">
        <v>387</v>
      </c>
      <c r="I62" s="473">
        <f>ROUND(B62/1000,0)</f>
        <v>5697</v>
      </c>
      <c r="J62" s="473">
        <f>ROUND(C62/1000,0)</f>
        <v>2164</v>
      </c>
      <c r="K62" s="473">
        <f>ROUND(D62/1000,0)</f>
        <v>1145</v>
      </c>
      <c r="L62" s="81">
        <f t="shared" si="11"/>
        <v>20.098297349482184</v>
      </c>
      <c r="M62" s="81">
        <f t="shared" si="12"/>
        <v>52.91127541589648</v>
      </c>
      <c r="N62" s="473">
        <f>K62-'[16]Junijs'!K62</f>
        <v>256</v>
      </c>
    </row>
    <row r="63" spans="1:14" s="466" customFormat="1" ht="12.75">
      <c r="A63" s="469" t="s">
        <v>390</v>
      </c>
      <c r="B63" s="470">
        <f>B64</f>
        <v>2715000</v>
      </c>
      <c r="C63" s="470">
        <f>C64</f>
        <v>971000</v>
      </c>
      <c r="D63" s="470">
        <f>D64</f>
        <v>393014</v>
      </c>
      <c r="E63" s="465">
        <f t="shared" si="9"/>
        <v>0.14475653775322284</v>
      </c>
      <c r="F63" s="465">
        <f t="shared" si="10"/>
        <v>0.40475180226570545</v>
      </c>
      <c r="G63" s="459">
        <f>D63-'[16]Junijs'!D63</f>
        <v>118014</v>
      </c>
      <c r="H63" s="469" t="s">
        <v>390</v>
      </c>
      <c r="I63" s="470">
        <f>I64</f>
        <v>2715</v>
      </c>
      <c r="J63" s="470">
        <f>J64</f>
        <v>971</v>
      </c>
      <c r="K63" s="470">
        <f>K64</f>
        <v>393</v>
      </c>
      <c r="L63" s="471">
        <f t="shared" si="11"/>
        <v>14.475138121546962</v>
      </c>
      <c r="M63" s="471">
        <f t="shared" si="12"/>
        <v>40.47373841400618</v>
      </c>
      <c r="N63" s="470">
        <f>K63-'[16]Junijs'!K63</f>
        <v>118</v>
      </c>
    </row>
    <row r="64" spans="1:14" ht="12.75">
      <c r="A64" s="472" t="s">
        <v>387</v>
      </c>
      <c r="B64" s="473">
        <v>2715000</v>
      </c>
      <c r="C64" s="473">
        <v>971000</v>
      </c>
      <c r="D64" s="473">
        <v>393014</v>
      </c>
      <c r="E64" s="465">
        <f t="shared" si="9"/>
        <v>0.14475653775322284</v>
      </c>
      <c r="F64" s="465">
        <f t="shared" si="10"/>
        <v>0.40475180226570545</v>
      </c>
      <c r="G64" s="459">
        <f>D64-'[16]Junijs'!D64</f>
        <v>118014</v>
      </c>
      <c r="H64" s="472" t="s">
        <v>387</v>
      </c>
      <c r="I64" s="473">
        <f>ROUND(B64/1000,0)</f>
        <v>2715</v>
      </c>
      <c r="J64" s="473">
        <f>ROUND(C64/1000,0)</f>
        <v>971</v>
      </c>
      <c r="K64" s="473">
        <f>ROUND(D64/1000,0)</f>
        <v>393</v>
      </c>
      <c r="L64" s="81">
        <f t="shared" si="11"/>
        <v>14.475138121546962</v>
      </c>
      <c r="M64" s="81">
        <f t="shared" si="12"/>
        <v>40.47373841400618</v>
      </c>
      <c r="N64" s="473">
        <f>K64-'[16]Junijs'!K64</f>
        <v>118</v>
      </c>
    </row>
    <row r="65" spans="1:14" s="1" customFormat="1" ht="12">
      <c r="A65" s="74" t="s">
        <v>80</v>
      </c>
      <c r="B65" s="475">
        <f>B66+B69</f>
        <v>3393392</v>
      </c>
      <c r="C65" s="475">
        <f>C66+C69</f>
        <v>1828620</v>
      </c>
      <c r="D65" s="475">
        <f>D66+D69</f>
        <v>226988</v>
      </c>
      <c r="E65" s="474">
        <f t="shared" si="9"/>
        <v>0.06689118144912229</v>
      </c>
      <c r="F65" s="474">
        <f t="shared" si="10"/>
        <v>0.12413076527654734</v>
      </c>
      <c r="G65" s="459">
        <f>D65-'[16]Junijs'!D65</f>
        <v>52887</v>
      </c>
      <c r="H65" s="74" t="s">
        <v>80</v>
      </c>
      <c r="I65" s="392">
        <f>I66+I69</f>
        <v>3393</v>
      </c>
      <c r="J65" s="392">
        <f>J66+J69</f>
        <v>1828</v>
      </c>
      <c r="K65" s="392">
        <f>K66+K69</f>
        <v>227</v>
      </c>
      <c r="L65" s="58">
        <f t="shared" si="11"/>
        <v>6.690244621279104</v>
      </c>
      <c r="M65" s="58">
        <f t="shared" si="12"/>
        <v>12.417943107221006</v>
      </c>
      <c r="N65" s="392">
        <f>K65-'[16]Junijs'!K65</f>
        <v>53</v>
      </c>
    </row>
    <row r="66" spans="1:14" s="466" customFormat="1" ht="12.75">
      <c r="A66" s="469" t="s">
        <v>389</v>
      </c>
      <c r="B66" s="470">
        <f>SUM(B67:B68)</f>
        <v>3041252</v>
      </c>
      <c r="C66" s="470">
        <f>SUM(C67:C68)</f>
        <v>1650601</v>
      </c>
      <c r="D66" s="470">
        <f>SUM(D67:D68)</f>
        <v>93746</v>
      </c>
      <c r="E66" s="465">
        <f t="shared" si="9"/>
        <v>0.030824805047394953</v>
      </c>
      <c r="F66" s="465">
        <f t="shared" si="10"/>
        <v>0.05679507040162947</v>
      </c>
      <c r="G66" s="459">
        <f>D66-'[16]Junijs'!D66</f>
        <v>34028</v>
      </c>
      <c r="H66" s="469" t="s">
        <v>389</v>
      </c>
      <c r="I66" s="470">
        <f>SUM(I67:I68)</f>
        <v>3041</v>
      </c>
      <c r="J66" s="470">
        <f>SUM(J67:J68)</f>
        <v>1650</v>
      </c>
      <c r="K66" s="470">
        <f>SUM(K67:K68)</f>
        <v>94</v>
      </c>
      <c r="L66" s="471">
        <f t="shared" si="11"/>
        <v>3.091088457744163</v>
      </c>
      <c r="M66" s="471">
        <f t="shared" si="12"/>
        <v>5.696969696969697</v>
      </c>
      <c r="N66" s="470">
        <f>K66-'[16]Junijs'!K66</f>
        <v>34</v>
      </c>
    </row>
    <row r="67" spans="1:14" ht="12.75">
      <c r="A67" s="472" t="s">
        <v>386</v>
      </c>
      <c r="B67" s="473">
        <v>2296193</v>
      </c>
      <c r="C67" s="473">
        <v>1344296</v>
      </c>
      <c r="D67" s="473">
        <v>93746</v>
      </c>
      <c r="E67" s="465">
        <f t="shared" si="9"/>
        <v>0.04082670751108465</v>
      </c>
      <c r="F67" s="465">
        <f t="shared" si="10"/>
        <v>0.06973612954289829</v>
      </c>
      <c r="G67" s="459">
        <f>D67-'[16]Junijs'!D67</f>
        <v>34028</v>
      </c>
      <c r="H67" s="472" t="s">
        <v>386</v>
      </c>
      <c r="I67" s="473">
        <f aca="true" t="shared" si="15" ref="I67:K68">ROUND(B67/1000,0)</f>
        <v>2296</v>
      </c>
      <c r="J67" s="473">
        <f t="shared" si="15"/>
        <v>1344</v>
      </c>
      <c r="K67" s="473">
        <f t="shared" si="15"/>
        <v>94</v>
      </c>
      <c r="L67" s="81">
        <f t="shared" si="11"/>
        <v>4.094076655052264</v>
      </c>
      <c r="M67" s="81">
        <f t="shared" si="12"/>
        <v>6.9940476190476195</v>
      </c>
      <c r="N67" s="473">
        <f>K67-'[16]Junijs'!K67</f>
        <v>34</v>
      </c>
    </row>
    <row r="68" spans="1:14" ht="12.75">
      <c r="A68" s="472" t="s">
        <v>387</v>
      </c>
      <c r="B68" s="473">
        <v>745059</v>
      </c>
      <c r="C68" s="473">
        <v>306305</v>
      </c>
      <c r="D68" s="473"/>
      <c r="E68" s="465">
        <f t="shared" si="9"/>
        <v>0</v>
      </c>
      <c r="F68" s="465">
        <f t="shared" si="10"/>
        <v>0</v>
      </c>
      <c r="G68" s="459">
        <f>D68-'[16]Junijs'!D68</f>
        <v>0</v>
      </c>
      <c r="H68" s="472" t="s">
        <v>387</v>
      </c>
      <c r="I68" s="473">
        <f t="shared" si="15"/>
        <v>745</v>
      </c>
      <c r="J68" s="473">
        <f t="shared" si="15"/>
        <v>306</v>
      </c>
      <c r="K68" s="473">
        <f t="shared" si="15"/>
        <v>0</v>
      </c>
      <c r="L68" s="81">
        <f t="shared" si="11"/>
        <v>0</v>
      </c>
      <c r="M68" s="81">
        <f t="shared" si="12"/>
        <v>0</v>
      </c>
      <c r="N68" s="473">
        <f>K68-'[16]Junijs'!K68</f>
        <v>0</v>
      </c>
    </row>
    <row r="69" spans="1:14" s="466" customFormat="1" ht="12.75">
      <c r="A69" s="469" t="s">
        <v>390</v>
      </c>
      <c r="B69" s="470">
        <f>SUM(B70:B71)</f>
        <v>352140</v>
      </c>
      <c r="C69" s="470">
        <f>SUM(C70:C71)</f>
        <v>178019</v>
      </c>
      <c r="D69" s="470">
        <f>SUM(D70:D71)</f>
        <v>133242</v>
      </c>
      <c r="E69" s="465">
        <f t="shared" si="9"/>
        <v>0.378377917873573</v>
      </c>
      <c r="F69" s="465">
        <f t="shared" si="10"/>
        <v>0.748470668861189</v>
      </c>
      <c r="G69" s="459">
        <f>D69-'[16]Junijs'!D69</f>
        <v>18859</v>
      </c>
      <c r="H69" s="469" t="s">
        <v>390</v>
      </c>
      <c r="I69" s="470">
        <f>SUM(I70:I71)</f>
        <v>352</v>
      </c>
      <c r="J69" s="470">
        <f>SUM(J70:J71)</f>
        <v>178</v>
      </c>
      <c r="K69" s="470">
        <f>SUM(K70:K71)</f>
        <v>133</v>
      </c>
      <c r="L69" s="471">
        <f t="shared" si="11"/>
        <v>37.784090909090914</v>
      </c>
      <c r="M69" s="471">
        <f t="shared" si="12"/>
        <v>74.71910112359551</v>
      </c>
      <c r="N69" s="470">
        <f>K69-'[16]Junijs'!K69</f>
        <v>19</v>
      </c>
    </row>
    <row r="70" spans="1:14" ht="12.75">
      <c r="A70" s="472" t="s">
        <v>386</v>
      </c>
      <c r="B70" s="473">
        <v>256914</v>
      </c>
      <c r="C70" s="473">
        <v>131728</v>
      </c>
      <c r="D70" s="473">
        <v>109231</v>
      </c>
      <c r="E70" s="465">
        <f t="shared" si="9"/>
        <v>0.4251656196236873</v>
      </c>
      <c r="F70" s="465">
        <f t="shared" si="10"/>
        <v>0.8292162638163488</v>
      </c>
      <c r="G70" s="459">
        <f>D70-'[16]Junijs'!D70</f>
        <v>16030</v>
      </c>
      <c r="H70" s="472" t="s">
        <v>386</v>
      </c>
      <c r="I70" s="473">
        <f aca="true" t="shared" si="16" ref="I70:K71">ROUND(B70/1000,0)</f>
        <v>257</v>
      </c>
      <c r="J70" s="473">
        <f t="shared" si="16"/>
        <v>132</v>
      </c>
      <c r="K70" s="473">
        <f t="shared" si="16"/>
        <v>109</v>
      </c>
      <c r="L70" s="81">
        <f t="shared" si="11"/>
        <v>42.4124513618677</v>
      </c>
      <c r="M70" s="81">
        <f t="shared" si="12"/>
        <v>82.57575757575758</v>
      </c>
      <c r="N70" s="473">
        <f>K70-'[16]Junijs'!K70</f>
        <v>16</v>
      </c>
    </row>
    <row r="71" spans="1:14" ht="12.75">
      <c r="A71" s="472" t="s">
        <v>387</v>
      </c>
      <c r="B71" s="473">
        <v>95226</v>
      </c>
      <c r="C71" s="473">
        <v>46291</v>
      </c>
      <c r="D71" s="473">
        <v>24011</v>
      </c>
      <c r="E71" s="465">
        <f t="shared" si="9"/>
        <v>0.2521475227353874</v>
      </c>
      <c r="F71" s="465">
        <f t="shared" si="10"/>
        <v>0.5186969389298136</v>
      </c>
      <c r="G71" s="459">
        <f>D71-'[16]Junijs'!D71</f>
        <v>2829</v>
      </c>
      <c r="H71" s="472" t="s">
        <v>387</v>
      </c>
      <c r="I71" s="473">
        <f t="shared" si="16"/>
        <v>95</v>
      </c>
      <c r="J71" s="473">
        <f t="shared" si="16"/>
        <v>46</v>
      </c>
      <c r="K71" s="473">
        <f t="shared" si="16"/>
        <v>24</v>
      </c>
      <c r="L71" s="81">
        <f t="shared" si="11"/>
        <v>25.263157894736842</v>
      </c>
      <c r="M71" s="81">
        <f t="shared" si="12"/>
        <v>52.17391304347826</v>
      </c>
      <c r="N71" s="473">
        <f>K71-'[16]Junijs'!K71</f>
        <v>3</v>
      </c>
    </row>
    <row r="72" spans="1:14" s="1" customFormat="1" ht="12">
      <c r="A72" s="74" t="s">
        <v>391</v>
      </c>
      <c r="B72" s="475">
        <f>B73+B76</f>
        <v>2747804</v>
      </c>
      <c r="C72" s="475">
        <f>C73+C76</f>
        <v>1006395</v>
      </c>
      <c r="D72" s="475">
        <f>D73+D76</f>
        <v>600285</v>
      </c>
      <c r="E72" s="474">
        <f aca="true" t="shared" si="17" ref="E72:E100">IF(ISERROR(D72/B72)," ",(D72/B72))</f>
        <v>0.21845990470936064</v>
      </c>
      <c r="F72" s="474">
        <f aca="true" t="shared" si="18" ref="F72:F96">IF(ISERROR(D72/C72)," ",(D72/C72))</f>
        <v>0.5964705707003711</v>
      </c>
      <c r="G72" s="459">
        <f>D72-'[16]Junijs'!D72</f>
        <v>71202</v>
      </c>
      <c r="H72" s="74" t="s">
        <v>391</v>
      </c>
      <c r="I72" s="392">
        <f>I73+I76</f>
        <v>2748</v>
      </c>
      <c r="J72" s="392">
        <f>J73+J76</f>
        <v>1007</v>
      </c>
      <c r="K72" s="392">
        <f>K73+K76</f>
        <v>600</v>
      </c>
      <c r="L72" s="58">
        <f aca="true" t="shared" si="19" ref="L72:L103">IF(ISERROR(ROUND(K72,0)/ROUND(I72,0))," ",(ROUND(K72,)/ROUND(I72,)))*100</f>
        <v>21.83406113537118</v>
      </c>
      <c r="M72" s="58">
        <f t="shared" si="12"/>
        <v>59.58291956305859</v>
      </c>
      <c r="N72" s="392">
        <f>K72-'[16]Junijs'!K72</f>
        <v>71</v>
      </c>
    </row>
    <row r="73" spans="1:14" s="466" customFormat="1" ht="12.75">
      <c r="A73" s="469" t="s">
        <v>389</v>
      </c>
      <c r="B73" s="470">
        <f>SUM(B74:B75)</f>
        <v>2423104</v>
      </c>
      <c r="C73" s="470">
        <f>SUM(C74:C75)</f>
        <v>892942</v>
      </c>
      <c r="D73" s="470">
        <f>SUM(D74:D75)</f>
        <v>520370</v>
      </c>
      <c r="E73" s="465">
        <f t="shared" si="17"/>
        <v>0.21475347323102928</v>
      </c>
      <c r="F73" s="465">
        <f t="shared" si="18"/>
        <v>0.582759014583254</v>
      </c>
      <c r="G73" s="459">
        <f>D73-'[16]Junijs'!D73</f>
        <v>34291</v>
      </c>
      <c r="H73" s="469" t="s">
        <v>389</v>
      </c>
      <c r="I73" s="470">
        <f>SUM(I74:I75)</f>
        <v>2423</v>
      </c>
      <c r="J73" s="470">
        <f>SUM(J74:J75)</f>
        <v>893</v>
      </c>
      <c r="K73" s="470">
        <f>SUM(K74:K75)</f>
        <v>520</v>
      </c>
      <c r="L73" s="471">
        <f t="shared" si="19"/>
        <v>21.460998761865458</v>
      </c>
      <c r="M73" s="471">
        <f t="shared" si="12"/>
        <v>58.23068309070548</v>
      </c>
      <c r="N73" s="470">
        <f>K73-'[16]Junijs'!K73</f>
        <v>34</v>
      </c>
    </row>
    <row r="74" spans="1:14" ht="12.75">
      <c r="A74" s="472" t="s">
        <v>386</v>
      </c>
      <c r="B74" s="473">
        <v>1855604</v>
      </c>
      <c r="C74" s="473">
        <v>452942</v>
      </c>
      <c r="D74" s="473">
        <v>163670</v>
      </c>
      <c r="E74" s="465">
        <f t="shared" si="17"/>
        <v>0.0882030864343901</v>
      </c>
      <c r="F74" s="465">
        <f t="shared" si="18"/>
        <v>0.36134869365172584</v>
      </c>
      <c r="G74" s="459">
        <f>D74-'[16]Junijs'!D74</f>
        <v>34291</v>
      </c>
      <c r="H74" s="472" t="s">
        <v>386</v>
      </c>
      <c r="I74" s="473">
        <f>ROUND(B74/1000,0)</f>
        <v>1856</v>
      </c>
      <c r="J74" s="473">
        <f>ROUND(C74/1000,0)</f>
        <v>453</v>
      </c>
      <c r="K74" s="473">
        <f>ROUND(D74/1000,0)-1</f>
        <v>163</v>
      </c>
      <c r="L74" s="81">
        <f t="shared" si="19"/>
        <v>8.782327586206897</v>
      </c>
      <c r="M74" s="81">
        <f t="shared" si="12"/>
        <v>35.98233995584989</v>
      </c>
      <c r="N74" s="473">
        <f>K74-'[16]Junijs'!K74</f>
        <v>34</v>
      </c>
    </row>
    <row r="75" spans="1:14" ht="12.75">
      <c r="A75" s="472" t="s">
        <v>387</v>
      </c>
      <c r="B75" s="473">
        <v>567500</v>
      </c>
      <c r="C75" s="473">
        <v>440000</v>
      </c>
      <c r="D75" s="473">
        <v>356700</v>
      </c>
      <c r="E75" s="465">
        <f t="shared" si="17"/>
        <v>0.6285462555066079</v>
      </c>
      <c r="F75" s="465">
        <f t="shared" si="18"/>
        <v>0.8106818181818182</v>
      </c>
      <c r="G75" s="459">
        <f>D75-'[16]Junijs'!D75</f>
        <v>0</v>
      </c>
      <c r="H75" s="472" t="s">
        <v>387</v>
      </c>
      <c r="I75" s="473">
        <f>ROUND(B75/1000,0)-1</f>
        <v>567</v>
      </c>
      <c r="J75" s="473">
        <f>ROUND(C75/1000,0)</f>
        <v>440</v>
      </c>
      <c r="K75" s="473">
        <f>ROUND(D75/1000,0)</f>
        <v>357</v>
      </c>
      <c r="L75" s="81">
        <f t="shared" si="19"/>
        <v>62.96296296296296</v>
      </c>
      <c r="M75" s="81">
        <f t="shared" si="12"/>
        <v>81.13636363636364</v>
      </c>
      <c r="N75" s="473">
        <f>K75-'[16]Junijs'!K75</f>
        <v>0</v>
      </c>
    </row>
    <row r="76" spans="1:14" s="466" customFormat="1" ht="12.75">
      <c r="A76" s="469" t="s">
        <v>390</v>
      </c>
      <c r="B76" s="470">
        <f>SUM(B77:B78)</f>
        <v>324700</v>
      </c>
      <c r="C76" s="470">
        <f>SUM(C77:C78)</f>
        <v>113453</v>
      </c>
      <c r="D76" s="470">
        <f>SUM(D77:D78)</f>
        <v>79915</v>
      </c>
      <c r="E76" s="465">
        <f t="shared" si="17"/>
        <v>0.2461194949183862</v>
      </c>
      <c r="F76" s="465">
        <f t="shared" si="18"/>
        <v>0.7043886014472953</v>
      </c>
      <c r="G76" s="459">
        <f>D76-'[16]Junijs'!D76</f>
        <v>36911</v>
      </c>
      <c r="H76" s="469" t="s">
        <v>390</v>
      </c>
      <c r="I76" s="470">
        <f>SUM(I77:I78)</f>
        <v>325</v>
      </c>
      <c r="J76" s="470">
        <f>SUM(J77:J78)</f>
        <v>114</v>
      </c>
      <c r="K76" s="470">
        <f>SUM(K77:K78)</f>
        <v>80</v>
      </c>
      <c r="L76" s="471">
        <f t="shared" si="19"/>
        <v>24.615384615384617</v>
      </c>
      <c r="M76" s="471">
        <f t="shared" si="12"/>
        <v>70.17543859649122</v>
      </c>
      <c r="N76" s="470">
        <f>K76-'[16]Junijs'!K76</f>
        <v>37</v>
      </c>
    </row>
    <row r="77" spans="1:14" ht="12.75">
      <c r="A77" s="472" t="s">
        <v>386</v>
      </c>
      <c r="B77" s="473">
        <v>36700</v>
      </c>
      <c r="C77" s="473">
        <v>19503</v>
      </c>
      <c r="D77" s="473">
        <v>19382</v>
      </c>
      <c r="E77" s="465">
        <f t="shared" si="17"/>
        <v>0.5281198910081744</v>
      </c>
      <c r="F77" s="465">
        <f t="shared" si="18"/>
        <v>0.9937958262831359</v>
      </c>
      <c r="G77" s="459">
        <f>D77-'[16]Junijs'!D77</f>
        <v>3779</v>
      </c>
      <c r="H77" s="472" t="s">
        <v>386</v>
      </c>
      <c r="I77" s="473">
        <f aca="true" t="shared" si="20" ref="I77:K78">ROUND(B77/1000,0)</f>
        <v>37</v>
      </c>
      <c r="J77" s="473">
        <f t="shared" si="20"/>
        <v>20</v>
      </c>
      <c r="K77" s="473">
        <f t="shared" si="20"/>
        <v>19</v>
      </c>
      <c r="L77" s="81">
        <f t="shared" si="19"/>
        <v>51.35135135135135</v>
      </c>
      <c r="M77" s="81">
        <f t="shared" si="12"/>
        <v>95</v>
      </c>
      <c r="N77" s="473">
        <f>K77-'[16]Junijs'!K77</f>
        <v>3</v>
      </c>
    </row>
    <row r="78" spans="1:14" ht="12.75">
      <c r="A78" s="472" t="s">
        <v>387</v>
      </c>
      <c r="B78" s="473">
        <v>288000</v>
      </c>
      <c r="C78" s="473">
        <v>93950</v>
      </c>
      <c r="D78" s="473">
        <v>60533</v>
      </c>
      <c r="E78" s="465">
        <f t="shared" si="17"/>
        <v>0.21018402777777778</v>
      </c>
      <c r="F78" s="465">
        <f t="shared" si="18"/>
        <v>0.6443108036189462</v>
      </c>
      <c r="G78" s="459">
        <f>D78-'[16]Junijs'!D78</f>
        <v>33132</v>
      </c>
      <c r="H78" s="472" t="s">
        <v>387</v>
      </c>
      <c r="I78" s="473">
        <f t="shared" si="20"/>
        <v>288</v>
      </c>
      <c r="J78" s="473">
        <f t="shared" si="20"/>
        <v>94</v>
      </c>
      <c r="K78" s="473">
        <f t="shared" si="20"/>
        <v>61</v>
      </c>
      <c r="L78" s="81">
        <f t="shared" si="19"/>
        <v>21.180555555555554</v>
      </c>
      <c r="M78" s="81">
        <f t="shared" si="12"/>
        <v>64.8936170212766</v>
      </c>
      <c r="N78" s="473">
        <f>K78-'[16]Junijs'!K78</f>
        <v>34</v>
      </c>
    </row>
    <row r="79" spans="1:14" s="1" customFormat="1" ht="24">
      <c r="A79" s="59" t="s">
        <v>392</v>
      </c>
      <c r="B79" s="475">
        <f>B80+B83</f>
        <v>5472458</v>
      </c>
      <c r="C79" s="475">
        <f>C80+C83</f>
        <v>2958660</v>
      </c>
      <c r="D79" s="475">
        <f>D80+D83</f>
        <v>1546605</v>
      </c>
      <c r="E79" s="474">
        <f t="shared" si="17"/>
        <v>0.28261614799053736</v>
      </c>
      <c r="F79" s="474">
        <f t="shared" si="18"/>
        <v>0.5227383342459087</v>
      </c>
      <c r="G79" s="459">
        <f>D79-'[16]Junijs'!D79</f>
        <v>1380</v>
      </c>
      <c r="H79" s="59" t="s">
        <v>392</v>
      </c>
      <c r="I79" s="392">
        <f>I80+I83</f>
        <v>5473</v>
      </c>
      <c r="J79" s="392">
        <f>J80+J83</f>
        <v>2959</v>
      </c>
      <c r="K79" s="392">
        <f>K80+K83</f>
        <v>1547</v>
      </c>
      <c r="L79" s="58">
        <f t="shared" si="19"/>
        <v>28.26603325415677</v>
      </c>
      <c r="M79" s="58">
        <f t="shared" si="12"/>
        <v>52.28117607299764</v>
      </c>
      <c r="N79" s="392">
        <f>K79-'[16]Junijs'!K79</f>
        <v>2</v>
      </c>
    </row>
    <row r="80" spans="1:14" s="466" customFormat="1" ht="12.75">
      <c r="A80" s="469" t="s">
        <v>389</v>
      </c>
      <c r="B80" s="470">
        <f>SUM(B81:B82)</f>
        <v>5222458</v>
      </c>
      <c r="C80" s="470">
        <f>SUM(C81:C82)</f>
        <v>2918660</v>
      </c>
      <c r="D80" s="470">
        <f>SUM(D81:D82)</f>
        <v>1545225</v>
      </c>
      <c r="E80" s="465">
        <f t="shared" si="17"/>
        <v>0.295880790233258</v>
      </c>
      <c r="F80" s="465">
        <f t="shared" si="18"/>
        <v>0.5294296012553706</v>
      </c>
      <c r="G80" s="459">
        <f>D80-'[16]Junijs'!D80</f>
        <v>0</v>
      </c>
      <c r="H80" s="469" t="s">
        <v>389</v>
      </c>
      <c r="I80" s="470">
        <f>SUM(I81:I82)</f>
        <v>5223</v>
      </c>
      <c r="J80" s="470">
        <f>SUM(J81:J82)</f>
        <v>2919</v>
      </c>
      <c r="K80" s="470">
        <f>SUM(K81:K82)</f>
        <v>1546</v>
      </c>
      <c r="L80" s="471">
        <f t="shared" si="19"/>
        <v>29.599846831322996</v>
      </c>
      <c r="M80" s="471">
        <f t="shared" si="12"/>
        <v>52.96334361082563</v>
      </c>
      <c r="N80" s="470">
        <f>K80-'[16]Junijs'!K80</f>
        <v>1</v>
      </c>
    </row>
    <row r="81" spans="1:14" ht="12.75">
      <c r="A81" s="472" t="s">
        <v>386</v>
      </c>
      <c r="B81" s="473">
        <v>20600</v>
      </c>
      <c r="C81" s="473">
        <v>20600</v>
      </c>
      <c r="D81" s="473">
        <v>4637</v>
      </c>
      <c r="E81" s="465">
        <f t="shared" si="17"/>
        <v>0.2250970873786408</v>
      </c>
      <c r="F81" s="465">
        <f t="shared" si="18"/>
        <v>0.2250970873786408</v>
      </c>
      <c r="G81" s="459">
        <f>D81-'[16]Junijs'!D81</f>
        <v>0</v>
      </c>
      <c r="H81" s="472" t="s">
        <v>386</v>
      </c>
      <c r="I81" s="473">
        <f aca="true" t="shared" si="21" ref="I81:K82">ROUND(B81/1000,0)</f>
        <v>21</v>
      </c>
      <c r="J81" s="473">
        <f t="shared" si="21"/>
        <v>21</v>
      </c>
      <c r="K81" s="473">
        <f t="shared" si="21"/>
        <v>5</v>
      </c>
      <c r="L81" s="81">
        <f t="shared" si="19"/>
        <v>23.809523809523807</v>
      </c>
      <c r="M81" s="81">
        <f t="shared" si="12"/>
        <v>23.809523809523807</v>
      </c>
      <c r="N81" s="473">
        <f>K81-'[16]Junijs'!K81</f>
        <v>0</v>
      </c>
    </row>
    <row r="82" spans="1:14" ht="12.75">
      <c r="A82" s="476" t="s">
        <v>387</v>
      </c>
      <c r="B82" s="473">
        <v>5201858</v>
      </c>
      <c r="C82" s="473">
        <v>2898060</v>
      </c>
      <c r="D82" s="473">
        <v>1540588</v>
      </c>
      <c r="E82" s="465">
        <f t="shared" si="17"/>
        <v>0.29616110243686006</v>
      </c>
      <c r="F82" s="465">
        <f t="shared" si="18"/>
        <v>0.531592858670973</v>
      </c>
      <c r="G82" s="459">
        <f>D82-'[16]Junijs'!D82</f>
        <v>0</v>
      </c>
      <c r="H82" s="476" t="s">
        <v>387</v>
      </c>
      <c r="I82" s="473">
        <f t="shared" si="21"/>
        <v>5202</v>
      </c>
      <c r="J82" s="473">
        <f t="shared" si="21"/>
        <v>2898</v>
      </c>
      <c r="K82" s="473">
        <f t="shared" si="21"/>
        <v>1541</v>
      </c>
      <c r="L82" s="81">
        <f t="shared" si="19"/>
        <v>29.62322183775471</v>
      </c>
      <c r="M82" s="81">
        <f t="shared" si="12"/>
        <v>53.17460317460318</v>
      </c>
      <c r="N82" s="473">
        <f>K82-'[16]Junijs'!K82</f>
        <v>1</v>
      </c>
    </row>
    <row r="83" spans="1:14" s="466" customFormat="1" ht="12.75">
      <c r="A83" s="469" t="s">
        <v>390</v>
      </c>
      <c r="B83" s="470">
        <f>SUM(B84:B85)</f>
        <v>250000</v>
      </c>
      <c r="C83" s="470">
        <f>SUM(C84:C85)</f>
        <v>40000</v>
      </c>
      <c r="D83" s="470">
        <f>SUM(D84:D85)</f>
        <v>1380</v>
      </c>
      <c r="E83" s="465">
        <f t="shared" si="17"/>
        <v>0.00552</v>
      </c>
      <c r="F83" s="465">
        <f t="shared" si="18"/>
        <v>0.0345</v>
      </c>
      <c r="G83" s="459">
        <f>D83-'[16]Junijs'!D83</f>
        <v>1380</v>
      </c>
      <c r="H83" s="469" t="s">
        <v>390</v>
      </c>
      <c r="I83" s="470">
        <f>SUM(I84:I85)</f>
        <v>250</v>
      </c>
      <c r="J83" s="470">
        <f>SUM(J84:J85)</f>
        <v>40</v>
      </c>
      <c r="K83" s="470">
        <f>SUM(K84:K85)</f>
        <v>1</v>
      </c>
      <c r="L83" s="471">
        <f t="shared" si="19"/>
        <v>0.4</v>
      </c>
      <c r="M83" s="471"/>
      <c r="N83" s="470">
        <f>K83-'[16]Junijs'!K83</f>
        <v>1</v>
      </c>
    </row>
    <row r="84" spans="1:14" ht="12.75" hidden="1">
      <c r="A84" s="472" t="s">
        <v>386</v>
      </c>
      <c r="B84" s="473"/>
      <c r="C84" s="470"/>
      <c r="D84" s="470"/>
      <c r="E84" s="465" t="str">
        <f t="shared" si="17"/>
        <v> </v>
      </c>
      <c r="F84" s="465" t="str">
        <f t="shared" si="18"/>
        <v> </v>
      </c>
      <c r="G84" s="459">
        <f>D84-'[16]Junijs'!D84</f>
        <v>0</v>
      </c>
      <c r="H84" s="472" t="s">
        <v>386</v>
      </c>
      <c r="I84" s="473">
        <f>ROUND(B84/1000,0)</f>
        <v>0</v>
      </c>
      <c r="J84" s="473">
        <f>ROUND(C84/1000,0)</f>
        <v>0</v>
      </c>
      <c r="K84" s="473"/>
      <c r="L84" s="81" t="e">
        <f t="shared" si="19"/>
        <v>#VALUE!</v>
      </c>
      <c r="M84" s="81"/>
      <c r="N84" s="470">
        <f>K84-'[16]Junijs'!K84</f>
        <v>0</v>
      </c>
    </row>
    <row r="85" spans="1:14" ht="12.75">
      <c r="A85" s="472" t="s">
        <v>387</v>
      </c>
      <c r="B85" s="473">
        <v>250000</v>
      </c>
      <c r="C85" s="473">
        <v>40000</v>
      </c>
      <c r="D85" s="473">
        <v>1380</v>
      </c>
      <c r="E85" s="465">
        <f t="shared" si="17"/>
        <v>0.00552</v>
      </c>
      <c r="F85" s="465">
        <f t="shared" si="18"/>
        <v>0.0345</v>
      </c>
      <c r="G85" s="459">
        <f>D85-'[16]Junijs'!D85</f>
        <v>1380</v>
      </c>
      <c r="H85" s="472" t="s">
        <v>387</v>
      </c>
      <c r="I85" s="473">
        <f>ROUND(B85/1000,0)</f>
        <v>250</v>
      </c>
      <c r="J85" s="473">
        <f>ROUND(C85/1000,0)</f>
        <v>40</v>
      </c>
      <c r="K85" s="473">
        <f>ROUND(D85/1000,0)</f>
        <v>1</v>
      </c>
      <c r="L85" s="81">
        <f t="shared" si="19"/>
        <v>0.4</v>
      </c>
      <c r="M85" s="81"/>
      <c r="N85" s="473">
        <f>K85-'[16]Junijs'!K85</f>
        <v>1</v>
      </c>
    </row>
    <row r="86" spans="1:14" s="1" customFormat="1" ht="12">
      <c r="A86" s="477" t="s">
        <v>86</v>
      </c>
      <c r="B86" s="475">
        <f>B87+B89</f>
        <v>288293</v>
      </c>
      <c r="C86" s="475">
        <f>C87+C89</f>
        <v>274423</v>
      </c>
      <c r="D86" s="475">
        <f>D87+D89</f>
        <v>69653</v>
      </c>
      <c r="E86" s="474">
        <f t="shared" si="17"/>
        <v>0.24160489501999702</v>
      </c>
      <c r="F86" s="474">
        <f t="shared" si="18"/>
        <v>0.2538161888762968</v>
      </c>
      <c r="G86" s="459">
        <f>D86-'[16]Junijs'!D86</f>
        <v>0</v>
      </c>
      <c r="H86" s="477" t="s">
        <v>86</v>
      </c>
      <c r="I86" s="392">
        <f>I87+I89</f>
        <v>288</v>
      </c>
      <c r="J86" s="392">
        <f>J87+J89</f>
        <v>274</v>
      </c>
      <c r="K86" s="392">
        <f>K87+K89</f>
        <v>70</v>
      </c>
      <c r="L86" s="58">
        <f t="shared" si="19"/>
        <v>24.305555555555554</v>
      </c>
      <c r="M86" s="58">
        <f aca="true" t="shared" si="22" ref="M86:M91">IF(ISERROR(ROUND(K86,0)/ROUND(J86,0))," ",(ROUND(K86,)/ROUND(J86,)))*100</f>
        <v>25.547445255474454</v>
      </c>
      <c r="N86" s="392">
        <f>K86-'[16]Junijs'!K86</f>
        <v>0</v>
      </c>
    </row>
    <row r="87" spans="1:14" s="466" customFormat="1" ht="12.75">
      <c r="A87" s="469" t="s">
        <v>389</v>
      </c>
      <c r="B87" s="470">
        <f>B88</f>
        <v>261393</v>
      </c>
      <c r="C87" s="470">
        <f>C88</f>
        <v>261393</v>
      </c>
      <c r="D87" s="470">
        <f>D88</f>
        <v>69653</v>
      </c>
      <c r="E87" s="465">
        <f t="shared" si="17"/>
        <v>0.26646849762617975</v>
      </c>
      <c r="F87" s="465">
        <f t="shared" si="18"/>
        <v>0.26646849762617975</v>
      </c>
      <c r="G87" s="459">
        <f>D87-'[16]Junijs'!D87</f>
        <v>0</v>
      </c>
      <c r="H87" s="469" t="s">
        <v>389</v>
      </c>
      <c r="I87" s="470">
        <f>I88</f>
        <v>261</v>
      </c>
      <c r="J87" s="470">
        <f>J88</f>
        <v>261</v>
      </c>
      <c r="K87" s="470">
        <f>K88</f>
        <v>70</v>
      </c>
      <c r="L87" s="471">
        <f t="shared" si="19"/>
        <v>26.81992337164751</v>
      </c>
      <c r="M87" s="471">
        <f t="shared" si="22"/>
        <v>26.81992337164751</v>
      </c>
      <c r="N87" s="470">
        <f>K87-'[16]Junijs'!K87</f>
        <v>0</v>
      </c>
    </row>
    <row r="88" spans="1:14" ht="12.75">
      <c r="A88" s="472" t="s">
        <v>386</v>
      </c>
      <c r="B88" s="473">
        <v>261393</v>
      </c>
      <c r="C88" s="473">
        <v>261393</v>
      </c>
      <c r="D88" s="473">
        <v>69653</v>
      </c>
      <c r="E88" s="465">
        <f t="shared" si="17"/>
        <v>0.26646849762617975</v>
      </c>
      <c r="F88" s="465">
        <f t="shared" si="18"/>
        <v>0.26646849762617975</v>
      </c>
      <c r="G88" s="459">
        <f>D88-'[16]Junijs'!D88</f>
        <v>0</v>
      </c>
      <c r="H88" s="472" t="s">
        <v>386</v>
      </c>
      <c r="I88" s="473">
        <f>ROUND(B88/1000,0)</f>
        <v>261</v>
      </c>
      <c r="J88" s="473">
        <f>ROUND(C88/1000,0)</f>
        <v>261</v>
      </c>
      <c r="K88" s="473">
        <f>ROUND(D88/1000,0)</f>
        <v>70</v>
      </c>
      <c r="L88" s="81">
        <f t="shared" si="19"/>
        <v>26.81992337164751</v>
      </c>
      <c r="M88" s="81">
        <f t="shared" si="22"/>
        <v>26.81992337164751</v>
      </c>
      <c r="N88" s="473">
        <f>K88-'[16]Junijs'!K88</f>
        <v>0</v>
      </c>
    </row>
    <row r="89" spans="1:14" s="466" customFormat="1" ht="12.75">
      <c r="A89" s="469" t="s">
        <v>390</v>
      </c>
      <c r="B89" s="470">
        <f>B90</f>
        <v>26900</v>
      </c>
      <c r="C89" s="470">
        <f>C90</f>
        <v>13030</v>
      </c>
      <c r="D89" s="470">
        <f>D90</f>
        <v>0</v>
      </c>
      <c r="E89" s="465">
        <f t="shared" si="17"/>
        <v>0</v>
      </c>
      <c r="F89" s="465">
        <f t="shared" si="18"/>
        <v>0</v>
      </c>
      <c r="G89" s="459">
        <f>D89-'[16]Junijs'!D89</f>
        <v>0</v>
      </c>
      <c r="H89" s="469" t="s">
        <v>390</v>
      </c>
      <c r="I89" s="470">
        <f>I90</f>
        <v>27</v>
      </c>
      <c r="J89" s="470">
        <f>J90</f>
        <v>13</v>
      </c>
      <c r="K89" s="470">
        <f>K90</f>
        <v>0</v>
      </c>
      <c r="L89" s="471">
        <f t="shared" si="19"/>
        <v>0</v>
      </c>
      <c r="M89" s="471">
        <f t="shared" si="22"/>
        <v>0</v>
      </c>
      <c r="N89" s="470">
        <f>K89-'[16]Junijs'!K89</f>
        <v>0</v>
      </c>
    </row>
    <row r="90" spans="1:14" ht="12.75">
      <c r="A90" s="472" t="s">
        <v>386</v>
      </c>
      <c r="B90" s="473">
        <v>26900</v>
      </c>
      <c r="C90" s="473">
        <v>13030</v>
      </c>
      <c r="D90" s="473"/>
      <c r="E90" s="465">
        <f t="shared" si="17"/>
        <v>0</v>
      </c>
      <c r="F90" s="465">
        <f t="shared" si="18"/>
        <v>0</v>
      </c>
      <c r="G90" s="459">
        <f>D90-'[16]Junijs'!D90</f>
        <v>0</v>
      </c>
      <c r="H90" s="472" t="s">
        <v>386</v>
      </c>
      <c r="I90" s="473">
        <f>ROUND(B90/1000,0)</f>
        <v>27</v>
      </c>
      <c r="J90" s="473">
        <f>ROUND(C90/1000,0)</f>
        <v>13</v>
      </c>
      <c r="K90" s="473">
        <f>ROUND(D90/1000,0)</f>
        <v>0</v>
      </c>
      <c r="L90" s="81">
        <f t="shared" si="19"/>
        <v>0</v>
      </c>
      <c r="M90" s="81">
        <f t="shared" si="22"/>
        <v>0</v>
      </c>
      <c r="N90" s="473">
        <f>K90-'[16]Junijs'!K90</f>
        <v>0</v>
      </c>
    </row>
    <row r="91" spans="1:14" s="1" customFormat="1" ht="12">
      <c r="A91" s="477" t="s">
        <v>90</v>
      </c>
      <c r="B91" s="475">
        <f>B92+B95</f>
        <v>330250</v>
      </c>
      <c r="C91" s="475">
        <f>C92+C95</f>
        <v>20000</v>
      </c>
      <c r="D91" s="475">
        <f>D92+D95</f>
        <v>16683</v>
      </c>
      <c r="E91" s="465">
        <f t="shared" si="17"/>
        <v>0.05051627554882664</v>
      </c>
      <c r="F91" s="465">
        <f t="shared" si="18"/>
        <v>0.83415</v>
      </c>
      <c r="G91" s="459">
        <f>D91-'[16]Junijs'!D91</f>
        <v>0</v>
      </c>
      <c r="H91" s="477" t="s">
        <v>90</v>
      </c>
      <c r="I91" s="392">
        <f>I92+I95</f>
        <v>331</v>
      </c>
      <c r="J91" s="392">
        <f>J92+J95</f>
        <v>20</v>
      </c>
      <c r="K91" s="392">
        <f>K92+K95</f>
        <v>17</v>
      </c>
      <c r="L91" s="58">
        <f t="shared" si="19"/>
        <v>5.13595166163142</v>
      </c>
      <c r="M91" s="58">
        <f t="shared" si="22"/>
        <v>85</v>
      </c>
      <c r="N91" s="392">
        <f>K91-'[16]Junijs'!K91</f>
        <v>0</v>
      </c>
    </row>
    <row r="92" spans="1:14" s="466" customFormat="1" ht="12.75">
      <c r="A92" s="469" t="s">
        <v>389</v>
      </c>
      <c r="B92" s="470">
        <f>SUM(B93:B94)</f>
        <v>280250</v>
      </c>
      <c r="C92" s="470">
        <f>SUM(C93:C94)</f>
        <v>0</v>
      </c>
      <c r="D92" s="470">
        <f>SUM(D93:D94)</f>
        <v>0</v>
      </c>
      <c r="E92" s="465">
        <f t="shared" si="17"/>
        <v>0</v>
      </c>
      <c r="F92" s="465" t="str">
        <f t="shared" si="18"/>
        <v> </v>
      </c>
      <c r="G92" s="459">
        <f>D92-'[16]Junijs'!D92</f>
        <v>0</v>
      </c>
      <c r="H92" s="469" t="s">
        <v>389</v>
      </c>
      <c r="I92" s="470">
        <f>I93+I94</f>
        <v>281</v>
      </c>
      <c r="J92" s="470">
        <f>J93+J94</f>
        <v>0</v>
      </c>
      <c r="K92" s="470">
        <f>K93+K94</f>
        <v>0</v>
      </c>
      <c r="L92" s="471">
        <f t="shared" si="19"/>
        <v>0</v>
      </c>
      <c r="M92" s="81"/>
      <c r="N92" s="470">
        <f>K92-'[16]Junijs'!K92</f>
        <v>0</v>
      </c>
    </row>
    <row r="93" spans="1:14" ht="12.75">
      <c r="A93" s="472" t="s">
        <v>386</v>
      </c>
      <c r="B93" s="473">
        <v>191750</v>
      </c>
      <c r="C93" s="473"/>
      <c r="D93" s="473"/>
      <c r="E93" s="465">
        <f t="shared" si="17"/>
        <v>0</v>
      </c>
      <c r="F93" s="465" t="str">
        <f t="shared" si="18"/>
        <v> </v>
      </c>
      <c r="G93" s="459">
        <f>D93-'[16]Junijs'!D93</f>
        <v>0</v>
      </c>
      <c r="H93" s="472" t="s">
        <v>386</v>
      </c>
      <c r="I93" s="473">
        <f aca="true" t="shared" si="23" ref="I93:K94">ROUND(B93/1000,0)</f>
        <v>192</v>
      </c>
      <c r="J93" s="473">
        <f t="shared" si="23"/>
        <v>0</v>
      </c>
      <c r="K93" s="473">
        <f t="shared" si="23"/>
        <v>0</v>
      </c>
      <c r="L93" s="81">
        <f t="shared" si="19"/>
        <v>0</v>
      </c>
      <c r="M93" s="81"/>
      <c r="N93" s="473">
        <f>K93-'[16]Junijs'!K93</f>
        <v>0</v>
      </c>
    </row>
    <row r="94" spans="1:14" ht="12.75">
      <c r="A94" s="472" t="s">
        <v>387</v>
      </c>
      <c r="B94" s="473">
        <v>88500</v>
      </c>
      <c r="C94" s="473"/>
      <c r="D94" s="473"/>
      <c r="E94" s="465">
        <f t="shared" si="17"/>
        <v>0</v>
      </c>
      <c r="F94" s="465" t="str">
        <f t="shared" si="18"/>
        <v> </v>
      </c>
      <c r="G94" s="459">
        <f>D94-'[16]Junijs'!D94</f>
        <v>0</v>
      </c>
      <c r="H94" s="472" t="s">
        <v>387</v>
      </c>
      <c r="I94" s="473">
        <f t="shared" si="23"/>
        <v>89</v>
      </c>
      <c r="J94" s="473">
        <f t="shared" si="23"/>
        <v>0</v>
      </c>
      <c r="K94" s="473">
        <f t="shared" si="23"/>
        <v>0</v>
      </c>
      <c r="L94" s="81">
        <f t="shared" si="19"/>
        <v>0</v>
      </c>
      <c r="M94" s="81"/>
      <c r="N94" s="473">
        <f>K94-'[16]Junijs'!K94</f>
        <v>0</v>
      </c>
    </row>
    <row r="95" spans="1:14" s="466" customFormat="1" ht="12.75">
      <c r="A95" s="469" t="s">
        <v>390</v>
      </c>
      <c r="B95" s="470">
        <f>SUM(B96:B97)</f>
        <v>50000</v>
      </c>
      <c r="C95" s="470">
        <f>SUM(C96:C97)</f>
        <v>20000</v>
      </c>
      <c r="D95" s="470">
        <f>SUM(D96:D97)</f>
        <v>16683</v>
      </c>
      <c r="E95" s="465">
        <f t="shared" si="17"/>
        <v>0.33366</v>
      </c>
      <c r="F95" s="465">
        <f t="shared" si="18"/>
        <v>0.83415</v>
      </c>
      <c r="G95" s="459">
        <f>D95-'[16]Junijs'!D95</f>
        <v>0</v>
      </c>
      <c r="H95" s="469" t="s">
        <v>390</v>
      </c>
      <c r="I95" s="470">
        <f>I96+I97</f>
        <v>50</v>
      </c>
      <c r="J95" s="470">
        <f>J96+J97</f>
        <v>20</v>
      </c>
      <c r="K95" s="470">
        <f>K96+K97</f>
        <v>17</v>
      </c>
      <c r="L95" s="471">
        <f t="shared" si="19"/>
        <v>34</v>
      </c>
      <c r="M95" s="471">
        <f aca="true" t="shared" si="24" ref="M95:M100">IF(ISERROR(ROUND(K95,0)/ROUND(J95,0))," ",(ROUND(K95,)/ROUND(J95,)))*100</f>
        <v>85</v>
      </c>
      <c r="N95" s="470">
        <f>K95-'[16]Junijs'!K95</f>
        <v>0</v>
      </c>
    </row>
    <row r="96" spans="1:14" ht="12.75">
      <c r="A96" s="472" t="s">
        <v>386</v>
      </c>
      <c r="B96" s="473">
        <v>10000</v>
      </c>
      <c r="C96" s="473">
        <v>10000</v>
      </c>
      <c r="D96" s="473">
        <v>10000</v>
      </c>
      <c r="E96" s="465">
        <f t="shared" si="17"/>
        <v>1</v>
      </c>
      <c r="F96" s="465">
        <f t="shared" si="18"/>
        <v>1</v>
      </c>
      <c r="G96" s="459">
        <f>D96-'[16]Junijs'!D96</f>
        <v>0</v>
      </c>
      <c r="H96" s="472" t="s">
        <v>386</v>
      </c>
      <c r="I96" s="473">
        <f aca="true" t="shared" si="25" ref="I96:K97">ROUND(B96/1000,0)</f>
        <v>10</v>
      </c>
      <c r="J96" s="473">
        <f t="shared" si="25"/>
        <v>10</v>
      </c>
      <c r="K96" s="473">
        <f t="shared" si="25"/>
        <v>10</v>
      </c>
      <c r="L96" s="81">
        <f t="shared" si="19"/>
        <v>100</v>
      </c>
      <c r="M96" s="81">
        <f t="shared" si="24"/>
        <v>100</v>
      </c>
      <c r="N96" s="473">
        <f>K96-'[16]Junijs'!K96</f>
        <v>0</v>
      </c>
    </row>
    <row r="97" spans="1:14" ht="12.75">
      <c r="A97" s="472" t="s">
        <v>387</v>
      </c>
      <c r="B97" s="478">
        <v>40000</v>
      </c>
      <c r="C97" s="478">
        <v>10000</v>
      </c>
      <c r="D97" s="478">
        <v>6683</v>
      </c>
      <c r="E97" s="465">
        <f t="shared" si="17"/>
        <v>0.167075</v>
      </c>
      <c r="F97" s="465"/>
      <c r="G97" s="459">
        <f>D97-'[16]Junijs'!D97</f>
        <v>0</v>
      </c>
      <c r="H97" s="472" t="s">
        <v>387</v>
      </c>
      <c r="I97" s="473">
        <f t="shared" si="25"/>
        <v>40</v>
      </c>
      <c r="J97" s="473">
        <f t="shared" si="25"/>
        <v>10</v>
      </c>
      <c r="K97" s="473">
        <f t="shared" si="25"/>
        <v>7</v>
      </c>
      <c r="L97" s="81">
        <f t="shared" si="19"/>
        <v>17.5</v>
      </c>
      <c r="M97" s="81">
        <f t="shared" si="24"/>
        <v>70</v>
      </c>
      <c r="N97" s="473">
        <f>K97-'[16]Junijs'!K97</f>
        <v>0</v>
      </c>
    </row>
    <row r="98" spans="1:14" s="1" customFormat="1" ht="36">
      <c r="A98" s="477" t="s">
        <v>107</v>
      </c>
      <c r="B98" s="475">
        <f>B99+B102</f>
        <v>4017347</v>
      </c>
      <c r="C98" s="475">
        <f>C99+C102</f>
        <v>1584594</v>
      </c>
      <c r="D98" s="475">
        <f>D99+D102</f>
        <v>561763</v>
      </c>
      <c r="E98" s="474">
        <f t="shared" si="17"/>
        <v>0.1398343234975719</v>
      </c>
      <c r="F98" s="474">
        <f>IF(ISERROR(D98/C98)," ",(D98/C98))</f>
        <v>0.35451541530511915</v>
      </c>
      <c r="G98" s="459">
        <f>D98-'[16]Junijs'!D98</f>
        <v>18064</v>
      </c>
      <c r="H98" s="477" t="s">
        <v>107</v>
      </c>
      <c r="I98" s="392">
        <f>I99+I102</f>
        <v>4017</v>
      </c>
      <c r="J98" s="392">
        <f>J99+J102</f>
        <v>1584</v>
      </c>
      <c r="K98" s="392">
        <f>K99+K102</f>
        <v>562</v>
      </c>
      <c r="L98" s="58">
        <f t="shared" si="19"/>
        <v>13.990540204132436</v>
      </c>
      <c r="M98" s="58">
        <f t="shared" si="24"/>
        <v>35.47979797979798</v>
      </c>
      <c r="N98" s="392">
        <f>K98-'[16]Junijs'!K98</f>
        <v>18</v>
      </c>
    </row>
    <row r="99" spans="1:14" s="466" customFormat="1" ht="12.75">
      <c r="A99" s="469" t="s">
        <v>389</v>
      </c>
      <c r="B99" s="470">
        <f>SUM(B100:B101)</f>
        <v>3547857</v>
      </c>
      <c r="C99" s="470">
        <f>SUM(C100:C101)</f>
        <v>1408157</v>
      </c>
      <c r="D99" s="470">
        <f>SUM(D100:D101)</f>
        <v>491108</v>
      </c>
      <c r="E99" s="474">
        <f t="shared" si="17"/>
        <v>0.13842384290009435</v>
      </c>
      <c r="F99" s="474">
        <f>IF(ISERROR(D99/C99)," ",(D99/C99))</f>
        <v>0.34875940679909984</v>
      </c>
      <c r="G99" s="459">
        <f>D99-'[16]Junijs'!D99</f>
        <v>10225</v>
      </c>
      <c r="H99" s="469" t="s">
        <v>389</v>
      </c>
      <c r="I99" s="470">
        <f>SUM(I100:I101)</f>
        <v>3548</v>
      </c>
      <c r="J99" s="470">
        <f>SUM(J100:J101)</f>
        <v>1408</v>
      </c>
      <c r="K99" s="470">
        <f>SUM(K100:K101)</f>
        <v>491</v>
      </c>
      <c r="L99" s="471">
        <f t="shared" si="19"/>
        <v>13.838782412626832</v>
      </c>
      <c r="M99" s="471">
        <f t="shared" si="24"/>
        <v>34.872159090909086</v>
      </c>
      <c r="N99" s="470">
        <f>K99-'[16]Junijs'!K99</f>
        <v>10</v>
      </c>
    </row>
    <row r="100" spans="1:14" ht="12.75">
      <c r="A100" s="472" t="s">
        <v>386</v>
      </c>
      <c r="B100" s="473">
        <v>2323607</v>
      </c>
      <c r="C100" s="473">
        <v>1408157</v>
      </c>
      <c r="D100" s="473">
        <v>491108</v>
      </c>
      <c r="E100" s="474">
        <f t="shared" si="17"/>
        <v>0.21135587902773575</v>
      </c>
      <c r="F100" s="474">
        <f>IF(ISERROR(D100/C100)," ",(D100/C100))</f>
        <v>0.34875940679909984</v>
      </c>
      <c r="G100" s="459">
        <f>D100-'[16]Junijs'!D100</f>
        <v>10225</v>
      </c>
      <c r="H100" s="472" t="s">
        <v>386</v>
      </c>
      <c r="I100" s="473">
        <f aca="true" t="shared" si="26" ref="I100:K101">ROUND(B100/1000,0)</f>
        <v>2324</v>
      </c>
      <c r="J100" s="473">
        <f t="shared" si="26"/>
        <v>1408</v>
      </c>
      <c r="K100" s="473">
        <f t="shared" si="26"/>
        <v>491</v>
      </c>
      <c r="L100" s="81">
        <f t="shared" si="19"/>
        <v>21.12736660929432</v>
      </c>
      <c r="M100" s="81">
        <f t="shared" si="24"/>
        <v>34.872159090909086</v>
      </c>
      <c r="N100" s="473">
        <f>K100-'[16]Junijs'!K100</f>
        <v>10</v>
      </c>
    </row>
    <row r="101" spans="1:14" ht="12.75">
      <c r="A101" s="472" t="s">
        <v>387</v>
      </c>
      <c r="B101" s="478">
        <v>1224250</v>
      </c>
      <c r="C101" s="478"/>
      <c r="D101" s="478"/>
      <c r="E101" s="465"/>
      <c r="F101" s="465"/>
      <c r="G101" s="459">
        <f>D101-'[16]Junijs'!D101</f>
        <v>0</v>
      </c>
      <c r="H101" s="472" t="s">
        <v>387</v>
      </c>
      <c r="I101" s="473">
        <f t="shared" si="26"/>
        <v>1224</v>
      </c>
      <c r="J101" s="473">
        <f t="shared" si="26"/>
        <v>0</v>
      </c>
      <c r="K101" s="473">
        <f t="shared" si="26"/>
        <v>0</v>
      </c>
      <c r="L101" s="81">
        <f t="shared" si="19"/>
        <v>0</v>
      </c>
      <c r="M101" s="81"/>
      <c r="N101" s="473">
        <f>K101-'[16]Junijs'!K101</f>
        <v>0</v>
      </c>
    </row>
    <row r="102" spans="1:14" s="466" customFormat="1" ht="12.75">
      <c r="A102" s="469" t="s">
        <v>390</v>
      </c>
      <c r="B102" s="470">
        <f>B103</f>
        <v>469490</v>
      </c>
      <c r="C102" s="470">
        <f>C103</f>
        <v>176437</v>
      </c>
      <c r="D102" s="470">
        <f>D103</f>
        <v>70655</v>
      </c>
      <c r="E102" s="465">
        <f aca="true" t="shared" si="27" ref="E102:E125">IF(ISERROR(D102/B102)," ",(D102/B102))</f>
        <v>0.15049308824469104</v>
      </c>
      <c r="F102" s="465">
        <f aca="true" t="shared" si="28" ref="F102:F107">IF(ISERROR(D102/C102)," ",(D102/C102))</f>
        <v>0.4004545531832892</v>
      </c>
      <c r="G102" s="459">
        <f>D102-'[16]Junijs'!D102</f>
        <v>7839</v>
      </c>
      <c r="H102" s="469" t="s">
        <v>390</v>
      </c>
      <c r="I102" s="470">
        <f>I103</f>
        <v>469</v>
      </c>
      <c r="J102" s="470">
        <f>J103</f>
        <v>176</v>
      </c>
      <c r="K102" s="470">
        <f>K103</f>
        <v>71</v>
      </c>
      <c r="L102" s="471">
        <f t="shared" si="19"/>
        <v>15.13859275053305</v>
      </c>
      <c r="M102" s="471">
        <f>IF(ISERROR(ROUND(K102,0)/ROUND(J102,0))," ",(ROUND(K102,)/ROUND(J102,)))*100</f>
        <v>40.340909090909086</v>
      </c>
      <c r="N102" s="470">
        <f>K102-'[16]Junijs'!K102</f>
        <v>8</v>
      </c>
    </row>
    <row r="103" spans="1:14" ht="12.75">
      <c r="A103" s="472" t="s">
        <v>386</v>
      </c>
      <c r="B103" s="473">
        <v>469490</v>
      </c>
      <c r="C103" s="473">
        <v>176437</v>
      </c>
      <c r="D103" s="473">
        <v>70655</v>
      </c>
      <c r="E103" s="465">
        <f t="shared" si="27"/>
        <v>0.15049308824469104</v>
      </c>
      <c r="F103" s="465">
        <f t="shared" si="28"/>
        <v>0.4004545531832892</v>
      </c>
      <c r="G103" s="459">
        <f>D103-'[16]Junijs'!D103</f>
        <v>7839</v>
      </c>
      <c r="H103" s="472" t="s">
        <v>386</v>
      </c>
      <c r="I103" s="473">
        <f>ROUND(B103/1000,0)</f>
        <v>469</v>
      </c>
      <c r="J103" s="473">
        <f>ROUND(C103/1000,0)</f>
        <v>176</v>
      </c>
      <c r="K103" s="473">
        <f>ROUND(D103/1000,0)</f>
        <v>71</v>
      </c>
      <c r="L103" s="81">
        <f t="shared" si="19"/>
        <v>15.13859275053305</v>
      </c>
      <c r="M103" s="81">
        <f>IF(ISERROR(ROUND(K103,0)/ROUND(J103,0))," ",(ROUND(K103,)/ROUND(J103,)))*100</f>
        <v>40.340909090909086</v>
      </c>
      <c r="N103" s="473">
        <f>K103-'[16]Junijs'!K103</f>
        <v>8</v>
      </c>
    </row>
    <row r="104" spans="1:14" s="1" customFormat="1" ht="24">
      <c r="A104" s="477" t="s">
        <v>393</v>
      </c>
      <c r="B104" s="392">
        <f>B105+B107</f>
        <v>1091245</v>
      </c>
      <c r="C104" s="392">
        <f>C105+C107</f>
        <v>951120</v>
      </c>
      <c r="D104" s="392">
        <f>D105+D107</f>
        <v>305546</v>
      </c>
      <c r="E104" s="465">
        <f t="shared" si="27"/>
        <v>0.2799976174003088</v>
      </c>
      <c r="F104" s="465">
        <f t="shared" si="28"/>
        <v>0.321248633190344</v>
      </c>
      <c r="G104" s="459">
        <f>D104-'[16]Junijs'!D104</f>
        <v>75110</v>
      </c>
      <c r="H104" s="477" t="s">
        <v>393</v>
      </c>
      <c r="I104" s="392">
        <f>I105+I107</f>
        <v>1091</v>
      </c>
      <c r="J104" s="392">
        <f>J105</f>
        <v>951</v>
      </c>
      <c r="K104" s="392">
        <f>K105</f>
        <v>306</v>
      </c>
      <c r="L104" s="58">
        <f aca="true" t="shared" si="29" ref="L104:L126">IF(ISERROR(ROUND(K104,0)/ROUND(I104,0))," ",(ROUND(K104,)/ROUND(I104,)))*100</f>
        <v>28.047662694775433</v>
      </c>
      <c r="M104" s="58">
        <f>IF(ISERROR(ROUND(K104,0)/ROUND(J104,0))," ",(ROUND(K104,)/ROUND(J104,)))*100</f>
        <v>32.17665615141956</v>
      </c>
      <c r="N104" s="392">
        <f>K104-'[16]Junijs'!K104</f>
        <v>76</v>
      </c>
    </row>
    <row r="105" spans="1:14" s="466" customFormat="1" ht="12.75">
      <c r="A105" s="469" t="s">
        <v>389</v>
      </c>
      <c r="B105" s="470">
        <f>B106</f>
        <v>1077970</v>
      </c>
      <c r="C105" s="470">
        <f>C106</f>
        <v>951120</v>
      </c>
      <c r="D105" s="470">
        <f>D106</f>
        <v>305546</v>
      </c>
      <c r="E105" s="465">
        <f t="shared" si="27"/>
        <v>0.2834457359666781</v>
      </c>
      <c r="F105" s="465">
        <f t="shared" si="28"/>
        <v>0.321248633190344</v>
      </c>
      <c r="G105" s="459">
        <f>D105-'[16]Junijs'!D105</f>
        <v>75110</v>
      </c>
      <c r="H105" s="469" t="s">
        <v>389</v>
      </c>
      <c r="I105" s="470">
        <f>I106</f>
        <v>1078</v>
      </c>
      <c r="J105" s="470">
        <f>J106</f>
        <v>951</v>
      </c>
      <c r="K105" s="470">
        <f>K106</f>
        <v>306</v>
      </c>
      <c r="L105" s="471">
        <f t="shared" si="29"/>
        <v>28.385899814471244</v>
      </c>
      <c r="M105" s="471">
        <f>IF(ISERROR(ROUND(K105,0)/ROUND(J105,0))," ",(ROUND(K105,)/ROUND(J105,)))*100</f>
        <v>32.17665615141956</v>
      </c>
      <c r="N105" s="470">
        <f>K105-'[16]Junijs'!K105</f>
        <v>76</v>
      </c>
    </row>
    <row r="106" spans="1:14" ht="12.75">
      <c r="A106" s="472" t="s">
        <v>386</v>
      </c>
      <c r="B106" s="473">
        <v>1077970</v>
      </c>
      <c r="C106" s="473">
        <v>951120</v>
      </c>
      <c r="D106" s="473">
        <v>305546</v>
      </c>
      <c r="E106" s="465">
        <f t="shared" si="27"/>
        <v>0.2834457359666781</v>
      </c>
      <c r="F106" s="465">
        <f t="shared" si="28"/>
        <v>0.321248633190344</v>
      </c>
      <c r="G106" s="459">
        <f>D106-'[16]Junijs'!D106</f>
        <v>75110</v>
      </c>
      <c r="H106" s="472" t="s">
        <v>386</v>
      </c>
      <c r="I106" s="473">
        <f>ROUND(B106/1000,0)</f>
        <v>1078</v>
      </c>
      <c r="J106" s="473">
        <f>ROUND(C106/1000,0)</f>
        <v>951</v>
      </c>
      <c r="K106" s="473">
        <f>ROUND(D106/1000,0)</f>
        <v>306</v>
      </c>
      <c r="L106" s="81">
        <f t="shared" si="29"/>
        <v>28.385899814471244</v>
      </c>
      <c r="M106" s="81">
        <f>IF(ISERROR(ROUND(K106,0)/ROUND(J106,0))," ",(ROUND(K106,)/ROUND(J106,)))*100</f>
        <v>32.17665615141956</v>
      </c>
      <c r="N106" s="473">
        <f>K106-'[16]Junijs'!K106</f>
        <v>76</v>
      </c>
    </row>
    <row r="107" spans="1:14" s="466" customFormat="1" ht="12.75">
      <c r="A107" s="469" t="s">
        <v>390</v>
      </c>
      <c r="B107" s="470">
        <f>B108</f>
        <v>13275</v>
      </c>
      <c r="C107" s="470">
        <f>C108</f>
        <v>0</v>
      </c>
      <c r="D107" s="470">
        <f>D108</f>
        <v>0</v>
      </c>
      <c r="E107" s="465">
        <f t="shared" si="27"/>
        <v>0</v>
      </c>
      <c r="F107" s="465" t="str">
        <f t="shared" si="28"/>
        <v> </v>
      </c>
      <c r="G107" s="459">
        <f>D107-'[16]Junijs'!D107</f>
        <v>0</v>
      </c>
      <c r="H107" s="469" t="s">
        <v>390</v>
      </c>
      <c r="I107" s="470">
        <f>I108</f>
        <v>13</v>
      </c>
      <c r="J107" s="470">
        <f>J108</f>
        <v>0</v>
      </c>
      <c r="K107" s="470">
        <f>K108</f>
        <v>0</v>
      </c>
      <c r="L107" s="471">
        <f t="shared" si="29"/>
        <v>0</v>
      </c>
      <c r="M107" s="81"/>
      <c r="N107" s="470">
        <f>K107-'[16]Junijs'!K107</f>
        <v>0</v>
      </c>
    </row>
    <row r="108" spans="1:14" ht="12.75">
      <c r="A108" s="472" t="s">
        <v>386</v>
      </c>
      <c r="B108" s="473">
        <v>13275</v>
      </c>
      <c r="C108" s="473"/>
      <c r="D108" s="473"/>
      <c r="E108" s="465">
        <f t="shared" si="27"/>
        <v>0</v>
      </c>
      <c r="F108" s="465"/>
      <c r="G108" s="459">
        <f>D108-'[16]Junijs'!D108</f>
        <v>0</v>
      </c>
      <c r="H108" s="472" t="s">
        <v>386</v>
      </c>
      <c r="I108" s="473">
        <f>ROUND(B108/1000,0)</f>
        <v>13</v>
      </c>
      <c r="J108" s="473">
        <f>ROUND(C108/1000,0)</f>
        <v>0</v>
      </c>
      <c r="K108" s="473">
        <f>ROUND(D108/1000,0)</f>
        <v>0</v>
      </c>
      <c r="L108" s="81">
        <f t="shared" si="29"/>
        <v>0</v>
      </c>
      <c r="M108" s="81"/>
      <c r="N108" s="473">
        <f>K108-'[16]Junijs'!K108</f>
        <v>0</v>
      </c>
    </row>
    <row r="109" spans="1:104" ht="38.25">
      <c r="A109" s="456" t="s">
        <v>394</v>
      </c>
      <c r="B109" s="479">
        <f>B110+B113</f>
        <v>5923010</v>
      </c>
      <c r="C109" s="479">
        <f>C110+C113</f>
        <v>3426982</v>
      </c>
      <c r="D109" s="479">
        <f>D110+D113</f>
        <v>1460642</v>
      </c>
      <c r="E109" s="465">
        <f t="shared" si="27"/>
        <v>0.2466046824165416</v>
      </c>
      <c r="F109" s="465"/>
      <c r="G109" s="459">
        <f>D109-'[16]Junijs'!D109</f>
        <v>427013</v>
      </c>
      <c r="H109" s="456" t="s">
        <v>394</v>
      </c>
      <c r="I109" s="460">
        <f>I110+I113</f>
        <v>5923</v>
      </c>
      <c r="J109" s="460">
        <f>J110+J113</f>
        <v>3427</v>
      </c>
      <c r="K109" s="460">
        <f>K110+K113</f>
        <v>1461</v>
      </c>
      <c r="L109" s="461">
        <f t="shared" si="29"/>
        <v>24.66655411109235</v>
      </c>
      <c r="M109" s="461">
        <f aca="true" t="shared" si="30" ref="M109:M126">IF(ISERROR(ROUND(K109,0)/ROUND(J109,0))," ",(ROUND(K109,)/ROUND(J109,)))*100</f>
        <v>42.63203968485556</v>
      </c>
      <c r="N109" s="460">
        <f>K109-'[16]Junijs'!K109</f>
        <v>427</v>
      </c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</row>
    <row r="110" spans="1:104" s="380" customFormat="1" ht="15" customHeight="1">
      <c r="A110" s="462" t="s">
        <v>50</v>
      </c>
      <c r="B110" s="457">
        <f>B111+B112</f>
        <v>2605106</v>
      </c>
      <c r="C110" s="457">
        <f>C111+C112</f>
        <v>2345106</v>
      </c>
      <c r="D110" s="457">
        <f>D111+D112</f>
        <v>1460642</v>
      </c>
      <c r="E110" s="465">
        <f t="shared" si="27"/>
        <v>0.5606842869349654</v>
      </c>
      <c r="F110" s="465"/>
      <c r="G110" s="459">
        <f>D110-'[16]Junijs'!D110</f>
        <v>427013</v>
      </c>
      <c r="H110" s="462" t="s">
        <v>50</v>
      </c>
      <c r="I110" s="480">
        <f>I111+I112</f>
        <v>2605</v>
      </c>
      <c r="J110" s="480">
        <f>J111+J112</f>
        <v>2345</v>
      </c>
      <c r="K110" s="480">
        <f>K111+K112</f>
        <v>1461</v>
      </c>
      <c r="L110" s="461">
        <f t="shared" si="29"/>
        <v>56.08445297504798</v>
      </c>
      <c r="M110" s="461">
        <f t="shared" si="30"/>
        <v>62.30277185501066</v>
      </c>
      <c r="N110" s="480">
        <f>K110-'[16]Junijs'!K110</f>
        <v>427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4" ht="12.75">
      <c r="A111" s="464" t="s">
        <v>386</v>
      </c>
      <c r="B111" s="475">
        <f>B118+B124</f>
        <v>325106</v>
      </c>
      <c r="C111" s="475">
        <f>C118+C124</f>
        <v>325106</v>
      </c>
      <c r="D111" s="475">
        <f>D118+D124</f>
        <v>207719</v>
      </c>
      <c r="E111" s="465">
        <f t="shared" si="27"/>
        <v>0.6389269961181891</v>
      </c>
      <c r="F111" s="465"/>
      <c r="G111" s="459">
        <f>D111-'[16]Junijs'!D111</f>
        <v>40021</v>
      </c>
      <c r="H111" s="464" t="s">
        <v>386</v>
      </c>
      <c r="I111" s="392">
        <f>I118+I124</f>
        <v>325</v>
      </c>
      <c r="J111" s="392">
        <f>J118+J124</f>
        <v>325</v>
      </c>
      <c r="K111" s="392">
        <f>K118+K124</f>
        <v>208</v>
      </c>
      <c r="L111" s="461">
        <f t="shared" si="29"/>
        <v>64</v>
      </c>
      <c r="M111" s="58">
        <f t="shared" si="30"/>
        <v>64</v>
      </c>
      <c r="N111" s="392">
        <f>K111-'[16]Junijs'!K111</f>
        <v>40</v>
      </c>
    </row>
    <row r="112" spans="1:14" ht="12.75">
      <c r="A112" s="464" t="s">
        <v>387</v>
      </c>
      <c r="B112" s="475">
        <f>B119</f>
        <v>2280000</v>
      </c>
      <c r="C112" s="475">
        <f>C119</f>
        <v>2020000</v>
      </c>
      <c r="D112" s="475">
        <f>D119</f>
        <v>1252923</v>
      </c>
      <c r="E112" s="465">
        <f t="shared" si="27"/>
        <v>0.5495276315789474</v>
      </c>
      <c r="F112" s="465"/>
      <c r="G112" s="459">
        <f>D112-'[16]Junijs'!D112</f>
        <v>386992</v>
      </c>
      <c r="H112" s="464" t="s">
        <v>387</v>
      </c>
      <c r="I112" s="392">
        <f>I119</f>
        <v>2280</v>
      </c>
      <c r="J112" s="74">
        <f>J119</f>
        <v>2020</v>
      </c>
      <c r="K112" s="392">
        <f>K119</f>
        <v>1253</v>
      </c>
      <c r="L112" s="58">
        <f t="shared" si="29"/>
        <v>54.95614035087719</v>
      </c>
      <c r="M112" s="58">
        <f t="shared" si="30"/>
        <v>62.02970297029703</v>
      </c>
      <c r="N112" s="392">
        <f>K112-'[16]Junijs'!K112</f>
        <v>387</v>
      </c>
    </row>
    <row r="113" spans="1:104" s="380" customFormat="1" ht="15" customHeight="1">
      <c r="A113" s="462" t="s">
        <v>395</v>
      </c>
      <c r="B113" s="457">
        <f>SUM(B114:B115)</f>
        <v>3317904</v>
      </c>
      <c r="C113" s="457">
        <f>SUM(C114:C115)</f>
        <v>1081876</v>
      </c>
      <c r="D113" s="457">
        <f>SUM(D114:D115)</f>
        <v>0</v>
      </c>
      <c r="E113" s="465">
        <f t="shared" si="27"/>
        <v>0</v>
      </c>
      <c r="F113" s="465"/>
      <c r="G113" s="459">
        <f>D113-'[16]Junijs'!D113</f>
        <v>0</v>
      </c>
      <c r="H113" s="462" t="s">
        <v>395</v>
      </c>
      <c r="I113" s="460">
        <f>I115+I114</f>
        <v>3318</v>
      </c>
      <c r="J113" s="460">
        <f>J115+J114</f>
        <v>1082</v>
      </c>
      <c r="K113" s="460">
        <f>K115+K114</f>
        <v>0</v>
      </c>
      <c r="L113" s="461">
        <f t="shared" si="29"/>
        <v>0</v>
      </c>
      <c r="M113" s="461">
        <f t="shared" si="30"/>
        <v>0</v>
      </c>
      <c r="N113" s="460">
        <f>K113-'[16]Junijs'!K113</f>
        <v>0</v>
      </c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</row>
    <row r="114" spans="1:14" ht="12.75">
      <c r="A114" s="464" t="s">
        <v>386</v>
      </c>
      <c r="B114" s="475">
        <f>B126</f>
        <v>6567</v>
      </c>
      <c r="C114" s="475">
        <f>C126</f>
        <v>1876</v>
      </c>
      <c r="D114" s="475">
        <f>D126</f>
        <v>0</v>
      </c>
      <c r="E114" s="465">
        <f t="shared" si="27"/>
        <v>0</v>
      </c>
      <c r="F114" s="465"/>
      <c r="G114" s="459">
        <f>D114-'[16]Junijs'!D114</f>
        <v>0</v>
      </c>
      <c r="H114" s="464" t="s">
        <v>386</v>
      </c>
      <c r="I114" s="392">
        <f>I126</f>
        <v>7</v>
      </c>
      <c r="J114" s="392">
        <f>J126</f>
        <v>2</v>
      </c>
      <c r="K114" s="392">
        <f>K126</f>
        <v>0</v>
      </c>
      <c r="L114" s="58">
        <f t="shared" si="29"/>
        <v>0</v>
      </c>
      <c r="M114" s="58">
        <f t="shared" si="30"/>
        <v>0</v>
      </c>
      <c r="N114" s="392">
        <f>K114-'[16]Junijs'!K114</f>
        <v>0</v>
      </c>
    </row>
    <row r="115" spans="1:14" ht="12.75">
      <c r="A115" s="464" t="s">
        <v>387</v>
      </c>
      <c r="B115" s="475">
        <f>B121</f>
        <v>3311337</v>
      </c>
      <c r="C115" s="475">
        <f>C121</f>
        <v>1080000</v>
      </c>
      <c r="D115" s="475">
        <f>D121</f>
        <v>0</v>
      </c>
      <c r="E115" s="465">
        <f t="shared" si="27"/>
        <v>0</v>
      </c>
      <c r="F115" s="465"/>
      <c r="G115" s="459">
        <f>D115-'[16]Junijs'!D115</f>
        <v>0</v>
      </c>
      <c r="H115" s="464" t="s">
        <v>387</v>
      </c>
      <c r="I115" s="392">
        <f>I121</f>
        <v>3311</v>
      </c>
      <c r="J115" s="392">
        <f>J121</f>
        <v>1080</v>
      </c>
      <c r="K115" s="392">
        <f>K121</f>
        <v>0</v>
      </c>
      <c r="L115" s="58">
        <f t="shared" si="29"/>
        <v>0</v>
      </c>
      <c r="M115" s="58">
        <f t="shared" si="30"/>
        <v>0</v>
      </c>
      <c r="N115" s="392">
        <f>K115-'[16]Junijs'!K115</f>
        <v>0</v>
      </c>
    </row>
    <row r="116" spans="1:14" s="1" customFormat="1" ht="12">
      <c r="A116" s="477" t="s">
        <v>78</v>
      </c>
      <c r="B116" s="392">
        <f>B117+B120</f>
        <v>5850775</v>
      </c>
      <c r="C116" s="392">
        <f>C117+C120</f>
        <v>3359438</v>
      </c>
      <c r="D116" s="392">
        <f>D117+D120</f>
        <v>1460642</v>
      </c>
      <c r="E116" s="465">
        <f t="shared" si="27"/>
        <v>0.24964931996188539</v>
      </c>
      <c r="F116" s="465"/>
      <c r="G116" s="459">
        <f>D116-'[16]Junijs'!D116</f>
        <v>427013</v>
      </c>
      <c r="H116" s="477" t="s">
        <v>78</v>
      </c>
      <c r="I116" s="392">
        <f>I117+I120</f>
        <v>5850</v>
      </c>
      <c r="J116" s="392">
        <f>J117+J120</f>
        <v>3359</v>
      </c>
      <c r="K116" s="392">
        <f>K117+K120</f>
        <v>1461</v>
      </c>
      <c r="L116" s="58">
        <f t="shared" si="29"/>
        <v>24.974358974358974</v>
      </c>
      <c r="M116" s="58">
        <f t="shared" si="30"/>
        <v>43.495087823757075</v>
      </c>
      <c r="N116" s="392">
        <f>K116-'[16]Junijs'!K116</f>
        <v>427</v>
      </c>
    </row>
    <row r="117" spans="1:14" s="466" customFormat="1" ht="12.75">
      <c r="A117" s="469" t="s">
        <v>389</v>
      </c>
      <c r="B117" s="470">
        <f>B118+B119</f>
        <v>2539438</v>
      </c>
      <c r="C117" s="470">
        <f>C118+C119</f>
        <v>2279438</v>
      </c>
      <c r="D117" s="470">
        <f>D118+D119</f>
        <v>1460642</v>
      </c>
      <c r="E117" s="465">
        <f t="shared" si="27"/>
        <v>0.5751831704495246</v>
      </c>
      <c r="F117" s="465"/>
      <c r="G117" s="459">
        <f>D117-'[16]Junijs'!D117</f>
        <v>427013</v>
      </c>
      <c r="H117" s="469" t="s">
        <v>389</v>
      </c>
      <c r="I117" s="470">
        <f>I119+I118</f>
        <v>2539</v>
      </c>
      <c r="J117" s="470">
        <f>J119+J118</f>
        <v>2279</v>
      </c>
      <c r="K117" s="470">
        <f>K119+K118</f>
        <v>1461</v>
      </c>
      <c r="L117" s="471">
        <f t="shared" si="29"/>
        <v>57.54233950374164</v>
      </c>
      <c r="M117" s="471">
        <f t="shared" si="30"/>
        <v>64.10706450197455</v>
      </c>
      <c r="N117" s="470">
        <f>K117-'[16]Junijs'!K117</f>
        <v>427</v>
      </c>
    </row>
    <row r="118" spans="1:14" ht="12.75">
      <c r="A118" s="472" t="s">
        <v>386</v>
      </c>
      <c r="B118" s="473">
        <v>259438</v>
      </c>
      <c r="C118" s="473">
        <v>259438</v>
      </c>
      <c r="D118" s="473">
        <v>207719</v>
      </c>
      <c r="E118" s="465">
        <f t="shared" si="27"/>
        <v>0.8006498662493544</v>
      </c>
      <c r="F118" s="465"/>
      <c r="G118" s="459">
        <f>D118-'[16]Junijs'!D118</f>
        <v>40021</v>
      </c>
      <c r="H118" s="472" t="s">
        <v>386</v>
      </c>
      <c r="I118" s="473">
        <f aca="true" t="shared" si="31" ref="I118:K119">ROUND(B118/1000,0)</f>
        <v>259</v>
      </c>
      <c r="J118" s="473">
        <f t="shared" si="31"/>
        <v>259</v>
      </c>
      <c r="K118" s="473">
        <f t="shared" si="31"/>
        <v>208</v>
      </c>
      <c r="L118" s="81">
        <f t="shared" si="29"/>
        <v>80.3088803088803</v>
      </c>
      <c r="M118" s="81">
        <f t="shared" si="30"/>
        <v>80.3088803088803</v>
      </c>
      <c r="N118" s="473">
        <f>K118-'[16]Junijs'!K118</f>
        <v>40</v>
      </c>
    </row>
    <row r="119" spans="1:104" s="60" customFormat="1" ht="12.75">
      <c r="A119" s="472" t="s">
        <v>387</v>
      </c>
      <c r="B119" s="473">
        <v>2280000</v>
      </c>
      <c r="C119" s="473">
        <v>2020000</v>
      </c>
      <c r="D119" s="473">
        <v>1252923</v>
      </c>
      <c r="E119" s="465">
        <f t="shared" si="27"/>
        <v>0.5495276315789474</v>
      </c>
      <c r="F119" s="465"/>
      <c r="G119" s="459">
        <f>D119-'[16]Junijs'!D119</f>
        <v>386992</v>
      </c>
      <c r="H119" s="472" t="s">
        <v>387</v>
      </c>
      <c r="I119" s="473">
        <f t="shared" si="31"/>
        <v>2280</v>
      </c>
      <c r="J119" s="473">
        <f t="shared" si="31"/>
        <v>2020</v>
      </c>
      <c r="K119" s="473">
        <f t="shared" si="31"/>
        <v>1253</v>
      </c>
      <c r="L119" s="81">
        <f t="shared" si="29"/>
        <v>54.95614035087719</v>
      </c>
      <c r="M119" s="81">
        <f t="shared" si="30"/>
        <v>62.02970297029703</v>
      </c>
      <c r="N119" s="473">
        <f>K119-'[16]Junijs'!K119</f>
        <v>387</v>
      </c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</row>
    <row r="120" spans="1:14" s="466" customFormat="1" ht="12.75">
      <c r="A120" s="469" t="s">
        <v>396</v>
      </c>
      <c r="B120" s="470">
        <f>B121</f>
        <v>3311337</v>
      </c>
      <c r="C120" s="470">
        <f>C121</f>
        <v>1080000</v>
      </c>
      <c r="D120" s="470">
        <f>D121</f>
        <v>0</v>
      </c>
      <c r="E120" s="465">
        <f t="shared" si="27"/>
        <v>0</v>
      </c>
      <c r="F120" s="465"/>
      <c r="G120" s="459">
        <f>D120-'[16]Junijs'!D120</f>
        <v>0</v>
      </c>
      <c r="H120" s="469" t="s">
        <v>396</v>
      </c>
      <c r="I120" s="470">
        <f>I121</f>
        <v>3311</v>
      </c>
      <c r="J120" s="470">
        <f>J121</f>
        <v>1080</v>
      </c>
      <c r="K120" s="470">
        <f>K121</f>
        <v>0</v>
      </c>
      <c r="L120" s="471">
        <f t="shared" si="29"/>
        <v>0</v>
      </c>
      <c r="M120" s="471">
        <f t="shared" si="30"/>
        <v>0</v>
      </c>
      <c r="N120" s="470">
        <f>K120-'[16]Junijs'!K120</f>
        <v>0</v>
      </c>
    </row>
    <row r="121" spans="1:104" s="60" customFormat="1" ht="12.75">
      <c r="A121" s="472" t="s">
        <v>387</v>
      </c>
      <c r="B121" s="473">
        <v>3311337</v>
      </c>
      <c r="C121" s="473">
        <v>1080000</v>
      </c>
      <c r="D121" s="473"/>
      <c r="E121" s="465">
        <f t="shared" si="27"/>
        <v>0</v>
      </c>
      <c r="F121" s="465"/>
      <c r="G121" s="459">
        <f>D121-'[16]Junijs'!D121</f>
        <v>0</v>
      </c>
      <c r="H121" s="472" t="s">
        <v>387</v>
      </c>
      <c r="I121" s="473">
        <f>ROUND(B121/1000,0)</f>
        <v>3311</v>
      </c>
      <c r="J121" s="473">
        <f>ROUND(C121/1000,0)</f>
        <v>1080</v>
      </c>
      <c r="K121" s="473">
        <f>ROUND(D121/1000,0)</f>
        <v>0</v>
      </c>
      <c r="L121" s="81">
        <f t="shared" si="29"/>
        <v>0</v>
      </c>
      <c r="M121" s="81">
        <f t="shared" si="30"/>
        <v>0</v>
      </c>
      <c r="N121" s="473">
        <f>K121-'[16]Junijs'!K121</f>
        <v>0</v>
      </c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</row>
    <row r="122" spans="1:14" s="1" customFormat="1" ht="12">
      <c r="A122" s="477" t="s">
        <v>80</v>
      </c>
      <c r="B122" s="392">
        <f>B123+B125</f>
        <v>72235</v>
      </c>
      <c r="C122" s="392">
        <f>C123+C125</f>
        <v>67544</v>
      </c>
      <c r="D122" s="392">
        <f>D123+D125</f>
        <v>0</v>
      </c>
      <c r="E122" s="465">
        <f t="shared" si="27"/>
        <v>0</v>
      </c>
      <c r="F122" s="465"/>
      <c r="G122" s="459">
        <f>D122-'[16]Junijs'!D122</f>
        <v>0</v>
      </c>
      <c r="H122" s="477" t="s">
        <v>80</v>
      </c>
      <c r="I122" s="392">
        <f>I123+I125</f>
        <v>73</v>
      </c>
      <c r="J122" s="392">
        <f>J123+J125</f>
        <v>68</v>
      </c>
      <c r="K122" s="392">
        <f>K123+K125</f>
        <v>0</v>
      </c>
      <c r="L122" s="58">
        <f t="shared" si="29"/>
        <v>0</v>
      </c>
      <c r="M122" s="58">
        <f t="shared" si="30"/>
        <v>0</v>
      </c>
      <c r="N122" s="392">
        <f>K122-'[16]Junijs'!K122</f>
        <v>0</v>
      </c>
    </row>
    <row r="123" spans="1:14" s="466" customFormat="1" ht="12.75">
      <c r="A123" s="469" t="s">
        <v>389</v>
      </c>
      <c r="B123" s="470">
        <f>B124</f>
        <v>65668</v>
      </c>
      <c r="C123" s="470">
        <f>C124</f>
        <v>65668</v>
      </c>
      <c r="D123" s="470">
        <f>D124</f>
        <v>0</v>
      </c>
      <c r="E123" s="465">
        <f t="shared" si="27"/>
        <v>0</v>
      </c>
      <c r="F123" s="465"/>
      <c r="G123" s="459">
        <f>D123-'[16]Junijs'!D123</f>
        <v>0</v>
      </c>
      <c r="H123" s="469" t="s">
        <v>389</v>
      </c>
      <c r="I123" s="470">
        <f>I124</f>
        <v>66</v>
      </c>
      <c r="J123" s="470">
        <f>J124</f>
        <v>66</v>
      </c>
      <c r="K123" s="470">
        <f>K124</f>
        <v>0</v>
      </c>
      <c r="L123" s="471">
        <f t="shared" si="29"/>
        <v>0</v>
      </c>
      <c r="M123" s="471">
        <f t="shared" si="30"/>
        <v>0</v>
      </c>
      <c r="N123" s="470">
        <f>K123-'[16]Junijs'!K123</f>
        <v>0</v>
      </c>
    </row>
    <row r="124" spans="1:14" ht="12.75">
      <c r="A124" s="472" t="s">
        <v>386</v>
      </c>
      <c r="B124" s="473">
        <v>65668</v>
      </c>
      <c r="C124" s="473">
        <v>65668</v>
      </c>
      <c r="D124" s="473"/>
      <c r="E124" s="465">
        <f t="shared" si="27"/>
        <v>0</v>
      </c>
      <c r="F124" s="465"/>
      <c r="G124" s="459">
        <f>D124-'[16]Junijs'!D124</f>
        <v>0</v>
      </c>
      <c r="H124" s="472" t="s">
        <v>386</v>
      </c>
      <c r="I124" s="473">
        <f>ROUND(B124/1000,0)</f>
        <v>66</v>
      </c>
      <c r="J124" s="473">
        <f>ROUND(C124/1000,0)</f>
        <v>66</v>
      </c>
      <c r="K124" s="473">
        <f>ROUND(D124/1000,0)</f>
        <v>0</v>
      </c>
      <c r="L124" s="81">
        <f t="shared" si="29"/>
        <v>0</v>
      </c>
      <c r="M124" s="81">
        <f t="shared" si="30"/>
        <v>0</v>
      </c>
      <c r="N124" s="473">
        <f>K124-'[16]Junijs'!K124</f>
        <v>0</v>
      </c>
    </row>
    <row r="125" spans="1:14" s="466" customFormat="1" ht="12.75">
      <c r="A125" s="469" t="s">
        <v>396</v>
      </c>
      <c r="B125" s="470">
        <f>B126</f>
        <v>6567</v>
      </c>
      <c r="C125" s="470">
        <f>C126</f>
        <v>1876</v>
      </c>
      <c r="D125" s="470">
        <f>D126</f>
        <v>0</v>
      </c>
      <c r="E125" s="465">
        <f t="shared" si="27"/>
        <v>0</v>
      </c>
      <c r="F125" s="465"/>
      <c r="G125" s="459">
        <f>D125-'[16]Junijs'!D125</f>
        <v>0</v>
      </c>
      <c r="H125" s="469" t="s">
        <v>396</v>
      </c>
      <c r="I125" s="470">
        <f>I126</f>
        <v>7</v>
      </c>
      <c r="J125" s="470">
        <f>J126</f>
        <v>2</v>
      </c>
      <c r="K125" s="470">
        <f>K126</f>
        <v>0</v>
      </c>
      <c r="L125" s="471">
        <f t="shared" si="29"/>
        <v>0</v>
      </c>
      <c r="M125" s="471">
        <f t="shared" si="30"/>
        <v>0</v>
      </c>
      <c r="N125" s="470">
        <f>K125-'[16]Junijs'!K125</f>
        <v>0</v>
      </c>
    </row>
    <row r="126" spans="1:104" s="60" customFormat="1" ht="12.75">
      <c r="A126" s="472" t="s">
        <v>386</v>
      </c>
      <c r="B126" s="473">
        <v>6567</v>
      </c>
      <c r="C126" s="473">
        <v>1876</v>
      </c>
      <c r="D126" s="473"/>
      <c r="E126" s="465"/>
      <c r="F126" s="465"/>
      <c r="G126" s="459">
        <f>D126-'[16]Junijs'!D126</f>
        <v>0</v>
      </c>
      <c r="H126" s="472" t="s">
        <v>386</v>
      </c>
      <c r="I126" s="473">
        <f>ROUND(B126/1000,0)</f>
        <v>7</v>
      </c>
      <c r="J126" s="473">
        <f>ROUND(C126/1000,0)</f>
        <v>2</v>
      </c>
      <c r="K126" s="473">
        <f>ROUND(D126/1000,0)</f>
        <v>0</v>
      </c>
      <c r="L126" s="81">
        <f t="shared" si="29"/>
        <v>0</v>
      </c>
      <c r="M126" s="81">
        <f t="shared" si="30"/>
        <v>0</v>
      </c>
      <c r="N126" s="473">
        <f>K126-'[16]Junijs'!K126</f>
        <v>0</v>
      </c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</row>
    <row r="127" spans="1:14" ht="12.75">
      <c r="A127" s="462" t="s">
        <v>397</v>
      </c>
      <c r="B127" s="481" t="s">
        <v>398</v>
      </c>
      <c r="C127" s="481" t="s">
        <v>398</v>
      </c>
      <c r="D127" s="460">
        <f>D128+D129</f>
        <v>155910</v>
      </c>
      <c r="E127" s="481" t="s">
        <v>398</v>
      </c>
      <c r="F127" s="481" t="s">
        <v>398</v>
      </c>
      <c r="G127" s="459">
        <f>D127-'[16]Junijs'!D127</f>
        <v>0</v>
      </c>
      <c r="H127" s="462" t="s">
        <v>397</v>
      </c>
      <c r="I127" s="481" t="s">
        <v>398</v>
      </c>
      <c r="J127" s="481" t="s">
        <v>398</v>
      </c>
      <c r="K127" s="460">
        <f>K128+K129</f>
        <v>156</v>
      </c>
      <c r="L127" s="481" t="s">
        <v>398</v>
      </c>
      <c r="M127" s="481" t="s">
        <v>398</v>
      </c>
      <c r="N127" s="460">
        <f>K127-'[16]Junijs'!K127</f>
        <v>0</v>
      </c>
    </row>
    <row r="128" spans="1:14" ht="12.75">
      <c r="A128" s="472" t="s">
        <v>386</v>
      </c>
      <c r="B128" s="482" t="s">
        <v>398</v>
      </c>
      <c r="C128" s="482" t="s">
        <v>398</v>
      </c>
      <c r="D128" s="473">
        <v>155910</v>
      </c>
      <c r="E128" s="482" t="s">
        <v>398</v>
      </c>
      <c r="F128" s="482" t="s">
        <v>398</v>
      </c>
      <c r="G128" s="459">
        <f>D128-'[16]Junijs'!D128</f>
        <v>0</v>
      </c>
      <c r="H128" s="472" t="s">
        <v>386</v>
      </c>
      <c r="I128" s="482" t="s">
        <v>398</v>
      </c>
      <c r="J128" s="482" t="s">
        <v>398</v>
      </c>
      <c r="K128" s="473">
        <f>ROUND(D128/1000,0)</f>
        <v>156</v>
      </c>
      <c r="L128" s="482" t="s">
        <v>398</v>
      </c>
      <c r="M128" s="482" t="s">
        <v>398</v>
      </c>
      <c r="N128" s="473">
        <f>K128-'[16]Junijs'!K128</f>
        <v>0</v>
      </c>
    </row>
    <row r="129" spans="1:14" ht="12.75">
      <c r="A129" s="472" t="s">
        <v>387</v>
      </c>
      <c r="B129" s="482" t="s">
        <v>398</v>
      </c>
      <c r="C129" s="482" t="s">
        <v>398</v>
      </c>
      <c r="D129" s="473"/>
      <c r="E129" s="482" t="s">
        <v>398</v>
      </c>
      <c r="F129" s="482" t="s">
        <v>398</v>
      </c>
      <c r="G129" s="459">
        <f>D129-'[16]Junijs'!D129</f>
        <v>0</v>
      </c>
      <c r="H129" s="472" t="s">
        <v>387</v>
      </c>
      <c r="I129" s="482" t="s">
        <v>398</v>
      </c>
      <c r="J129" s="482" t="s">
        <v>398</v>
      </c>
      <c r="K129" s="473">
        <f>ROUND(D129/1000,0)</f>
        <v>0</v>
      </c>
      <c r="L129" s="482" t="s">
        <v>398</v>
      </c>
      <c r="M129" s="482" t="s">
        <v>398</v>
      </c>
      <c r="N129" s="473">
        <f>K129-'[16]Junijs'!K129</f>
        <v>0</v>
      </c>
    </row>
    <row r="130" ht="12.75">
      <c r="H130" s="38"/>
    </row>
    <row r="133" spans="8:14" ht="12.75">
      <c r="H133" s="867" t="s">
        <v>846</v>
      </c>
      <c r="I133" s="867"/>
      <c r="J133" s="867"/>
      <c r="K133" s="867"/>
      <c r="L133" s="867"/>
      <c r="M133" s="867"/>
      <c r="N133" s="867"/>
    </row>
    <row r="137" spans="8:14" ht="12.75">
      <c r="H137" s="1"/>
      <c r="I137" s="1"/>
      <c r="J137" s="1"/>
      <c r="K137" s="1"/>
      <c r="L137" s="1"/>
      <c r="M137" s="1"/>
      <c r="N137" s="1"/>
    </row>
    <row r="138" spans="8:14" ht="12.75">
      <c r="H138" s="1" t="s">
        <v>0</v>
      </c>
      <c r="I138" s="1"/>
      <c r="J138" s="1"/>
      <c r="K138" s="1"/>
      <c r="L138" s="1"/>
      <c r="M138" s="1"/>
      <c r="N138" s="1"/>
    </row>
    <row r="139" spans="8:14" ht="12.75">
      <c r="H139" s="1" t="s">
        <v>885</v>
      </c>
      <c r="I139" s="1"/>
      <c r="J139" s="1"/>
      <c r="K139" s="1"/>
      <c r="L139" s="1"/>
      <c r="M139" s="1"/>
      <c r="N139" s="1"/>
    </row>
    <row r="140" spans="8:14" ht="12.75">
      <c r="H140" s="1"/>
      <c r="I140" s="1"/>
      <c r="J140" s="1"/>
      <c r="K140" s="1"/>
      <c r="L140" s="1"/>
      <c r="M140" s="1"/>
      <c r="N140" s="1"/>
    </row>
    <row r="141" spans="9:14" ht="12.75">
      <c r="I141" s="1"/>
      <c r="J141" s="1"/>
      <c r="K141" s="1"/>
      <c r="L141" s="1"/>
      <c r="M141" s="1"/>
      <c r="N141" s="1"/>
    </row>
    <row r="142" spans="9:14" ht="12.75">
      <c r="I142" s="1"/>
      <c r="J142" s="1"/>
      <c r="K142" s="1"/>
      <c r="L142" s="1"/>
      <c r="M142" s="1"/>
      <c r="N142" s="1"/>
    </row>
    <row r="143" spans="8:14" ht="12.75">
      <c r="H143" s="1"/>
      <c r="I143" s="1"/>
      <c r="J143" s="1"/>
      <c r="K143" s="1"/>
      <c r="L143" s="1"/>
      <c r="M143" s="1"/>
      <c r="N143" s="1"/>
    </row>
    <row r="144" spans="8:14" ht="12.75">
      <c r="H144" s="1"/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9:14" ht="12.75">
      <c r="I146" s="1"/>
      <c r="J146" s="1"/>
      <c r="K146" s="1"/>
      <c r="L146" s="1"/>
      <c r="M146" s="1"/>
      <c r="N146" s="1"/>
    </row>
    <row r="147" spans="8:14" ht="12.75">
      <c r="H147" s="1"/>
      <c r="I147" s="1"/>
      <c r="J147" s="1"/>
      <c r="K147" s="1"/>
      <c r="L147" s="1"/>
      <c r="M147" s="1"/>
      <c r="N147" s="1"/>
    </row>
    <row r="148" spans="8:14" ht="12.75">
      <c r="H148" s="1"/>
      <c r="I148" s="1"/>
      <c r="J148" s="1"/>
      <c r="K148" s="1"/>
      <c r="L148" s="1"/>
      <c r="M148" s="1"/>
      <c r="N148" s="1"/>
    </row>
    <row r="149" spans="9:14" ht="12.75">
      <c r="I149" s="1"/>
      <c r="J149" s="1"/>
      <c r="K149" s="1"/>
      <c r="L149" s="1"/>
      <c r="M149" s="1"/>
      <c r="N149" s="1"/>
    </row>
    <row r="150" spans="9:14" ht="12.75">
      <c r="I150" s="1"/>
      <c r="J150" s="1"/>
      <c r="K150" s="1"/>
      <c r="L150" s="1"/>
      <c r="M150" s="1"/>
      <c r="N150" s="1"/>
    </row>
    <row r="151" spans="8:14" ht="12.75">
      <c r="H151" s="1"/>
      <c r="I151" s="1"/>
      <c r="J151" s="1"/>
      <c r="K151" s="1"/>
      <c r="L151" s="1"/>
      <c r="M151" s="1"/>
      <c r="N151" s="1"/>
    </row>
    <row r="152" spans="8:14" ht="12.75">
      <c r="H152" s="1"/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8:14" ht="12.75">
      <c r="H154" s="1"/>
      <c r="I154" s="1"/>
      <c r="J154" s="1"/>
      <c r="K154" s="1"/>
      <c r="L154" s="1"/>
      <c r="M154" s="1"/>
      <c r="N154" s="1"/>
    </row>
    <row r="155" spans="8:14" ht="12.75">
      <c r="H155" s="1"/>
      <c r="I155" s="1"/>
      <c r="J155" s="1"/>
      <c r="K155" s="1"/>
      <c r="L155" s="1"/>
      <c r="M155" s="1"/>
      <c r="N155" s="1"/>
    </row>
    <row r="156" spans="8:14" ht="12.75">
      <c r="H156" s="1"/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</sheetData>
  <mergeCells count="1">
    <mergeCell ref="H133:N133"/>
  </mergeCells>
  <printOptions/>
  <pageMargins left="0.88" right="0.45" top="1" bottom="1" header="0.5" footer="0.5"/>
  <pageSetup firstPageNumber="28" useFirstPageNumber="1" horizontalDpi="600" verticalDpi="600" orientation="portrait" paperSize="9" r:id="rId1"/>
  <headerFooter alignWithMargins="0">
    <oddFooter>&amp;R&amp;8&amp;P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46.7109375" style="483" customWidth="1"/>
    <col min="2" max="2" width="8.8515625" style="483" customWidth="1"/>
    <col min="3" max="3" width="10.140625" style="483" customWidth="1"/>
    <col min="4" max="4" width="10.7109375" style="483" customWidth="1"/>
    <col min="5" max="5" width="10.421875" style="483" customWidth="1"/>
  </cols>
  <sheetData>
    <row r="1" spans="2:5" ht="17.25" customHeight="1">
      <c r="B1" s="51"/>
      <c r="C1" s="51"/>
      <c r="D1" s="51"/>
      <c r="E1" s="88" t="s">
        <v>399</v>
      </c>
    </row>
    <row r="2" spans="1:5" ht="17.25" customHeight="1">
      <c r="A2" s="865" t="s">
        <v>955</v>
      </c>
      <c r="B2" s="865"/>
      <c r="C2" s="865"/>
      <c r="D2" s="865"/>
      <c r="E2" s="865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84" t="s">
        <v>400</v>
      </c>
      <c r="B4" s="53"/>
      <c r="C4" s="51"/>
      <c r="D4" s="51"/>
      <c r="E4" s="51"/>
    </row>
    <row r="5" spans="1:5" ht="17.25" customHeight="1">
      <c r="A5" s="885" t="s">
        <v>865</v>
      </c>
      <c r="B5" s="885"/>
      <c r="C5" s="885"/>
      <c r="D5" s="885"/>
      <c r="E5" s="885"/>
    </row>
    <row r="6" spans="1:5" ht="17.25" customHeight="1">
      <c r="A6" s="485"/>
      <c r="B6" s="485"/>
      <c r="C6" s="486"/>
      <c r="D6" s="487"/>
      <c r="E6" s="488" t="s">
        <v>176</v>
      </c>
    </row>
    <row r="7" spans="1:5" ht="33.75">
      <c r="A7" s="9" t="s">
        <v>791</v>
      </c>
      <c r="B7" s="9" t="s">
        <v>401</v>
      </c>
      <c r="C7" s="9" t="s">
        <v>959</v>
      </c>
      <c r="D7" s="9" t="s">
        <v>960</v>
      </c>
      <c r="E7" s="9" t="s">
        <v>850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402</v>
      </c>
      <c r="B9" s="394">
        <f>B17+B21</f>
        <v>433446</v>
      </c>
      <c r="C9" s="394">
        <f>C17+C21</f>
        <v>265095</v>
      </c>
      <c r="D9" s="104">
        <f aca="true" t="shared" si="0" ref="D9:D29">C9/B9*100</f>
        <v>61.15986766517628</v>
      </c>
      <c r="E9" s="394">
        <f>E17+E21</f>
        <v>34233</v>
      </c>
    </row>
    <row r="10" spans="1:5" ht="17.25" customHeight="1">
      <c r="A10" s="32" t="s">
        <v>403</v>
      </c>
      <c r="B10" s="394">
        <f>SUM(B11:B14)</f>
        <v>440563</v>
      </c>
      <c r="C10" s="394">
        <f>SUM(C11:C14)</f>
        <v>269011</v>
      </c>
      <c r="D10" s="104">
        <f t="shared" si="0"/>
        <v>61.0607336521678</v>
      </c>
      <c r="E10" s="394">
        <f>SUM(E11:E14)</f>
        <v>34524</v>
      </c>
    </row>
    <row r="11" spans="1:5" ht="12.75">
      <c r="A11" s="242" t="s">
        <v>404</v>
      </c>
      <c r="B11" s="394">
        <f>'[18]Jūlijs'!$G$11</f>
        <v>244740</v>
      </c>
      <c r="C11" s="394">
        <f>'[18]Jūlijs'!$H$11</f>
        <v>145715</v>
      </c>
      <c r="D11" s="104">
        <f t="shared" si="0"/>
        <v>59.53869412437689</v>
      </c>
      <c r="E11" s="394">
        <f>C11-'[17]Junijs'!C11</f>
        <v>20881</v>
      </c>
    </row>
    <row r="12" spans="1:5" ht="12.75">
      <c r="A12" s="242" t="s">
        <v>405</v>
      </c>
      <c r="B12" s="394">
        <f>'[18]Jūlijs'!$G$22</f>
        <v>17544</v>
      </c>
      <c r="C12" s="394">
        <f>'[18]Jūlijs'!$H$22</f>
        <v>10547</v>
      </c>
      <c r="D12" s="104">
        <f t="shared" si="0"/>
        <v>60.117419060647514</v>
      </c>
      <c r="E12" s="394">
        <f>C12-'[17]Junijs'!C12</f>
        <v>1322</v>
      </c>
    </row>
    <row r="13" spans="1:5" ht="12.75">
      <c r="A13" s="242" t="s">
        <v>406</v>
      </c>
      <c r="B13" s="394">
        <f>'[18]Jūlijs'!$G$29</f>
        <v>25315</v>
      </c>
      <c r="C13" s="394">
        <f>'[18]Jūlijs'!$H$29</f>
        <v>15289</v>
      </c>
      <c r="D13" s="104">
        <f t="shared" si="0"/>
        <v>60.39502271380604</v>
      </c>
      <c r="E13" s="394">
        <f>C13-'[17]Junijs'!C13</f>
        <v>1933</v>
      </c>
    </row>
    <row r="14" spans="1:5" ht="12.75">
      <c r="A14" s="242" t="s">
        <v>407</v>
      </c>
      <c r="B14" s="394">
        <f>'[18]Jūlijs'!$G$30</f>
        <v>152964</v>
      </c>
      <c r="C14" s="394">
        <f>'[18]Jūlijs'!$H$30</f>
        <v>97460</v>
      </c>
      <c r="D14" s="104">
        <f t="shared" si="0"/>
        <v>63.714338014173265</v>
      </c>
      <c r="E14" s="394">
        <f>C14-'[17]Junijs'!C14</f>
        <v>10388</v>
      </c>
    </row>
    <row r="15" spans="1:5" ht="25.5">
      <c r="A15" s="489" t="s">
        <v>408</v>
      </c>
      <c r="B15" s="394">
        <f>'[18]Jūlijs'!$G$31</f>
        <v>8563</v>
      </c>
      <c r="C15" s="394">
        <f>'[18]Jūlijs'!$H$31</f>
        <v>4732</v>
      </c>
      <c r="D15" s="104">
        <f t="shared" si="0"/>
        <v>55.26100665654561</v>
      </c>
      <c r="E15" s="394">
        <f>C15-'[17]Junijs'!C15</f>
        <v>651</v>
      </c>
    </row>
    <row r="16" spans="1:5" ht="25.5">
      <c r="A16" s="490" t="s">
        <v>409</v>
      </c>
      <c r="B16" s="394">
        <f>'[19]Jūlijs'!$G$34</f>
        <v>27208</v>
      </c>
      <c r="C16" s="394">
        <f>'[19]Jūlijs'!$H$34</f>
        <v>15727</v>
      </c>
      <c r="D16" s="104">
        <f t="shared" si="0"/>
        <v>57.802852102322845</v>
      </c>
      <c r="E16" s="394">
        <f>C16-'[17]Junijs'!C16</f>
        <v>2280</v>
      </c>
    </row>
    <row r="17" spans="1:5" ht="12.75">
      <c r="A17" s="76" t="s">
        <v>410</v>
      </c>
      <c r="B17" s="394">
        <f>B10-B15-B16</f>
        <v>404792</v>
      </c>
      <c r="C17" s="394">
        <f>C10-C15-C16</f>
        <v>248552</v>
      </c>
      <c r="D17" s="104">
        <f t="shared" si="0"/>
        <v>61.40239925690231</v>
      </c>
      <c r="E17" s="394">
        <f>E10-E15-E16</f>
        <v>31593</v>
      </c>
    </row>
    <row r="18" spans="1:5" ht="25.5">
      <c r="A18" s="76" t="s">
        <v>411</v>
      </c>
      <c r="B18" s="394">
        <f>B19</f>
        <v>37811</v>
      </c>
      <c r="C18" s="394">
        <f>C19</f>
        <v>22814</v>
      </c>
      <c r="D18" s="104">
        <f t="shared" si="0"/>
        <v>60.33693898600936</v>
      </c>
      <c r="E18" s="394">
        <f>C18-'[17]Junijs'!C18</f>
        <v>4161</v>
      </c>
    </row>
    <row r="19" spans="1:5" ht="25.5">
      <c r="A19" s="69" t="s">
        <v>412</v>
      </c>
      <c r="B19" s="394">
        <f>'[20]Jūlijs'!$B$9</f>
        <v>37811</v>
      </c>
      <c r="C19" s="394">
        <f>'[20]Jūlijs'!$C$9</f>
        <v>22814</v>
      </c>
      <c r="D19" s="104">
        <f t="shared" si="0"/>
        <v>60.33693898600936</v>
      </c>
      <c r="E19" s="394">
        <f>C19-'[17]Junijs'!C19</f>
        <v>4161</v>
      </c>
    </row>
    <row r="20" spans="1:5" ht="25.5">
      <c r="A20" s="490" t="s">
        <v>413</v>
      </c>
      <c r="B20" s="394">
        <f>'[20]Jūlijs'!$B$10</f>
        <v>9157</v>
      </c>
      <c r="C20" s="394">
        <f>'[20]Jūlijs'!$C$10</f>
        <v>6271</v>
      </c>
      <c r="D20" s="104">
        <f t="shared" si="0"/>
        <v>68.483127661898</v>
      </c>
      <c r="E20" s="394">
        <f>C20-'[17]Junijs'!C20</f>
        <v>1521</v>
      </c>
    </row>
    <row r="21" spans="1:5" ht="17.25" customHeight="1">
      <c r="A21" s="76" t="s">
        <v>414</v>
      </c>
      <c r="B21" s="394">
        <f>B18-B20</f>
        <v>28654</v>
      </c>
      <c r="C21" s="394">
        <f>C18-C20</f>
        <v>16543</v>
      </c>
      <c r="D21" s="104">
        <f t="shared" si="0"/>
        <v>57.733649752216095</v>
      </c>
      <c r="E21" s="394">
        <f>E18-E20</f>
        <v>2640</v>
      </c>
    </row>
    <row r="22" spans="1:5" ht="25.5">
      <c r="A22" s="491" t="s">
        <v>415</v>
      </c>
      <c r="B22" s="400">
        <f>SUM(B23:B25)</f>
        <v>485462</v>
      </c>
      <c r="C22" s="400">
        <f>SUM(C23:C25)</f>
        <v>274542</v>
      </c>
      <c r="D22" s="104">
        <f t="shared" si="0"/>
        <v>56.552727092954754</v>
      </c>
      <c r="E22" s="400">
        <f>SUM(E23:E25)</f>
        <v>37126</v>
      </c>
    </row>
    <row r="23" spans="1:5" ht="25.5">
      <c r="A23" s="116" t="s">
        <v>416</v>
      </c>
      <c r="B23" s="400">
        <f aca="true" t="shared" si="1" ref="B23:C25">B39+B48</f>
        <v>400602</v>
      </c>
      <c r="C23" s="400">
        <f t="shared" si="1"/>
        <v>225914</v>
      </c>
      <c r="D23" s="104">
        <f t="shared" si="0"/>
        <v>56.393627590476335</v>
      </c>
      <c r="E23" s="400">
        <f>E39+E48</f>
        <v>28105</v>
      </c>
    </row>
    <row r="24" spans="1:5" ht="25.5">
      <c r="A24" s="116" t="s">
        <v>417</v>
      </c>
      <c r="B24" s="400">
        <f t="shared" si="1"/>
        <v>27630</v>
      </c>
      <c r="C24" s="400">
        <f t="shared" si="1"/>
        <v>12628</v>
      </c>
      <c r="D24" s="104">
        <f t="shared" si="0"/>
        <v>45.70394498733261</v>
      </c>
      <c r="E24" s="400">
        <f>E40+E49</f>
        <v>2117</v>
      </c>
    </row>
    <row r="25" spans="1:5" ht="25.5">
      <c r="A25" s="116" t="s">
        <v>418</v>
      </c>
      <c r="B25" s="400">
        <f t="shared" si="1"/>
        <v>57230</v>
      </c>
      <c r="C25" s="400">
        <f t="shared" si="1"/>
        <v>36000</v>
      </c>
      <c r="D25" s="104">
        <f t="shared" si="0"/>
        <v>62.90407129128079</v>
      </c>
      <c r="E25" s="400">
        <f>E41+E50</f>
        <v>6904</v>
      </c>
    </row>
    <row r="26" spans="1:5" ht="25.5">
      <c r="A26" s="491" t="s">
        <v>419</v>
      </c>
      <c r="B26" s="400">
        <f>B9-B22</f>
        <v>-52016</v>
      </c>
      <c r="C26" s="400">
        <f>C9-C22</f>
        <v>-9447</v>
      </c>
      <c r="D26" s="104">
        <f t="shared" si="0"/>
        <v>18.16171947093202</v>
      </c>
      <c r="E26" s="400">
        <f>E9-E22</f>
        <v>-2893</v>
      </c>
    </row>
    <row r="27" spans="1:5" ht="25.5">
      <c r="A27" s="491" t="s">
        <v>420</v>
      </c>
      <c r="B27" s="400">
        <f>B43+B52</f>
        <v>-2526</v>
      </c>
      <c r="C27" s="400">
        <f>C43+C52</f>
        <v>-2420</v>
      </c>
      <c r="D27" s="104">
        <f t="shared" si="0"/>
        <v>95.80364212193192</v>
      </c>
      <c r="E27" s="400">
        <f>E43+E52</f>
        <v>-17</v>
      </c>
    </row>
    <row r="28" spans="1:5" ht="25.5">
      <c r="A28" s="491" t="s">
        <v>421</v>
      </c>
      <c r="B28" s="400">
        <f>B22+B27</f>
        <v>482936</v>
      </c>
      <c r="C28" s="400">
        <f>C22+C27</f>
        <v>272122</v>
      </c>
      <c r="D28" s="104">
        <f t="shared" si="0"/>
        <v>56.34742491758742</v>
      </c>
      <c r="E28" s="400">
        <f>E22+E27</f>
        <v>37109</v>
      </c>
    </row>
    <row r="29" spans="1:5" ht="25.5">
      <c r="A29" s="491" t="s">
        <v>422</v>
      </c>
      <c r="B29" s="400">
        <f>B9-B28</f>
        <v>-49490</v>
      </c>
      <c r="C29" s="400">
        <f>C9-C28</f>
        <v>-7027</v>
      </c>
      <c r="D29" s="104">
        <f t="shared" si="0"/>
        <v>14.198828046069915</v>
      </c>
      <c r="E29" s="400">
        <f>E9-E28</f>
        <v>-2876</v>
      </c>
    </row>
    <row r="30" spans="1:5" ht="12.75">
      <c r="A30" s="492" t="s">
        <v>423</v>
      </c>
      <c r="B30" s="493"/>
      <c r="C30" s="493"/>
      <c r="D30" s="104"/>
      <c r="E30" s="394"/>
    </row>
    <row r="31" spans="1:5" ht="25.5">
      <c r="A31" s="494" t="s">
        <v>424</v>
      </c>
      <c r="B31" s="493">
        <f>B20</f>
        <v>9157</v>
      </c>
      <c r="C31" s="493">
        <f>C20</f>
        <v>6271</v>
      </c>
      <c r="D31" s="104">
        <f>C31/B31*100</f>
        <v>68.483127661898</v>
      </c>
      <c r="E31" s="394">
        <f>C31-'[17]Junijs'!C31</f>
        <v>1521</v>
      </c>
    </row>
    <row r="32" spans="1:5" ht="12.75">
      <c r="A32" s="492" t="s">
        <v>425</v>
      </c>
      <c r="B32" s="495">
        <v>10426</v>
      </c>
      <c r="C32" s="493">
        <f>13243-12422</f>
        <v>821</v>
      </c>
      <c r="D32" s="104">
        <f>C32/B32*100</f>
        <v>7.874544408210244</v>
      </c>
      <c r="E32" s="394">
        <f>C32-'[17]Junijs'!C32</f>
        <v>3898</v>
      </c>
    </row>
    <row r="33" spans="1:5" ht="12.75">
      <c r="A33" s="492" t="s">
        <v>426</v>
      </c>
      <c r="B33" s="495">
        <v>28634</v>
      </c>
      <c r="C33" s="493">
        <v>-65</v>
      </c>
      <c r="D33" s="104"/>
      <c r="E33" s="394">
        <f>C33-'[17]Junijs'!C33</f>
        <v>-2542</v>
      </c>
    </row>
    <row r="34" spans="1:5" ht="17.25" customHeight="1">
      <c r="A34" s="491" t="s">
        <v>427</v>
      </c>
      <c r="B34" s="400">
        <f>SUM(B37,B40,B41)</f>
        <v>469540</v>
      </c>
      <c r="C34" s="400">
        <f>SUM(C37,C40,C41)</f>
        <v>275273</v>
      </c>
      <c r="D34" s="104">
        <f aca="true" t="shared" si="2" ref="D34:D55">C34/B34*100</f>
        <v>58.62610214252248</v>
      </c>
      <c r="E34" s="400">
        <f>SUM(E37,E40,E41)</f>
        <v>36340</v>
      </c>
    </row>
    <row r="35" spans="1:5" ht="25.5">
      <c r="A35" s="496" t="s">
        <v>428</v>
      </c>
      <c r="B35" s="400">
        <f>B38</f>
        <v>35707</v>
      </c>
      <c r="C35" s="400">
        <f>C38</f>
        <v>20459</v>
      </c>
      <c r="D35" s="104">
        <f t="shared" si="2"/>
        <v>57.29688856526731</v>
      </c>
      <c r="E35" s="394">
        <f>C35-'[17]Junijs'!C35</f>
        <v>2931</v>
      </c>
    </row>
    <row r="36" spans="1:5" ht="17.25" customHeight="1">
      <c r="A36" s="491" t="s">
        <v>429</v>
      </c>
      <c r="B36" s="400">
        <f>B34-B35</f>
        <v>433833</v>
      </c>
      <c r="C36" s="400">
        <f>C34-C35</f>
        <v>254814</v>
      </c>
      <c r="D36" s="104">
        <f t="shared" si="2"/>
        <v>58.73550421475545</v>
      </c>
      <c r="E36" s="400">
        <f>E34-E35</f>
        <v>33409</v>
      </c>
    </row>
    <row r="37" spans="1:5" ht="25.5">
      <c r="A37" s="491" t="s">
        <v>430</v>
      </c>
      <c r="B37" s="400">
        <f>'[21]Jūlijs'!$G$11</f>
        <v>396151</v>
      </c>
      <c r="C37" s="400">
        <f>'[21]Jūlijs'!$H$11</f>
        <v>231400</v>
      </c>
      <c r="D37" s="104">
        <f t="shared" si="2"/>
        <v>58.412070144969974</v>
      </c>
      <c r="E37" s="400">
        <f>C37-'[17]Junijs'!C37</f>
        <v>28300</v>
      </c>
    </row>
    <row r="38" spans="1:5" ht="25.5">
      <c r="A38" s="490" t="s">
        <v>431</v>
      </c>
      <c r="B38" s="400">
        <v>35707</v>
      </c>
      <c r="C38" s="400">
        <f>C15+C16</f>
        <v>20459</v>
      </c>
      <c r="D38" s="104">
        <f t="shared" si="2"/>
        <v>57.29688856526731</v>
      </c>
      <c r="E38" s="400">
        <f>C38-'[17]Junijs'!C38</f>
        <v>2931</v>
      </c>
    </row>
    <row r="39" spans="1:5" ht="25.5">
      <c r="A39" s="69" t="s">
        <v>432</v>
      </c>
      <c r="B39" s="400">
        <f>B37-B38</f>
        <v>360444</v>
      </c>
      <c r="C39" s="400">
        <f>C37-C38</f>
        <v>210941</v>
      </c>
      <c r="D39" s="104">
        <f t="shared" si="2"/>
        <v>58.52254441744071</v>
      </c>
      <c r="E39" s="400">
        <f>E37-E38</f>
        <v>25369</v>
      </c>
    </row>
    <row r="40" spans="1:5" ht="17.25" customHeight="1">
      <c r="A40" s="69" t="s">
        <v>433</v>
      </c>
      <c r="B40" s="394">
        <v>19375</v>
      </c>
      <c r="C40" s="394">
        <f>'[21]Jūlijs'!$H$27</f>
        <v>9083</v>
      </c>
      <c r="D40" s="104">
        <f t="shared" si="2"/>
        <v>46.88</v>
      </c>
      <c r="E40" s="394">
        <f>C40-'[17]Junijs'!C40</f>
        <v>1608</v>
      </c>
    </row>
    <row r="41" spans="1:5" ht="17.25" customHeight="1">
      <c r="A41" s="250" t="s">
        <v>434</v>
      </c>
      <c r="B41" s="394">
        <v>54014</v>
      </c>
      <c r="C41" s="394">
        <f>'[21]Jūlijs'!$H$28</f>
        <v>34790</v>
      </c>
      <c r="D41" s="104">
        <f t="shared" si="2"/>
        <v>64.40922723738291</v>
      </c>
      <c r="E41" s="394">
        <f>C41-'[17]Junijs'!C41</f>
        <v>6432</v>
      </c>
    </row>
    <row r="42" spans="1:5" ht="38.25">
      <c r="A42" s="76" t="s">
        <v>435</v>
      </c>
      <c r="B42" s="400">
        <f>B17-B36</f>
        <v>-29041</v>
      </c>
      <c r="C42" s="400">
        <f>C17-C36</f>
        <v>-6262</v>
      </c>
      <c r="D42" s="104">
        <f t="shared" si="2"/>
        <v>21.562618367136118</v>
      </c>
      <c r="E42" s="400">
        <f>E17-E36</f>
        <v>-1816</v>
      </c>
    </row>
    <row r="43" spans="1:5" ht="12.75">
      <c r="A43" s="76" t="s">
        <v>436</v>
      </c>
      <c r="B43" s="394">
        <f>B44-B45</f>
        <v>-618</v>
      </c>
      <c r="C43" s="394">
        <f>C44-C45</f>
        <v>-721</v>
      </c>
      <c r="D43" s="104">
        <f t="shared" si="2"/>
        <v>116.66666666666667</v>
      </c>
      <c r="E43" s="394">
        <f>E44-E45</f>
        <v>-17</v>
      </c>
    </row>
    <row r="44" spans="1:5" ht="12.75">
      <c r="A44" s="69" t="s">
        <v>437</v>
      </c>
      <c r="B44" s="394">
        <f>'[21]Jūlijs'!$G$30</f>
        <v>212</v>
      </c>
      <c r="C44" s="394">
        <f>'[21]Jūlijs'!$H$30</f>
        <v>78</v>
      </c>
      <c r="D44" s="104">
        <f t="shared" si="2"/>
        <v>36.79245283018868</v>
      </c>
      <c r="E44" s="394">
        <f>C44-'[17]Junijs'!C44</f>
        <v>5</v>
      </c>
    </row>
    <row r="45" spans="1:5" ht="12.75">
      <c r="A45" s="69" t="s">
        <v>438</v>
      </c>
      <c r="B45" s="394">
        <f>'[21]Jūlijs'!$G$31</f>
        <v>830</v>
      </c>
      <c r="C45" s="394">
        <f>'[21]Jūlijs'!$H$31</f>
        <v>799</v>
      </c>
      <c r="D45" s="104">
        <f t="shared" si="2"/>
        <v>96.26506024096385</v>
      </c>
      <c r="E45" s="394">
        <f>C45-'[17]Junijs'!C45</f>
        <v>22</v>
      </c>
    </row>
    <row r="46" spans="1:5" ht="25.5">
      <c r="A46" s="76" t="s">
        <v>439</v>
      </c>
      <c r="B46" s="400">
        <f>B42-B43</f>
        <v>-28423</v>
      </c>
      <c r="C46" s="400">
        <f>C42-C43</f>
        <v>-5541</v>
      </c>
      <c r="D46" s="104">
        <f t="shared" si="2"/>
        <v>19.494775357984732</v>
      </c>
      <c r="E46" s="400">
        <f>E42-E43</f>
        <v>-1799</v>
      </c>
    </row>
    <row r="47" spans="1:5" ht="25.5">
      <c r="A47" s="76" t="s">
        <v>440</v>
      </c>
      <c r="B47" s="394">
        <f>B48+B49+B50</f>
        <v>51629</v>
      </c>
      <c r="C47" s="394">
        <f>C48+C49+C50</f>
        <v>19728</v>
      </c>
      <c r="D47" s="104">
        <f t="shared" si="2"/>
        <v>38.21108291851479</v>
      </c>
      <c r="E47" s="394">
        <f>E48+E49+E50</f>
        <v>3717</v>
      </c>
    </row>
    <row r="48" spans="1:5" ht="24.75" customHeight="1">
      <c r="A48" s="69" t="s">
        <v>441</v>
      </c>
      <c r="B48" s="394">
        <f>'[22]Jūlijs'!$B$12</f>
        <v>40158</v>
      </c>
      <c r="C48" s="394">
        <f>'[22]Jūlijs'!$C$12</f>
        <v>14973</v>
      </c>
      <c r="D48" s="104">
        <f t="shared" si="2"/>
        <v>37.2852233676976</v>
      </c>
      <c r="E48" s="394">
        <f>C48-'[17]Junijs'!C48</f>
        <v>2736</v>
      </c>
    </row>
    <row r="49" spans="1:5" ht="17.25" customHeight="1">
      <c r="A49" s="69" t="s">
        <v>442</v>
      </c>
      <c r="B49" s="394">
        <f>'[22]Jūlijs'!$B$28</f>
        <v>8255</v>
      </c>
      <c r="C49" s="394">
        <f>'[22]Jūlijs'!$C$28</f>
        <v>3545</v>
      </c>
      <c r="D49" s="104">
        <f t="shared" si="2"/>
        <v>42.943670502725624</v>
      </c>
      <c r="E49" s="394">
        <f>C49-'[17]Junijs'!C49</f>
        <v>509</v>
      </c>
    </row>
    <row r="50" spans="1:5" ht="12.75">
      <c r="A50" s="250" t="s">
        <v>443</v>
      </c>
      <c r="B50" s="394">
        <f>'[22]Jūlijs'!$B$29</f>
        <v>3216</v>
      </c>
      <c r="C50" s="394">
        <f>'[22]Jūlijs'!$C$29</f>
        <v>1210</v>
      </c>
      <c r="D50" s="104">
        <f t="shared" si="2"/>
        <v>37.624378109452735</v>
      </c>
      <c r="E50" s="394">
        <f>C50-'[17]Junijs'!C50</f>
        <v>472</v>
      </c>
    </row>
    <row r="51" spans="1:5" ht="25.5">
      <c r="A51" s="76" t="s">
        <v>444</v>
      </c>
      <c r="B51" s="394">
        <f>B21-B47</f>
        <v>-22975</v>
      </c>
      <c r="C51" s="394">
        <f>C21-C47</f>
        <v>-3185</v>
      </c>
      <c r="D51" s="104">
        <f t="shared" si="2"/>
        <v>13.862894450489662</v>
      </c>
      <c r="E51" s="394">
        <f>E21-E47</f>
        <v>-1077</v>
      </c>
    </row>
    <row r="52" spans="1:5" ht="17.25" customHeight="1">
      <c r="A52" s="76" t="s">
        <v>445</v>
      </c>
      <c r="B52" s="394">
        <f>B53-B54</f>
        <v>-1908</v>
      </c>
      <c r="C52" s="394">
        <f>C53-C54</f>
        <v>-1699</v>
      </c>
      <c r="D52" s="104">
        <f t="shared" si="2"/>
        <v>89.0461215932914</v>
      </c>
      <c r="E52" s="394">
        <f>E53-E54</f>
        <v>0</v>
      </c>
    </row>
    <row r="53" spans="1:5" ht="12.75">
      <c r="A53" s="69" t="s">
        <v>446</v>
      </c>
      <c r="B53" s="394">
        <f>'[22]Jūlijs'!$B$31</f>
        <v>717</v>
      </c>
      <c r="C53" s="394">
        <f>'[22]Jūlijs'!$C$31</f>
        <v>511</v>
      </c>
      <c r="D53" s="104">
        <f t="shared" si="2"/>
        <v>71.26917712691771</v>
      </c>
      <c r="E53" s="394">
        <f>C53-'[17]Junijs'!C53</f>
        <v>96</v>
      </c>
    </row>
    <row r="54" spans="1:5" ht="12.75">
      <c r="A54" s="69" t="s">
        <v>447</v>
      </c>
      <c r="B54" s="394">
        <f>'[22]Jūlijs'!$B$32</f>
        <v>2625</v>
      </c>
      <c r="C54" s="394">
        <f>'[22]Jūlijs'!$C$32</f>
        <v>2210</v>
      </c>
      <c r="D54" s="104">
        <f t="shared" si="2"/>
        <v>84.19047619047619</v>
      </c>
      <c r="E54" s="394">
        <f>C54-'[17]Junijs'!C54</f>
        <v>96</v>
      </c>
    </row>
    <row r="55" spans="1:5" ht="25.5">
      <c r="A55" s="76" t="s">
        <v>448</v>
      </c>
      <c r="B55" s="394">
        <f>B51-B52</f>
        <v>-21067</v>
      </c>
      <c r="C55" s="394">
        <f>C51-C52</f>
        <v>-1486</v>
      </c>
      <c r="D55" s="104">
        <f t="shared" si="2"/>
        <v>7.053685859400958</v>
      </c>
      <c r="E55" s="394">
        <f>E51-E52</f>
        <v>-1077</v>
      </c>
    </row>
    <row r="56" spans="1:5" ht="17.25" customHeight="1">
      <c r="A56" s="497"/>
      <c r="B56" s="498"/>
      <c r="C56" s="498"/>
      <c r="D56" s="499"/>
      <c r="E56" s="498"/>
    </row>
    <row r="57" spans="1:5" ht="17.25" customHeight="1">
      <c r="A57" s="287"/>
      <c r="B57" s="500"/>
      <c r="C57" s="500"/>
      <c r="D57" s="501"/>
      <c r="E57" s="500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87"/>
      <c r="B59" s="49"/>
      <c r="C59" s="49"/>
      <c r="D59" s="49"/>
      <c r="E59" s="49"/>
    </row>
    <row r="60" spans="1:5" ht="17.25" customHeight="1">
      <c r="A60" s="287"/>
      <c r="B60" s="49"/>
      <c r="C60" s="49"/>
      <c r="D60" s="49"/>
      <c r="E60" s="49"/>
    </row>
    <row r="61" spans="1:5" ht="17.25" customHeight="1">
      <c r="A61" s="41" t="s">
        <v>891</v>
      </c>
      <c r="B61" s="39"/>
      <c r="C61" s="39"/>
      <c r="D61" s="39" t="s">
        <v>862</v>
      </c>
      <c r="E61" s="49"/>
    </row>
    <row r="62" spans="1:5" ht="17.25" customHeight="1">
      <c r="A62" s="287"/>
      <c r="B62" s="49"/>
      <c r="C62" s="49"/>
      <c r="D62" s="49"/>
      <c r="E62" s="49"/>
    </row>
    <row r="63" spans="1:5" ht="17.25" customHeight="1">
      <c r="A63" s="502"/>
      <c r="B63" s="49"/>
      <c r="C63" s="49"/>
      <c r="D63" s="49"/>
      <c r="E63" s="49"/>
    </row>
    <row r="64" spans="1:5" ht="17.25" customHeight="1">
      <c r="A64" s="502"/>
      <c r="B64" s="779"/>
      <c r="C64" s="503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272</v>
      </c>
      <c r="B66" s="49"/>
      <c r="C66" s="49"/>
      <c r="D66" s="49"/>
      <c r="E66" s="49"/>
    </row>
    <row r="67" spans="1:5" ht="17.25" customHeight="1">
      <c r="A67" s="7" t="s">
        <v>847</v>
      </c>
      <c r="B67" s="49"/>
      <c r="C67" s="49"/>
      <c r="D67" s="49"/>
      <c r="E67" s="49"/>
    </row>
    <row r="68" spans="1:5" ht="17.25" customHeight="1">
      <c r="A68" s="287"/>
      <c r="B68" s="49"/>
      <c r="C68" s="49"/>
      <c r="D68" s="49"/>
      <c r="E68" s="49"/>
    </row>
    <row r="69" spans="1:5" ht="17.25" customHeight="1">
      <c r="A69" s="287"/>
      <c r="B69" s="49"/>
      <c r="C69" s="49"/>
      <c r="D69" s="49"/>
      <c r="E69" s="49"/>
    </row>
    <row r="70" spans="1:5" ht="17.25" customHeight="1">
      <c r="A70" s="287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87"/>
      <c r="B74" s="49"/>
      <c r="C74" s="49"/>
      <c r="D74" s="49"/>
      <c r="E74" s="49"/>
    </row>
    <row r="75" spans="1:5" ht="17.25" customHeight="1">
      <c r="A75" s="502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87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87"/>
      <c r="B83" s="49"/>
      <c r="C83" s="49"/>
      <c r="D83" s="49"/>
      <c r="E83" s="49"/>
    </row>
    <row r="84" spans="1:5" ht="17.25" customHeight="1">
      <c r="A84" s="287"/>
      <c r="B84" s="49"/>
      <c r="C84" s="49"/>
      <c r="D84" s="49"/>
      <c r="E84" s="49"/>
    </row>
    <row r="85" spans="1:5" ht="17.25" customHeight="1">
      <c r="A85" s="504"/>
      <c r="B85" s="49"/>
      <c r="C85" s="49"/>
      <c r="D85" s="49"/>
      <c r="E85" s="49"/>
    </row>
    <row r="86" ht="17.25" customHeight="1">
      <c r="A86" s="504"/>
    </row>
    <row r="87" ht="17.25" customHeight="1">
      <c r="A87" s="504"/>
    </row>
    <row r="88" ht="17.25" customHeight="1">
      <c r="A88" s="504"/>
    </row>
    <row r="89" ht="17.25" customHeight="1">
      <c r="A89" s="504"/>
    </row>
    <row r="90" ht="17.25" customHeight="1">
      <c r="A90" s="504"/>
    </row>
    <row r="91" ht="17.25" customHeight="1">
      <c r="A91" s="504"/>
    </row>
    <row r="97" ht="17.25" customHeight="1">
      <c r="A97" s="504"/>
    </row>
    <row r="98" ht="17.25" customHeight="1">
      <c r="A98" s="504"/>
    </row>
    <row r="99" ht="17.25" customHeight="1">
      <c r="A99" s="504"/>
    </row>
    <row r="100" ht="17.25" customHeight="1">
      <c r="A100" s="504"/>
    </row>
    <row r="103" ht="17.25" customHeight="1">
      <c r="A103" s="504"/>
    </row>
    <row r="104" ht="17.25" customHeight="1">
      <c r="A104" s="504"/>
    </row>
    <row r="107" ht="17.25" customHeight="1">
      <c r="A107" s="504"/>
    </row>
    <row r="108" ht="17.25" customHeight="1">
      <c r="A108" s="504"/>
    </row>
    <row r="109" ht="17.25" customHeight="1">
      <c r="A109" s="504"/>
    </row>
    <row r="110" ht="17.25" customHeight="1">
      <c r="A110" s="504"/>
    </row>
    <row r="111" ht="17.25" customHeight="1">
      <c r="A111" s="504"/>
    </row>
    <row r="112" ht="17.25" customHeight="1">
      <c r="A112" s="504"/>
    </row>
    <row r="113" ht="17.25" customHeight="1">
      <c r="A113" s="504"/>
    </row>
    <row r="114" ht="17.25" customHeight="1">
      <c r="A114" s="504"/>
    </row>
    <row r="115" ht="17.25" customHeight="1">
      <c r="A115" s="504"/>
    </row>
    <row r="116" ht="17.25" customHeight="1">
      <c r="A116" s="504"/>
    </row>
    <row r="117" ht="17.25" customHeight="1">
      <c r="A117" s="504"/>
    </row>
    <row r="118" ht="17.25" customHeight="1">
      <c r="A118" s="504"/>
    </row>
    <row r="119" ht="17.25" customHeight="1">
      <c r="A119" s="504"/>
    </row>
    <row r="120" ht="17.25" customHeight="1">
      <c r="A120" s="504"/>
    </row>
    <row r="121" ht="17.25" customHeight="1">
      <c r="A121" s="504"/>
    </row>
    <row r="122" ht="17.25" customHeight="1">
      <c r="A122" s="504"/>
    </row>
    <row r="123" ht="17.25" customHeight="1">
      <c r="A123" s="504"/>
    </row>
    <row r="124" ht="17.25" customHeight="1">
      <c r="A124" s="504"/>
    </row>
    <row r="125" ht="17.25" customHeight="1">
      <c r="A125" s="504"/>
    </row>
    <row r="126" ht="17.25" customHeight="1">
      <c r="A126" s="504"/>
    </row>
    <row r="127" ht="17.25" customHeight="1">
      <c r="A127" s="504"/>
    </row>
    <row r="128" ht="17.25" customHeight="1">
      <c r="A128" s="504"/>
    </row>
    <row r="129" ht="17.25" customHeight="1">
      <c r="A129" s="504"/>
    </row>
    <row r="130" ht="17.25" customHeight="1">
      <c r="A130" s="504"/>
    </row>
    <row r="131" ht="17.25" customHeight="1">
      <c r="A131" s="504"/>
    </row>
  </sheetData>
  <mergeCells count="2">
    <mergeCell ref="A2:E2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31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A59" sqref="A59"/>
    </sheetView>
  </sheetViews>
  <sheetFormatPr defaultColWidth="9.140625" defaultRowHeight="17.25" customHeight="1"/>
  <cols>
    <col min="1" max="1" width="39.7109375" style="505" hidden="1" customWidth="1"/>
    <col min="2" max="2" width="8.8515625" style="483" hidden="1" customWidth="1"/>
    <col min="3" max="3" width="11.28125" style="483" hidden="1" customWidth="1"/>
    <col min="4" max="4" width="12.140625" style="483" hidden="1" customWidth="1"/>
    <col min="5" max="5" width="0.13671875" style="483" hidden="1" customWidth="1"/>
    <col min="6" max="6" width="39.7109375" style="505" customWidth="1"/>
    <col min="7" max="7" width="8.8515625" style="483" customWidth="1"/>
    <col min="8" max="8" width="11.28125" style="483" customWidth="1"/>
    <col min="9" max="9" width="12.140625" style="483" customWidth="1"/>
    <col min="10" max="10" width="11.57421875" style="483" customWidth="1"/>
    <col min="11" max="16384" width="7.421875" style="483" customWidth="1"/>
  </cols>
  <sheetData>
    <row r="1" spans="2:10" ht="17.25" customHeight="1">
      <c r="B1" s="506"/>
      <c r="C1" s="51"/>
      <c r="D1" s="51"/>
      <c r="E1" s="51" t="s">
        <v>449</v>
      </c>
      <c r="G1" s="506"/>
      <c r="H1" s="51"/>
      <c r="I1" s="51"/>
      <c r="J1" s="51" t="s">
        <v>449</v>
      </c>
    </row>
    <row r="2" spans="1:10" s="51" customFormat="1" ht="17.25" customHeight="1">
      <c r="A2" s="506" t="s">
        <v>450</v>
      </c>
      <c r="B2" s="506"/>
      <c r="E2" s="41"/>
      <c r="F2" s="506" t="s">
        <v>450</v>
      </c>
      <c r="G2" s="506"/>
      <c r="J2" s="41"/>
    </row>
    <row r="4" spans="1:10" s="509" customFormat="1" ht="17.25" customHeight="1">
      <c r="A4" s="507" t="s">
        <v>451</v>
      </c>
      <c r="B4" s="508"/>
      <c r="C4" s="455"/>
      <c r="D4" s="455"/>
      <c r="E4" s="455"/>
      <c r="F4" s="507" t="s">
        <v>451</v>
      </c>
      <c r="G4" s="508"/>
      <c r="H4" s="455"/>
      <c r="I4" s="455"/>
      <c r="J4" s="455"/>
    </row>
    <row r="5" spans="1:10" s="509" customFormat="1" ht="13.5" customHeight="1">
      <c r="A5" s="507" t="s">
        <v>452</v>
      </c>
      <c r="B5" s="508"/>
      <c r="C5" s="510"/>
      <c r="D5" s="510"/>
      <c r="E5" s="510"/>
      <c r="F5" s="778" t="s">
        <v>892</v>
      </c>
      <c r="G5" s="508"/>
      <c r="H5" s="455"/>
      <c r="I5" s="455"/>
      <c r="J5" s="455"/>
    </row>
    <row r="6" spans="1:10" s="38" customFormat="1" ht="17.25" customHeight="1">
      <c r="A6" s="511"/>
      <c r="B6" s="512"/>
      <c r="C6" s="513"/>
      <c r="D6" s="513"/>
      <c r="E6" s="514" t="s">
        <v>201</v>
      </c>
      <c r="F6" s="511"/>
      <c r="G6" s="512"/>
      <c r="H6" s="513"/>
      <c r="I6" s="513"/>
      <c r="J6" s="514" t="s">
        <v>271</v>
      </c>
    </row>
    <row r="7" spans="1:10" s="38" customFormat="1" ht="26.25" customHeight="1">
      <c r="A7" s="515" t="s">
        <v>791</v>
      </c>
      <c r="B7" s="516" t="s">
        <v>401</v>
      </c>
      <c r="C7" s="516" t="s">
        <v>959</v>
      </c>
      <c r="D7" s="516" t="s">
        <v>453</v>
      </c>
      <c r="E7" s="9" t="s">
        <v>123</v>
      </c>
      <c r="F7" s="515" t="s">
        <v>791</v>
      </c>
      <c r="G7" s="516" t="s">
        <v>401</v>
      </c>
      <c r="H7" s="516" t="s">
        <v>959</v>
      </c>
      <c r="I7" s="516" t="s">
        <v>453</v>
      </c>
      <c r="J7" s="9" t="s">
        <v>850</v>
      </c>
    </row>
    <row r="8" spans="1:10" s="38" customFormat="1" ht="12.75">
      <c r="A8" s="517" t="s">
        <v>454</v>
      </c>
      <c r="B8" s="518">
        <v>2</v>
      </c>
      <c r="C8" s="518">
        <v>3</v>
      </c>
      <c r="D8" s="518">
        <v>4</v>
      </c>
      <c r="E8" s="518" t="s">
        <v>455</v>
      </c>
      <c r="F8" s="517" t="s">
        <v>454</v>
      </c>
      <c r="G8" s="518">
        <v>2</v>
      </c>
      <c r="H8" s="518">
        <v>3</v>
      </c>
      <c r="I8" s="518">
        <v>4</v>
      </c>
      <c r="J8" s="518" t="s">
        <v>455</v>
      </c>
    </row>
    <row r="9" spans="1:10" s="49" customFormat="1" ht="12.75">
      <c r="A9" s="519" t="s">
        <v>456</v>
      </c>
      <c r="B9" s="186"/>
      <c r="C9" s="179">
        <f>SUM(C10,C30)</f>
        <v>0</v>
      </c>
      <c r="D9" s="179"/>
      <c r="E9" s="179">
        <f>SUM(E10,E30)</f>
        <v>0</v>
      </c>
      <c r="F9" s="519" t="s">
        <v>456</v>
      </c>
      <c r="G9" s="179">
        <f>SUM(G10,G30)</f>
        <v>440563</v>
      </c>
      <c r="H9" s="179">
        <f>SUM(H10,H30)</f>
        <v>269011</v>
      </c>
      <c r="I9" s="208">
        <f aca="true" t="shared" si="0" ref="I9:I37">H9/G9*100</f>
        <v>61.0607336521678</v>
      </c>
      <c r="J9" s="179">
        <f>SUM(J10,J30)</f>
        <v>34524</v>
      </c>
    </row>
    <row r="10" spans="1:10" ht="25.5">
      <c r="A10" s="520" t="s">
        <v>457</v>
      </c>
      <c r="B10" s="186"/>
      <c r="C10" s="179">
        <f>C11+C22+C29</f>
        <v>0</v>
      </c>
      <c r="D10" s="179"/>
      <c r="E10" s="179">
        <f>E11+E22+E29</f>
        <v>0</v>
      </c>
      <c r="F10" s="520" t="s">
        <v>457</v>
      </c>
      <c r="G10" s="179">
        <f>G11+G22+G29</f>
        <v>287599</v>
      </c>
      <c r="H10" s="179">
        <f>H11+H22+H29</f>
        <v>171551</v>
      </c>
      <c r="I10" s="208">
        <f t="shared" si="0"/>
        <v>59.649372911588706</v>
      </c>
      <c r="J10" s="179">
        <f>J11+J22+J29</f>
        <v>24136</v>
      </c>
    </row>
    <row r="11" spans="1:10" s="49" customFormat="1" ht="12.75">
      <c r="A11" s="521" t="s">
        <v>458</v>
      </c>
      <c r="B11" s="186"/>
      <c r="C11" s="179">
        <f>SUM(C12,C20,)</f>
        <v>0</v>
      </c>
      <c r="D11" s="179"/>
      <c r="E11" s="179">
        <f>SUM(E12,E20,)</f>
        <v>0</v>
      </c>
      <c r="F11" s="521" t="s">
        <v>458</v>
      </c>
      <c r="G11" s="179">
        <f>SUM(G12,G20,)</f>
        <v>244740</v>
      </c>
      <c r="H11" s="179">
        <f>SUM(H12,H20,)</f>
        <v>145715</v>
      </c>
      <c r="I11" s="208">
        <f t="shared" si="0"/>
        <v>59.53869412437689</v>
      </c>
      <c r="J11" s="179">
        <f>SUM(J12,J20,)</f>
        <v>20881</v>
      </c>
    </row>
    <row r="12" spans="1:10" s="49" customFormat="1" ht="12.75">
      <c r="A12" s="521" t="s">
        <v>10</v>
      </c>
      <c r="B12" s="186"/>
      <c r="C12" s="179">
        <f>SUM(C13,C15,C18,C19)</f>
        <v>0</v>
      </c>
      <c r="D12" s="179"/>
      <c r="E12" s="179">
        <f>SUM(E13,E15,E18,E19)</f>
        <v>0</v>
      </c>
      <c r="F12" s="521" t="s">
        <v>10</v>
      </c>
      <c r="G12" s="179">
        <f>SUM(G13,G15,G18,G19)</f>
        <v>243705</v>
      </c>
      <c r="H12" s="179">
        <f>SUM(H13,H15,H18,H19)</f>
        <v>144966</v>
      </c>
      <c r="I12" s="208">
        <f t="shared" si="0"/>
        <v>59.48421246999446</v>
      </c>
      <c r="J12" s="179">
        <f>SUM(J13,J15,J18,J19)</f>
        <v>20769</v>
      </c>
    </row>
    <row r="13" spans="1:10" s="38" customFormat="1" ht="12.75">
      <c r="A13" s="244" t="s">
        <v>459</v>
      </c>
      <c r="B13" s="186"/>
      <c r="C13" s="186"/>
      <c r="D13" s="188"/>
      <c r="E13" s="186">
        <f>C13-'[18]Marts'!C13</f>
        <v>0</v>
      </c>
      <c r="F13" s="244" t="s">
        <v>460</v>
      </c>
      <c r="G13" s="186">
        <v>203579</v>
      </c>
      <c r="H13" s="186">
        <f>115108+1708</f>
        <v>116816</v>
      </c>
      <c r="I13" s="188">
        <f t="shared" si="0"/>
        <v>57.3811640689855</v>
      </c>
      <c r="J13" s="186">
        <f>H13-'[18]Junijs'!H13</f>
        <v>17592</v>
      </c>
    </row>
    <row r="14" spans="1:10" s="38" customFormat="1" ht="12.75">
      <c r="A14" s="283" t="s">
        <v>461</v>
      </c>
      <c r="B14" s="186"/>
      <c r="C14" s="186"/>
      <c r="D14" s="188"/>
      <c r="E14" s="186"/>
      <c r="F14" s="283" t="s">
        <v>461</v>
      </c>
      <c r="G14" s="186">
        <v>1055</v>
      </c>
      <c r="H14" s="186">
        <v>1055</v>
      </c>
      <c r="I14" s="188">
        <f t="shared" si="0"/>
        <v>100</v>
      </c>
      <c r="J14" s="186">
        <f>H14-'[18]Junijs'!H14</f>
        <v>0</v>
      </c>
    </row>
    <row r="15" spans="1:10" s="38" customFormat="1" ht="12.75">
      <c r="A15" s="244" t="s">
        <v>462</v>
      </c>
      <c r="B15" s="186"/>
      <c r="C15" s="186">
        <f>SUM(C16:C17)</f>
        <v>0</v>
      </c>
      <c r="D15" s="188"/>
      <c r="E15" s="186">
        <f>C15-'[18]Marts'!C15</f>
        <v>0</v>
      </c>
      <c r="F15" s="244" t="s">
        <v>462</v>
      </c>
      <c r="G15" s="186">
        <f>SUM(G16:G17)</f>
        <v>37787</v>
      </c>
      <c r="H15" s="186">
        <f>SUM(H16:H17)</f>
        <v>26392</v>
      </c>
      <c r="I15" s="188">
        <f t="shared" si="0"/>
        <v>69.84412628681822</v>
      </c>
      <c r="J15" s="186">
        <f>H15-'[18]Junijs'!H15</f>
        <v>2961</v>
      </c>
    </row>
    <row r="16" spans="1:10" s="38" customFormat="1" ht="25.5">
      <c r="A16" s="522" t="s">
        <v>463</v>
      </c>
      <c r="B16" s="186"/>
      <c r="C16" s="186"/>
      <c r="D16" s="188"/>
      <c r="E16" s="186">
        <f>C16-'[18]Marts'!C16</f>
        <v>0</v>
      </c>
      <c r="F16" s="522" t="s">
        <v>463</v>
      </c>
      <c r="G16" s="186">
        <v>22048</v>
      </c>
      <c r="H16" s="186">
        <v>13549</v>
      </c>
      <c r="I16" s="188">
        <f t="shared" si="0"/>
        <v>61.452285921625545</v>
      </c>
      <c r="J16" s="186">
        <f>H16-'[18]Junijs'!H16</f>
        <v>1393</v>
      </c>
    </row>
    <row r="17" spans="1:10" s="38" customFormat="1" ht="26.25" customHeight="1">
      <c r="A17" s="522" t="s">
        <v>464</v>
      </c>
      <c r="B17" s="186"/>
      <c r="C17" s="186"/>
      <c r="D17" s="188"/>
      <c r="E17" s="186">
        <f>C17-'[18]Marts'!C17</f>
        <v>0</v>
      </c>
      <c r="F17" s="522" t="s">
        <v>464</v>
      </c>
      <c r="G17" s="186">
        <v>15739</v>
      </c>
      <c r="H17" s="186">
        <v>12843</v>
      </c>
      <c r="I17" s="188">
        <f t="shared" si="0"/>
        <v>81.59984751254845</v>
      </c>
      <c r="J17" s="186">
        <f>H17-'[18]Junijs'!H17</f>
        <v>1568</v>
      </c>
    </row>
    <row r="18" spans="1:10" s="38" customFormat="1" ht="12.75">
      <c r="A18" s="244" t="s">
        <v>465</v>
      </c>
      <c r="B18" s="186"/>
      <c r="C18" s="186"/>
      <c r="D18" s="188"/>
      <c r="E18" s="186">
        <f>C18-'[18]Marts'!C18</f>
        <v>0</v>
      </c>
      <c r="F18" s="244" t="s">
        <v>465</v>
      </c>
      <c r="G18" s="186">
        <v>1140</v>
      </c>
      <c r="H18" s="186">
        <v>1086</v>
      </c>
      <c r="I18" s="188">
        <f t="shared" si="0"/>
        <v>95.26315789473684</v>
      </c>
      <c r="J18" s="186">
        <f>H18-'[18]Junijs'!H18</f>
        <v>111</v>
      </c>
    </row>
    <row r="19" spans="1:10" s="38" customFormat="1" ht="12.75">
      <c r="A19" s="244" t="s">
        <v>466</v>
      </c>
      <c r="B19" s="186"/>
      <c r="C19" s="186"/>
      <c r="D19" s="188"/>
      <c r="E19" s="186">
        <f>C19-'[18]Marts'!C19</f>
        <v>0</v>
      </c>
      <c r="F19" s="244" t="s">
        <v>466</v>
      </c>
      <c r="G19" s="186">
        <v>1199</v>
      </c>
      <c r="H19" s="186">
        <v>672</v>
      </c>
      <c r="I19" s="188">
        <f t="shared" si="0"/>
        <v>56.04670558798999</v>
      </c>
      <c r="J19" s="186">
        <f>H19-'[18]Junijs'!H19</f>
        <v>105</v>
      </c>
    </row>
    <row r="20" spans="1:10" s="49" customFormat="1" ht="12.75">
      <c r="A20" s="521" t="s">
        <v>12</v>
      </c>
      <c r="B20" s="186"/>
      <c r="C20" s="179">
        <f>C21</f>
        <v>0</v>
      </c>
      <c r="D20" s="208"/>
      <c r="E20" s="179">
        <f>E21</f>
        <v>0</v>
      </c>
      <c r="F20" s="521" t="s">
        <v>12</v>
      </c>
      <c r="G20" s="179">
        <f>G21</f>
        <v>1035</v>
      </c>
      <c r="H20" s="179">
        <f>H21</f>
        <v>749</v>
      </c>
      <c r="I20" s="208">
        <f t="shared" si="0"/>
        <v>72.3671497584541</v>
      </c>
      <c r="J20" s="179">
        <f>J21</f>
        <v>112</v>
      </c>
    </row>
    <row r="21" spans="1:10" ht="25.5">
      <c r="A21" s="523" t="s">
        <v>467</v>
      </c>
      <c r="B21" s="186"/>
      <c r="C21" s="186"/>
      <c r="D21" s="188"/>
      <c r="E21" s="186">
        <f>C21-'[18]Marts'!C21</f>
        <v>0</v>
      </c>
      <c r="F21" s="523" t="s">
        <v>467</v>
      </c>
      <c r="G21" s="186">
        <v>1035</v>
      </c>
      <c r="H21" s="186">
        <v>749</v>
      </c>
      <c r="I21" s="188">
        <f t="shared" si="0"/>
        <v>72.3671497584541</v>
      </c>
      <c r="J21" s="186">
        <f>H21-'[18]Junijs'!H21</f>
        <v>112</v>
      </c>
    </row>
    <row r="22" spans="1:10" s="49" customFormat="1" ht="12.75">
      <c r="A22" s="521" t="s">
        <v>468</v>
      </c>
      <c r="B22" s="186"/>
      <c r="C22" s="179">
        <f>SUM(C23:C28)</f>
        <v>0</v>
      </c>
      <c r="D22" s="208"/>
      <c r="E22" s="179">
        <f>SUM(E23:E28)</f>
        <v>0</v>
      </c>
      <c r="F22" s="521" t="s">
        <v>468</v>
      </c>
      <c r="G22" s="179">
        <f>SUM(G23:G28)</f>
        <v>17544</v>
      </c>
      <c r="H22" s="179">
        <f>SUM(H23:H28)</f>
        <v>10547</v>
      </c>
      <c r="I22" s="208">
        <f t="shared" si="0"/>
        <v>60.117419060647514</v>
      </c>
      <c r="J22" s="179">
        <f>SUM(J23:J28)</f>
        <v>1322</v>
      </c>
    </row>
    <row r="23" spans="1:10" ht="12.75">
      <c r="A23" s="244" t="s">
        <v>469</v>
      </c>
      <c r="B23" s="186"/>
      <c r="C23" s="186"/>
      <c r="D23" s="188"/>
      <c r="E23" s="186">
        <f>C23-'[18]Marts'!C23</f>
        <v>0</v>
      </c>
      <c r="F23" s="244" t="s">
        <v>469</v>
      </c>
      <c r="G23" s="186">
        <v>500</v>
      </c>
      <c r="H23" s="186">
        <v>294</v>
      </c>
      <c r="I23" s="188">
        <f t="shared" si="0"/>
        <v>58.8</v>
      </c>
      <c r="J23" s="186">
        <f>H23-'[18]Junijs'!H23</f>
        <v>-58</v>
      </c>
    </row>
    <row r="24" spans="1:10" ht="12.75">
      <c r="A24" s="244" t="s">
        <v>470</v>
      </c>
      <c r="B24" s="186"/>
      <c r="C24" s="186"/>
      <c r="D24" s="188"/>
      <c r="E24" s="186">
        <f>C24-'[18]Marts'!C24</f>
        <v>0</v>
      </c>
      <c r="F24" s="244" t="s">
        <v>470</v>
      </c>
      <c r="G24" s="186">
        <v>3103</v>
      </c>
      <c r="H24" s="186">
        <v>1895</v>
      </c>
      <c r="I24" s="188">
        <f t="shared" si="0"/>
        <v>61.06993232355785</v>
      </c>
      <c r="J24" s="186">
        <f>H24-'[18]Junijs'!H24</f>
        <v>346</v>
      </c>
    </row>
    <row r="25" spans="1:10" ht="12.75">
      <c r="A25" s="244" t="s">
        <v>471</v>
      </c>
      <c r="B25" s="186"/>
      <c r="C25" s="186"/>
      <c r="D25" s="188"/>
      <c r="E25" s="186">
        <f>C25-'[18]Marts'!C25</f>
        <v>0</v>
      </c>
      <c r="F25" s="244" t="s">
        <v>471</v>
      </c>
      <c r="G25" s="186">
        <v>240</v>
      </c>
      <c r="H25" s="186">
        <v>131</v>
      </c>
      <c r="I25" s="188">
        <f t="shared" si="0"/>
        <v>54.58333333333333</v>
      </c>
      <c r="J25" s="186">
        <f>H25-'[18]Junijs'!H25</f>
        <v>22</v>
      </c>
    </row>
    <row r="26" spans="1:10" ht="12.75">
      <c r="A26" s="244" t="s">
        <v>472</v>
      </c>
      <c r="B26" s="186"/>
      <c r="C26" s="186"/>
      <c r="D26" s="188"/>
      <c r="E26" s="186">
        <f>C26-'[18]Marts'!C26</f>
        <v>0</v>
      </c>
      <c r="F26" s="244" t="s">
        <v>472</v>
      </c>
      <c r="G26" s="186">
        <v>12954</v>
      </c>
      <c r="H26" s="186">
        <v>7730</v>
      </c>
      <c r="I26" s="188">
        <f t="shared" si="0"/>
        <v>59.67268797282692</v>
      </c>
      <c r="J26" s="186">
        <f>H26-'[18]Junijs'!H26</f>
        <v>925</v>
      </c>
    </row>
    <row r="27" spans="1:10" ht="25.5">
      <c r="A27" s="524" t="s">
        <v>473</v>
      </c>
      <c r="B27" s="186"/>
      <c r="C27" s="186"/>
      <c r="D27" s="188"/>
      <c r="E27" s="186">
        <f>C27-'[18]Marts'!C27</f>
        <v>0</v>
      </c>
      <c r="F27" s="524" t="s">
        <v>473</v>
      </c>
      <c r="G27" s="186">
        <v>603</v>
      </c>
      <c r="H27" s="186">
        <v>406</v>
      </c>
      <c r="I27" s="188">
        <f t="shared" si="0"/>
        <v>67.33001658374793</v>
      </c>
      <c r="J27" s="186">
        <f>H27-'[18]Junijs'!H27</f>
        <v>87</v>
      </c>
    </row>
    <row r="28" spans="1:10" ht="12.75">
      <c r="A28" s="244" t="s">
        <v>474</v>
      </c>
      <c r="B28" s="186"/>
      <c r="C28" s="186"/>
      <c r="D28" s="188"/>
      <c r="E28" s="186">
        <f>C28-'[18]Marts'!C28</f>
        <v>0</v>
      </c>
      <c r="F28" s="244" t="s">
        <v>474</v>
      </c>
      <c r="G28" s="186">
        <v>144</v>
      </c>
      <c r="H28" s="186">
        <v>91</v>
      </c>
      <c r="I28" s="188">
        <f t="shared" si="0"/>
        <v>63.19444444444444</v>
      </c>
      <c r="J28" s="186">
        <f>H28-'[18]Junijs'!H28</f>
        <v>0</v>
      </c>
    </row>
    <row r="29" spans="1:10" ht="51">
      <c r="A29" s="525" t="s">
        <v>475</v>
      </c>
      <c r="B29" s="186"/>
      <c r="C29" s="179"/>
      <c r="D29" s="208"/>
      <c r="E29" s="179">
        <f>C29-'[18]Marts'!C29</f>
        <v>0</v>
      </c>
      <c r="F29" s="525" t="s">
        <v>475</v>
      </c>
      <c r="G29" s="179">
        <f>25316-1</f>
        <v>25315</v>
      </c>
      <c r="H29" s="179">
        <f>15289</f>
        <v>15289</v>
      </c>
      <c r="I29" s="208">
        <f t="shared" si="0"/>
        <v>60.39502271380604</v>
      </c>
      <c r="J29" s="179">
        <f>H29-'[18]Junijs'!H29</f>
        <v>1933</v>
      </c>
    </row>
    <row r="30" spans="1:10" ht="12.75">
      <c r="A30" s="521" t="s">
        <v>476</v>
      </c>
      <c r="B30" s="186"/>
      <c r="C30" s="179">
        <f>SUM(C31,C35,C39,C43)</f>
        <v>0</v>
      </c>
      <c r="D30" s="208"/>
      <c r="E30" s="179">
        <f>SUM(E31,E35,E39,E43)</f>
        <v>0</v>
      </c>
      <c r="F30" s="521" t="s">
        <v>476</v>
      </c>
      <c r="G30" s="179">
        <f>SUM(G31,G35,G39,G43)</f>
        <v>152964</v>
      </c>
      <c r="H30" s="179">
        <f>SUM(H31,H35,H39,H43)</f>
        <v>97460</v>
      </c>
      <c r="I30" s="208">
        <f t="shared" si="0"/>
        <v>63.714338014173265</v>
      </c>
      <c r="J30" s="179">
        <f>SUM(J31,J35,J39,J43)</f>
        <v>10388</v>
      </c>
    </row>
    <row r="31" spans="1:10" ht="12.75">
      <c r="A31" s="519" t="s">
        <v>477</v>
      </c>
      <c r="B31" s="186"/>
      <c r="C31" s="179">
        <f>SUM(C32:C34)</f>
        <v>0</v>
      </c>
      <c r="D31" s="208"/>
      <c r="E31" s="179">
        <f>SUM(E32:E34)</f>
        <v>0</v>
      </c>
      <c r="F31" s="519" t="s">
        <v>477</v>
      </c>
      <c r="G31" s="179">
        <f>SUM(G32:G34)</f>
        <v>8563</v>
      </c>
      <c r="H31" s="179">
        <f>SUM(H32:H34)</f>
        <v>4732</v>
      </c>
      <c r="I31" s="208">
        <f t="shared" si="0"/>
        <v>55.26100665654561</v>
      </c>
      <c r="J31" s="179">
        <f>SUM(J32:J34)</f>
        <v>651</v>
      </c>
    </row>
    <row r="32" spans="1:10" ht="25.5">
      <c r="A32" s="524" t="s">
        <v>478</v>
      </c>
      <c r="B32" s="186"/>
      <c r="C32" s="186"/>
      <c r="D32" s="188"/>
      <c r="E32" s="186">
        <f>C32-'[18]Marts'!C32</f>
        <v>0</v>
      </c>
      <c r="F32" s="524" t="s">
        <v>478</v>
      </c>
      <c r="G32" s="186">
        <v>6928</v>
      </c>
      <c r="H32" s="186">
        <v>3713</v>
      </c>
      <c r="I32" s="188">
        <f t="shared" si="0"/>
        <v>53.59411085450346</v>
      </c>
      <c r="J32" s="186">
        <f>H32-'[18]Junijs'!H32</f>
        <v>513</v>
      </c>
    </row>
    <row r="33" spans="1:10" ht="38.25">
      <c r="A33" s="524" t="s">
        <v>479</v>
      </c>
      <c r="B33" s="186"/>
      <c r="C33" s="186"/>
      <c r="D33" s="188"/>
      <c r="E33" s="186">
        <f>C33-'[18]Marts'!C33</f>
        <v>0</v>
      </c>
      <c r="F33" s="524" t="s">
        <v>479</v>
      </c>
      <c r="G33" s="186">
        <v>505</v>
      </c>
      <c r="H33" s="186">
        <v>294</v>
      </c>
      <c r="I33" s="188">
        <f t="shared" si="0"/>
        <v>58.21782178217821</v>
      </c>
      <c r="J33" s="186">
        <f>H33-'[18]Junijs'!H33</f>
        <v>51</v>
      </c>
    </row>
    <row r="34" spans="1:10" ht="12.75">
      <c r="A34" s="244" t="s">
        <v>480</v>
      </c>
      <c r="B34" s="186"/>
      <c r="C34" s="186"/>
      <c r="D34" s="188"/>
      <c r="E34" s="186">
        <f>C34-'[18]Marts'!C34</f>
        <v>0</v>
      </c>
      <c r="F34" s="244" t="s">
        <v>480</v>
      </c>
      <c r="G34" s="186">
        <v>1130</v>
      </c>
      <c r="H34" s="186">
        <v>725</v>
      </c>
      <c r="I34" s="188">
        <f t="shared" si="0"/>
        <v>64.15929203539822</v>
      </c>
      <c r="J34" s="186">
        <f>H34-'[18]Junijs'!H34</f>
        <v>87</v>
      </c>
    </row>
    <row r="35" spans="1:10" ht="12.75">
      <c r="A35" s="519" t="s">
        <v>481</v>
      </c>
      <c r="B35" s="186"/>
      <c r="C35" s="179">
        <f>SUM(C36:C38)</f>
        <v>0</v>
      </c>
      <c r="D35" s="208"/>
      <c r="E35" s="179">
        <f>SUM(E36:E38)</f>
        <v>0</v>
      </c>
      <c r="F35" s="519" t="s">
        <v>481</v>
      </c>
      <c r="G35" s="179">
        <f>SUM(G36:G38)</f>
        <v>108940</v>
      </c>
      <c r="H35" s="179">
        <f>SUM(H36:H38)</f>
        <v>71807</v>
      </c>
      <c r="I35" s="208">
        <f t="shared" si="0"/>
        <v>65.9142647328805</v>
      </c>
      <c r="J35" s="179">
        <f>SUM(J36:J38)</f>
        <v>6726</v>
      </c>
    </row>
    <row r="36" spans="1:10" ht="12.75">
      <c r="A36" s="244" t="s">
        <v>482</v>
      </c>
      <c r="B36" s="186"/>
      <c r="C36" s="186"/>
      <c r="D36" s="188"/>
      <c r="E36" s="186">
        <f>C36-'[18]Marts'!C36</f>
        <v>0</v>
      </c>
      <c r="F36" s="244" t="s">
        <v>482</v>
      </c>
      <c r="G36" s="186">
        <v>311</v>
      </c>
      <c r="H36" s="186">
        <v>148</v>
      </c>
      <c r="I36" s="188">
        <f t="shared" si="0"/>
        <v>47.58842443729904</v>
      </c>
      <c r="J36" s="186">
        <f>H36-'[18]Junijs'!H36</f>
        <v>14</v>
      </c>
    </row>
    <row r="37" spans="1:10" ht="12.75">
      <c r="A37" s="244" t="s">
        <v>483</v>
      </c>
      <c r="B37" s="186"/>
      <c r="C37" s="186"/>
      <c r="D37" s="188"/>
      <c r="E37" s="186">
        <f>C37-'[18]Marts'!C37</f>
        <v>0</v>
      </c>
      <c r="F37" s="244" t="s">
        <v>483</v>
      </c>
      <c r="G37" s="186">
        <v>108629</v>
      </c>
      <c r="H37" s="186">
        <v>71659</v>
      </c>
      <c r="I37" s="188">
        <f t="shared" si="0"/>
        <v>65.96673079932614</v>
      </c>
      <c r="J37" s="186">
        <f>H37-'[18]Junijs'!H37</f>
        <v>6712</v>
      </c>
    </row>
    <row r="38" spans="1:10" ht="21.75" customHeight="1">
      <c r="A38" s="523" t="s">
        <v>484</v>
      </c>
      <c r="B38" s="186"/>
      <c r="C38" s="186"/>
      <c r="D38" s="188"/>
      <c r="E38" s="186">
        <f>C38-'[18]Marts'!C38</f>
        <v>0</v>
      </c>
      <c r="F38" s="526" t="s">
        <v>484</v>
      </c>
      <c r="G38" s="186"/>
      <c r="H38" s="186"/>
      <c r="I38" s="208"/>
      <c r="J38" s="186"/>
    </row>
    <row r="39" spans="1:10" ht="38.25">
      <c r="A39" s="520" t="s">
        <v>485</v>
      </c>
      <c r="B39" s="186"/>
      <c r="C39" s="179">
        <f>SUM(C40:C42)</f>
        <v>0</v>
      </c>
      <c r="D39" s="179"/>
      <c r="E39" s="179">
        <f>SUM(E40:E42)</f>
        <v>0</v>
      </c>
      <c r="F39" s="527" t="s">
        <v>485</v>
      </c>
      <c r="G39" s="179">
        <f>SUM(G40:G42)</f>
        <v>34327</v>
      </c>
      <c r="H39" s="179">
        <f>SUM(H40:H42)</f>
        <v>20045</v>
      </c>
      <c r="I39" s="208">
        <f>H39/G39*100</f>
        <v>58.39426690360357</v>
      </c>
      <c r="J39" s="179">
        <f>SUM(J40:J42)</f>
        <v>2864</v>
      </c>
    </row>
    <row r="40" spans="1:10" ht="12.75" customHeight="1">
      <c r="A40" s="244" t="s">
        <v>482</v>
      </c>
      <c r="B40" s="186"/>
      <c r="C40" s="186"/>
      <c r="D40" s="188"/>
      <c r="E40" s="186">
        <f>C40-'[18]Marts'!C40</f>
        <v>0</v>
      </c>
      <c r="F40" s="244" t="s">
        <v>482</v>
      </c>
      <c r="G40" s="186">
        <v>34274</v>
      </c>
      <c r="H40" s="186">
        <v>20019</v>
      </c>
      <c r="I40" s="188">
        <f>H40/G40*100</f>
        <v>58.40870630798857</v>
      </c>
      <c r="J40" s="186">
        <f>H40-'[18]Junijs'!H40</f>
        <v>2859</v>
      </c>
    </row>
    <row r="41" spans="1:10" ht="12.75" customHeight="1" hidden="1">
      <c r="A41" s="244" t="s">
        <v>486</v>
      </c>
      <c r="B41" s="186"/>
      <c r="C41" s="186"/>
      <c r="D41" s="188"/>
      <c r="E41" s="186">
        <f>C41-'[18]Marts'!C41</f>
        <v>0</v>
      </c>
      <c r="F41" s="244" t="s">
        <v>486</v>
      </c>
      <c r="G41" s="186"/>
      <c r="H41" s="186"/>
      <c r="I41" s="188" t="e">
        <f>H41/G41*100</f>
        <v>#DIV/0!</v>
      </c>
      <c r="J41" s="186">
        <f>H41-'[18]Junijs'!H41</f>
        <v>0</v>
      </c>
    </row>
    <row r="42" spans="1:10" ht="12.75" customHeight="1">
      <c r="A42" s="244" t="s">
        <v>487</v>
      </c>
      <c r="B42" s="186"/>
      <c r="C42" s="186"/>
      <c r="D42" s="188"/>
      <c r="E42" s="186">
        <f>C42-'[18]Marts'!C42</f>
        <v>0</v>
      </c>
      <c r="F42" s="244" t="s">
        <v>488</v>
      </c>
      <c r="G42" s="186">
        <v>53</v>
      </c>
      <c r="H42" s="186">
        <v>26</v>
      </c>
      <c r="I42" s="188">
        <f>H42/G42*100</f>
        <v>49.056603773584904</v>
      </c>
      <c r="J42" s="186">
        <f>H42-'[18]Junijs'!H42</f>
        <v>5</v>
      </c>
    </row>
    <row r="43" spans="1:10" ht="12.75">
      <c r="A43" s="519" t="s">
        <v>489</v>
      </c>
      <c r="B43" s="528"/>
      <c r="C43" s="186"/>
      <c r="D43" s="188"/>
      <c r="E43" s="186">
        <f>C43-'[18]Marts'!C43</f>
        <v>0</v>
      </c>
      <c r="F43" s="519" t="s">
        <v>489</v>
      </c>
      <c r="G43" s="179">
        <v>1134</v>
      </c>
      <c r="H43" s="179">
        <f>878-2</f>
        <v>876</v>
      </c>
      <c r="I43" s="208">
        <f>H43/G43*100</f>
        <v>77.24867724867724</v>
      </c>
      <c r="J43" s="179">
        <f>H43-'[18]Junijs'!H43</f>
        <v>147</v>
      </c>
    </row>
    <row r="44" spans="1:10" ht="12.75">
      <c r="A44" s="529" t="s">
        <v>490</v>
      </c>
      <c r="B44" s="530"/>
      <c r="C44" s="3" t="s">
        <v>491</v>
      </c>
      <c r="D44" s="531"/>
      <c r="E44" s="186"/>
      <c r="F44" s="886" t="s">
        <v>893</v>
      </c>
      <c r="G44" s="887"/>
      <c r="H44" s="887"/>
      <c r="I44" s="531"/>
      <c r="J44" s="532"/>
    </row>
    <row r="45" spans="1:10" ht="12.75">
      <c r="A45" s="529"/>
      <c r="B45" s="505"/>
      <c r="C45" s="505"/>
      <c r="D45" s="505"/>
      <c r="E45" s="532"/>
      <c r="F45" s="888" t="s">
        <v>894</v>
      </c>
      <c r="G45" s="888"/>
      <c r="H45" s="888"/>
      <c r="I45" s="505"/>
      <c r="J45" s="532"/>
    </row>
    <row r="47" s="1" customFormat="1" ht="17.25" customHeight="1">
      <c r="A47" s="49"/>
    </row>
    <row r="48" spans="1:10" ht="17.25" customHeight="1">
      <c r="A48" s="41" t="s">
        <v>115</v>
      </c>
      <c r="B48" s="39"/>
      <c r="C48" s="39"/>
      <c r="D48" s="39" t="s">
        <v>116</v>
      </c>
      <c r="E48" s="1"/>
      <c r="F48" s="41" t="s">
        <v>895</v>
      </c>
      <c r="G48" s="39"/>
      <c r="H48" s="39"/>
      <c r="I48" s="39" t="s">
        <v>862</v>
      </c>
      <c r="J48" s="1"/>
    </row>
    <row r="49" spans="1:10" s="1" customFormat="1" ht="17.25" customHeight="1">
      <c r="A49" s="505"/>
      <c r="B49" s="505"/>
      <c r="C49" s="505"/>
      <c r="D49" s="505"/>
      <c r="E49" s="503"/>
      <c r="F49" s="505"/>
      <c r="G49" s="505"/>
      <c r="H49" s="505"/>
      <c r="I49" s="505"/>
      <c r="J49" s="503"/>
    </row>
    <row r="50" spans="2:9" ht="17.25" customHeight="1">
      <c r="B50" s="505"/>
      <c r="C50" s="505"/>
      <c r="D50" s="505"/>
      <c r="G50" s="505"/>
      <c r="H50" s="505"/>
      <c r="I50" s="505"/>
    </row>
    <row r="51" spans="1:9" s="531" customFormat="1" ht="12.75">
      <c r="A51" s="533"/>
      <c r="C51" s="33"/>
      <c r="D51" s="483"/>
      <c r="F51" s="49" t="s">
        <v>272</v>
      </c>
      <c r="H51" s="33"/>
      <c r="I51" s="483"/>
    </row>
    <row r="52" spans="2:9" ht="12.75">
      <c r="B52" s="531"/>
      <c r="C52" s="531"/>
      <c r="D52" s="531"/>
      <c r="F52" s="49" t="s">
        <v>847</v>
      </c>
      <c r="G52" s="531"/>
      <c r="H52" s="531"/>
      <c r="I52" s="531"/>
    </row>
    <row r="53" spans="1:9" s="531" customFormat="1" ht="17.25" customHeight="1">
      <c r="A53" s="533"/>
      <c r="C53" s="33"/>
      <c r="D53" s="483"/>
      <c r="F53" s="533"/>
      <c r="H53" s="33"/>
      <c r="I53" s="483"/>
    </row>
    <row r="54" spans="2:9" ht="17.25" customHeight="1">
      <c r="B54" s="531"/>
      <c r="C54" s="531"/>
      <c r="D54" s="531"/>
      <c r="G54" s="531"/>
      <c r="H54" s="531"/>
      <c r="I54" s="531"/>
    </row>
    <row r="55" spans="2:8" ht="17.25" customHeight="1">
      <c r="B55" s="534"/>
      <c r="C55" s="33"/>
      <c r="G55" s="534"/>
      <c r="H55" s="33"/>
    </row>
    <row r="56" spans="2:8" ht="17.25" customHeight="1">
      <c r="B56" s="534"/>
      <c r="C56" s="38"/>
      <c r="G56" s="534"/>
      <c r="H56" s="38"/>
    </row>
    <row r="58" spans="2:8" ht="17.25" customHeight="1">
      <c r="B58" s="534"/>
      <c r="C58" s="1"/>
      <c r="G58" s="534"/>
      <c r="H58" s="1"/>
    </row>
    <row r="59" spans="2:8" ht="17.25" customHeight="1">
      <c r="B59" s="534"/>
      <c r="C59" s="1"/>
      <c r="G59" s="534"/>
      <c r="H59" s="1"/>
    </row>
  </sheetData>
  <mergeCells count="2">
    <mergeCell ref="F44:H44"/>
    <mergeCell ref="F45:H45"/>
  </mergeCells>
  <printOptions horizontalCentered="1"/>
  <pageMargins left="1.1023622047244095" right="0.4330708661417323" top="0.35433070866141736" bottom="0.5905511811023623" header="0.15748031496062992" footer="0.35433070866141736"/>
  <pageSetup firstPageNumber="33" useFirstPageNumber="1" fitToHeight="1" fitToWidth="1" horizontalDpi="300" verticalDpi="300" orientation="portrait" paperSize="9" scale="94" r:id="rId3"/>
  <headerFooter alignWithMargins="0">
    <oddFooter>&amp;R&amp;8&amp;P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A59" sqref="A59"/>
    </sheetView>
  </sheetViews>
  <sheetFormatPr defaultColWidth="9.140625" defaultRowHeight="17.25" customHeight="1"/>
  <cols>
    <col min="1" max="1" width="45.57421875" style="505" hidden="1" customWidth="1"/>
    <col min="2" max="2" width="10.8515625" style="550" hidden="1" customWidth="1"/>
    <col min="3" max="3" width="11.28125" style="483" hidden="1" customWidth="1"/>
    <col min="4" max="4" width="12.140625" style="483" hidden="1" customWidth="1"/>
    <col min="5" max="5" width="12.8515625" style="483" hidden="1" customWidth="1"/>
    <col min="6" max="6" width="45.57421875" style="505" customWidth="1"/>
    <col min="7" max="7" width="10.8515625" style="550" customWidth="1"/>
    <col min="8" max="8" width="11.28125" style="483" customWidth="1"/>
    <col min="9" max="9" width="12.140625" style="483" customWidth="1"/>
    <col min="10" max="10" width="12.8515625" style="483" customWidth="1"/>
    <col min="11" max="16384" width="9.140625" style="483" customWidth="1"/>
  </cols>
  <sheetData>
    <row r="1" spans="2:10" ht="17.25" customHeight="1">
      <c r="B1" s="506"/>
      <c r="C1" s="51"/>
      <c r="D1" s="51"/>
      <c r="E1" s="51" t="s">
        <v>492</v>
      </c>
      <c r="G1" s="506"/>
      <c r="H1" s="51"/>
      <c r="I1" s="51"/>
      <c r="J1" s="51" t="s">
        <v>492</v>
      </c>
    </row>
    <row r="2" spans="1:10" ht="17.25" customHeight="1">
      <c r="A2" s="890" t="s">
        <v>493</v>
      </c>
      <c r="B2" s="890"/>
      <c r="C2" s="890"/>
      <c r="D2" s="890"/>
      <c r="E2" s="890"/>
      <c r="F2" s="890" t="s">
        <v>3</v>
      </c>
      <c r="G2" s="890"/>
      <c r="H2" s="890"/>
      <c r="I2" s="890"/>
      <c r="J2" s="890"/>
    </row>
    <row r="3" spans="1:10" s="38" customFormat="1" ht="17.25" customHeight="1">
      <c r="A3" s="506"/>
      <c r="B3" s="536"/>
      <c r="C3" s="87"/>
      <c r="D3" s="87"/>
      <c r="E3" s="87"/>
      <c r="F3" s="506"/>
      <c r="G3" s="536"/>
      <c r="H3" s="87"/>
      <c r="I3" s="87"/>
      <c r="J3" s="87"/>
    </row>
    <row r="4" spans="1:10" ht="17.25" customHeight="1">
      <c r="A4" s="889" t="s">
        <v>494</v>
      </c>
      <c r="B4" s="889"/>
      <c r="C4" s="889"/>
      <c r="D4" s="889"/>
      <c r="E4" s="889"/>
      <c r="F4" s="889" t="s">
        <v>494</v>
      </c>
      <c r="G4" s="889"/>
      <c r="H4" s="889"/>
      <c r="I4" s="889"/>
      <c r="J4" s="889"/>
    </row>
    <row r="5" spans="1:10" s="509" customFormat="1" ht="17.25" customHeight="1">
      <c r="A5" s="889" t="s">
        <v>495</v>
      </c>
      <c r="B5" s="889"/>
      <c r="C5" s="889"/>
      <c r="D5" s="889"/>
      <c r="E5" s="889"/>
      <c r="F5" s="890" t="s">
        <v>865</v>
      </c>
      <c r="G5" s="890"/>
      <c r="H5" s="890"/>
      <c r="I5" s="890"/>
      <c r="J5" s="890"/>
    </row>
    <row r="6" spans="2:10" ht="17.25" customHeight="1">
      <c r="B6" s="538"/>
      <c r="C6" s="38"/>
      <c r="D6" s="87"/>
      <c r="E6" s="51" t="s">
        <v>201</v>
      </c>
      <c r="G6" s="538"/>
      <c r="H6" s="38"/>
      <c r="I6" s="87" t="s">
        <v>496</v>
      </c>
      <c r="J6" s="51"/>
    </row>
    <row r="7" spans="1:10" s="38" customFormat="1" ht="33.75">
      <c r="A7" s="539" t="s">
        <v>791</v>
      </c>
      <c r="B7" s="516" t="s">
        <v>401</v>
      </c>
      <c r="C7" s="516" t="s">
        <v>959</v>
      </c>
      <c r="D7" s="516" t="s">
        <v>453</v>
      </c>
      <c r="E7" s="9" t="s">
        <v>123</v>
      </c>
      <c r="F7" s="539" t="s">
        <v>791</v>
      </c>
      <c r="G7" s="516" t="s">
        <v>401</v>
      </c>
      <c r="H7" s="516" t="s">
        <v>959</v>
      </c>
      <c r="I7" s="516" t="s">
        <v>453</v>
      </c>
      <c r="J7" s="9" t="s">
        <v>850</v>
      </c>
    </row>
    <row r="8" spans="1:10" ht="17.25" customHeight="1">
      <c r="A8" s="517" t="s">
        <v>454</v>
      </c>
      <c r="B8" s="518" t="s">
        <v>497</v>
      </c>
      <c r="C8" s="518" t="s">
        <v>498</v>
      </c>
      <c r="D8" s="518" t="s">
        <v>499</v>
      </c>
      <c r="E8" s="518" t="s">
        <v>455</v>
      </c>
      <c r="F8" s="517" t="s">
        <v>454</v>
      </c>
      <c r="G8" s="518" t="s">
        <v>497</v>
      </c>
      <c r="H8" s="518" t="s">
        <v>498</v>
      </c>
      <c r="I8" s="518" t="s">
        <v>499</v>
      </c>
      <c r="J8" s="518" t="s">
        <v>455</v>
      </c>
    </row>
    <row r="9" spans="1:10" ht="17.25" customHeight="1">
      <c r="A9" s="520" t="s">
        <v>500</v>
      </c>
      <c r="B9" s="179">
        <f>SUM(B10,B29)</f>
        <v>0</v>
      </c>
      <c r="C9" s="179">
        <f>SUM(C10,C29)</f>
        <v>0</v>
      </c>
      <c r="D9" s="208"/>
      <c r="E9" s="179">
        <f>SUM(E10,E29)</f>
        <v>0</v>
      </c>
      <c r="F9" s="520" t="s">
        <v>500</v>
      </c>
      <c r="G9" s="179">
        <f>SUM(G10,G29)</f>
        <v>469864</v>
      </c>
      <c r="H9" s="179">
        <f>SUM(H10,H29)</f>
        <v>274552</v>
      </c>
      <c r="I9" s="208">
        <f aca="true" t="shared" si="0" ref="I9:I35">H9/G9*100</f>
        <v>58.43222719765719</v>
      </c>
      <c r="J9" s="179">
        <f>SUM(J10,J29)</f>
        <v>36323</v>
      </c>
    </row>
    <row r="10" spans="1:10" s="49" customFormat="1" ht="17.25" customHeight="1">
      <c r="A10" s="540" t="s">
        <v>501</v>
      </c>
      <c r="B10" s="179">
        <f>SUM(B11:B27)</f>
        <v>0</v>
      </c>
      <c r="C10" s="179">
        <f>SUM(C11:C27)</f>
        <v>0</v>
      </c>
      <c r="D10" s="208"/>
      <c r="E10" s="179">
        <f>SUM(E11:E27)</f>
        <v>0</v>
      </c>
      <c r="F10" s="540" t="s">
        <v>501</v>
      </c>
      <c r="G10" s="179">
        <f>SUM(G11:G27)</f>
        <v>432763</v>
      </c>
      <c r="H10" s="179">
        <f>SUM(H11:H27)</f>
        <v>253722</v>
      </c>
      <c r="I10" s="208">
        <f t="shared" si="0"/>
        <v>58.62839475648334</v>
      </c>
      <c r="J10" s="179">
        <f>SUM(J11:J27)</f>
        <v>33309</v>
      </c>
    </row>
    <row r="11" spans="1:10" s="1" customFormat="1" ht="17.25" customHeight="1">
      <c r="A11" s="524" t="s">
        <v>502</v>
      </c>
      <c r="B11" s="186"/>
      <c r="C11" s="186"/>
      <c r="D11" s="188"/>
      <c r="E11" s="186">
        <f>C11-'[19]Marts'!C11</f>
        <v>0</v>
      </c>
      <c r="F11" s="524" t="s">
        <v>502</v>
      </c>
      <c r="G11" s="186">
        <v>47461</v>
      </c>
      <c r="H11" s="186">
        <v>27623</v>
      </c>
      <c r="I11" s="208">
        <f t="shared" si="0"/>
        <v>58.20147068119087</v>
      </c>
      <c r="J11" s="186">
        <f>H11-'[19]Junijs'!H11</f>
        <v>4446</v>
      </c>
    </row>
    <row r="12" spans="1:10" s="1" customFormat="1" ht="17.25" customHeight="1">
      <c r="A12" s="524" t="s">
        <v>182</v>
      </c>
      <c r="B12" s="186"/>
      <c r="C12" s="186"/>
      <c r="D12" s="188"/>
      <c r="E12" s="186">
        <f>C12-'[19]Marts'!C12</f>
        <v>0</v>
      </c>
      <c r="F12" s="524" t="s">
        <v>182</v>
      </c>
      <c r="G12" s="186">
        <v>156</v>
      </c>
      <c r="H12" s="186">
        <v>76</v>
      </c>
      <c r="I12" s="208">
        <f t="shared" si="0"/>
        <v>48.717948717948715</v>
      </c>
      <c r="J12" s="186">
        <f>H12-'[19]Junijs'!H12</f>
        <v>-434</v>
      </c>
    </row>
    <row r="13" spans="1:10" s="1" customFormat="1" ht="17.25" customHeight="1">
      <c r="A13" s="524" t="s">
        <v>183</v>
      </c>
      <c r="B13" s="186"/>
      <c r="C13" s="186"/>
      <c r="D13" s="188"/>
      <c r="E13" s="186">
        <f>C13-'[19]Marts'!C13</f>
        <v>0</v>
      </c>
      <c r="F13" s="524" t="s">
        <v>183</v>
      </c>
      <c r="G13" s="186">
        <v>6246</v>
      </c>
      <c r="H13" s="186">
        <v>3507</v>
      </c>
      <c r="I13" s="208">
        <f t="shared" si="0"/>
        <v>56.14793467819405</v>
      </c>
      <c r="J13" s="186">
        <f>H13-'[19]Junijs'!H13</f>
        <v>550</v>
      </c>
    </row>
    <row r="14" spans="1:10" s="1" customFormat="1" ht="17.25" customHeight="1">
      <c r="A14" s="524" t="s">
        <v>184</v>
      </c>
      <c r="B14" s="186"/>
      <c r="C14" s="186"/>
      <c r="D14" s="188"/>
      <c r="E14" s="186">
        <f>C14-'[19]Marts'!C14</f>
        <v>0</v>
      </c>
      <c r="F14" s="524" t="s">
        <v>184</v>
      </c>
      <c r="G14" s="186">
        <v>218295</v>
      </c>
      <c r="H14" s="186">
        <v>124570</v>
      </c>
      <c r="I14" s="208">
        <f t="shared" si="0"/>
        <v>57.06498087450469</v>
      </c>
      <c r="J14" s="186">
        <f>H14-'[19]Junijs'!H14</f>
        <v>14900</v>
      </c>
    </row>
    <row r="15" spans="1:10" s="1" customFormat="1" ht="17.25" customHeight="1">
      <c r="A15" s="524" t="s">
        <v>185</v>
      </c>
      <c r="B15" s="186"/>
      <c r="C15" s="186"/>
      <c r="D15" s="188"/>
      <c r="E15" s="186">
        <f>C15-'[19]Marts'!C15</f>
        <v>0</v>
      </c>
      <c r="F15" s="524" t="s">
        <v>185</v>
      </c>
      <c r="G15" s="186">
        <v>5157</v>
      </c>
      <c r="H15" s="186">
        <v>3823</v>
      </c>
      <c r="I15" s="208">
        <f t="shared" si="0"/>
        <v>74.13224743067674</v>
      </c>
      <c r="J15" s="186">
        <f>H15-'[19]Junijs'!H15</f>
        <v>519</v>
      </c>
    </row>
    <row r="16" spans="1:10" s="1" customFormat="1" ht="17.25" customHeight="1">
      <c r="A16" s="524" t="s">
        <v>186</v>
      </c>
      <c r="B16" s="186"/>
      <c r="C16" s="186"/>
      <c r="D16" s="188"/>
      <c r="E16" s="186">
        <f>C16-'[19]Marts'!C16</f>
        <v>0</v>
      </c>
      <c r="F16" s="524" t="s">
        <v>186</v>
      </c>
      <c r="G16" s="186">
        <v>36649</v>
      </c>
      <c r="H16" s="186">
        <v>21066</v>
      </c>
      <c r="I16" s="208">
        <f t="shared" si="0"/>
        <v>57.48042238533111</v>
      </c>
      <c r="J16" s="186">
        <f>H16-'[19]Junijs'!H16</f>
        <v>2541</v>
      </c>
    </row>
    <row r="17" spans="1:10" s="1" customFormat="1" ht="17.25" customHeight="1">
      <c r="A17" s="524" t="s">
        <v>187</v>
      </c>
      <c r="B17" s="186"/>
      <c r="C17" s="186"/>
      <c r="D17" s="188"/>
      <c r="E17" s="186">
        <f>C17-'[19]Marts'!C17</f>
        <v>0</v>
      </c>
      <c r="F17" s="524" t="s">
        <v>187</v>
      </c>
      <c r="G17" s="186">
        <v>61080</v>
      </c>
      <c r="H17" s="186">
        <v>40164</v>
      </c>
      <c r="I17" s="208">
        <f t="shared" si="0"/>
        <v>65.75638506876228</v>
      </c>
      <c r="J17" s="186">
        <f>H17-'[19]Junijs'!H17</f>
        <v>5860</v>
      </c>
    </row>
    <row r="18" spans="1:10" s="1" customFormat="1" ht="17.25" customHeight="1">
      <c r="A18" s="524" t="s">
        <v>369</v>
      </c>
      <c r="B18" s="186"/>
      <c r="C18" s="186"/>
      <c r="D18" s="188"/>
      <c r="E18" s="186">
        <f>C18-'[19]Marts'!C18</f>
        <v>0</v>
      </c>
      <c r="F18" s="524" t="s">
        <v>369</v>
      </c>
      <c r="G18" s="186">
        <v>37947</v>
      </c>
      <c r="H18" s="186">
        <v>20102</v>
      </c>
      <c r="I18" s="208">
        <f t="shared" si="0"/>
        <v>52.97388462856089</v>
      </c>
      <c r="J18" s="186">
        <f>H18-'[19]Junijs'!H18</f>
        <v>2715</v>
      </c>
    </row>
    <row r="19" spans="1:10" s="1" customFormat="1" ht="17.25" customHeight="1">
      <c r="A19" s="524" t="s">
        <v>189</v>
      </c>
      <c r="B19" s="186"/>
      <c r="C19" s="186"/>
      <c r="D19" s="188"/>
      <c r="E19" s="186">
        <f>C19-'[19]Marts'!C19</f>
        <v>0</v>
      </c>
      <c r="F19" s="524" t="s">
        <v>189</v>
      </c>
      <c r="G19" s="186">
        <v>728</v>
      </c>
      <c r="H19" s="186">
        <v>374</v>
      </c>
      <c r="I19" s="208">
        <f t="shared" si="0"/>
        <v>51.373626373626365</v>
      </c>
      <c r="J19" s="186">
        <f>H19-'[19]Junijs'!H19</f>
        <v>110</v>
      </c>
    </row>
    <row r="20" spans="1:10" s="1" customFormat="1" ht="25.5">
      <c r="A20" s="524" t="s">
        <v>372</v>
      </c>
      <c r="B20" s="186"/>
      <c r="C20" s="186"/>
      <c r="D20" s="188"/>
      <c r="E20" s="186">
        <f>C20-'[19]Marts'!C20</f>
        <v>0</v>
      </c>
      <c r="F20" s="524" t="s">
        <v>372</v>
      </c>
      <c r="G20" s="186">
        <v>1740</v>
      </c>
      <c r="H20" s="186">
        <v>857</v>
      </c>
      <c r="I20" s="208">
        <f t="shared" si="0"/>
        <v>49.252873563218394</v>
      </c>
      <c r="J20" s="186">
        <f>H20-'[19]Junijs'!H20</f>
        <v>112</v>
      </c>
    </row>
    <row r="21" spans="1:10" s="1" customFormat="1" ht="25.5">
      <c r="A21" s="524" t="s">
        <v>191</v>
      </c>
      <c r="B21" s="186"/>
      <c r="C21" s="186"/>
      <c r="D21" s="188"/>
      <c r="E21" s="186">
        <f>C21-'[19]Marts'!C21</f>
        <v>0</v>
      </c>
      <c r="F21" s="524" t="s">
        <v>191</v>
      </c>
      <c r="G21" s="186">
        <v>158</v>
      </c>
      <c r="H21" s="186">
        <v>31</v>
      </c>
      <c r="I21" s="208">
        <f t="shared" si="0"/>
        <v>19.62025316455696</v>
      </c>
      <c r="J21" s="186">
        <f>H21-'[19]Junijs'!H21</f>
        <v>14</v>
      </c>
    </row>
    <row r="22" spans="1:10" s="1" customFormat="1" ht="17.25" customHeight="1">
      <c r="A22" s="524" t="s">
        <v>503</v>
      </c>
      <c r="B22" s="66"/>
      <c r="C22" s="186"/>
      <c r="D22" s="188"/>
      <c r="E22" s="186">
        <f>C22-'[19]Marts'!C22</f>
        <v>0</v>
      </c>
      <c r="F22" s="524" t="s">
        <v>503</v>
      </c>
      <c r="G22" s="66">
        <v>8447</v>
      </c>
      <c r="H22" s="186">
        <v>6807</v>
      </c>
      <c r="I22" s="208">
        <f t="shared" si="0"/>
        <v>80.58482301408783</v>
      </c>
      <c r="J22" s="186">
        <f>H22-'[19]Junijs'!H22</f>
        <v>929</v>
      </c>
    </row>
    <row r="23" spans="1:10" s="1" customFormat="1" ht="17.25" customHeight="1">
      <c r="A23" s="524" t="s">
        <v>193</v>
      </c>
      <c r="B23" s="186"/>
      <c r="C23" s="186"/>
      <c r="D23" s="188"/>
      <c r="E23" s="186">
        <f>C23-'[19]Marts'!C23</f>
        <v>0</v>
      </c>
      <c r="F23" s="524" t="s">
        <v>193</v>
      </c>
      <c r="G23" s="186">
        <v>1332</v>
      </c>
      <c r="H23" s="186">
        <v>787</v>
      </c>
      <c r="I23" s="208">
        <f t="shared" si="0"/>
        <v>59.08408408408409</v>
      </c>
      <c r="J23" s="186">
        <f>H23-'[19]Junijs'!H23</f>
        <v>130</v>
      </c>
    </row>
    <row r="24" spans="1:10" s="1" customFormat="1" ht="17.25" customHeight="1">
      <c r="A24" s="524" t="s">
        <v>504</v>
      </c>
      <c r="B24" s="186"/>
      <c r="C24" s="186"/>
      <c r="D24" s="188"/>
      <c r="E24" s="186">
        <f>C24-'[19]Marts'!C24</f>
        <v>0</v>
      </c>
      <c r="F24" s="524" t="s">
        <v>504</v>
      </c>
      <c r="G24" s="186">
        <v>3522</v>
      </c>
      <c r="H24" s="186">
        <v>2352</v>
      </c>
      <c r="I24" s="208">
        <f t="shared" si="0"/>
        <v>66.78023850085178</v>
      </c>
      <c r="J24" s="186">
        <f>H24-'[19]Junijs'!H24</f>
        <v>695</v>
      </c>
    </row>
    <row r="25" spans="1:10" s="1" customFormat="1" ht="17.25" customHeight="1">
      <c r="A25" s="524" t="s">
        <v>505</v>
      </c>
      <c r="B25" s="186"/>
      <c r="C25" s="186"/>
      <c r="D25" s="188"/>
      <c r="E25" s="186">
        <f>C25-'[19]Marts'!C25</f>
        <v>0</v>
      </c>
      <c r="F25" s="524" t="s">
        <v>505</v>
      </c>
      <c r="G25" s="186">
        <v>933</v>
      </c>
      <c r="H25" s="186">
        <v>430</v>
      </c>
      <c r="I25" s="208">
        <f t="shared" si="0"/>
        <v>46.08788853161844</v>
      </c>
      <c r="J25" s="186">
        <f>H25-'[19]Junijs'!H25</f>
        <v>54</v>
      </c>
    </row>
    <row r="26" spans="1:10" s="1" customFormat="1" ht="17.25" customHeight="1">
      <c r="A26" s="524" t="s">
        <v>506</v>
      </c>
      <c r="B26" s="186"/>
      <c r="C26" s="186"/>
      <c r="D26" s="188"/>
      <c r="E26" s="186">
        <f>C26-'[19]Marts'!C26</f>
        <v>0</v>
      </c>
      <c r="F26" s="524" t="s">
        <v>506</v>
      </c>
      <c r="G26" s="186">
        <v>1236</v>
      </c>
      <c r="H26" s="186">
        <v>42</v>
      </c>
      <c r="I26" s="208">
        <f t="shared" si="0"/>
        <v>3.3980582524271843</v>
      </c>
      <c r="J26" s="186">
        <f>H26-'[19]Junijs'!H26</f>
        <v>29</v>
      </c>
    </row>
    <row r="27" spans="1:10" s="1" customFormat="1" ht="18.75" customHeight="1">
      <c r="A27" s="69" t="s">
        <v>194</v>
      </c>
      <c r="B27" s="243"/>
      <c r="C27" s="244"/>
      <c r="D27" s="244"/>
      <c r="E27" s="186">
        <f>C27-'[19]Marts'!C27</f>
        <v>0</v>
      </c>
      <c r="F27" s="69" t="s">
        <v>194</v>
      </c>
      <c r="G27" s="186">
        <f>1680-4</f>
        <v>1676</v>
      </c>
      <c r="H27" s="186">
        <f>1114-3</f>
        <v>1111</v>
      </c>
      <c r="I27" s="208">
        <f t="shared" si="0"/>
        <v>66.28878281622912</v>
      </c>
      <c r="J27" s="186">
        <f>H27-'[19]Junijs'!H27</f>
        <v>139</v>
      </c>
    </row>
    <row r="28" spans="1:10" s="1" customFormat="1" ht="17.25" customHeight="1" hidden="1">
      <c r="A28" s="60" t="s">
        <v>54</v>
      </c>
      <c r="B28" s="249"/>
      <c r="C28" s="250"/>
      <c r="D28" s="250"/>
      <c r="E28" s="186">
        <f>C28-'[19]Marts'!C28</f>
        <v>0</v>
      </c>
      <c r="F28" s="60" t="s">
        <v>54</v>
      </c>
      <c r="G28" s="249"/>
      <c r="H28" s="250"/>
      <c r="I28" s="208" t="e">
        <f t="shared" si="0"/>
        <v>#DIV/0!</v>
      </c>
      <c r="J28" s="186">
        <f>H28-'[19]Junijs'!H28</f>
        <v>0</v>
      </c>
    </row>
    <row r="29" spans="1:10" s="1" customFormat="1" ht="12.75">
      <c r="A29" s="540" t="s">
        <v>507</v>
      </c>
      <c r="B29" s="179">
        <f>SUM(B30,B34)</f>
        <v>0</v>
      </c>
      <c r="C29" s="179">
        <f>SUM(C30,C34)</f>
        <v>0</v>
      </c>
      <c r="D29" s="208"/>
      <c r="E29" s="186">
        <f>SUM(E30,E34)</f>
        <v>0</v>
      </c>
      <c r="F29" s="540" t="s">
        <v>507</v>
      </c>
      <c r="G29" s="179">
        <f>SUM(G30,G34)</f>
        <v>37101</v>
      </c>
      <c r="H29" s="179">
        <f>SUM(H30,H34)</f>
        <v>20830</v>
      </c>
      <c r="I29" s="208">
        <f t="shared" si="0"/>
        <v>56.14403924422522</v>
      </c>
      <c r="J29" s="179">
        <f>SUM(J30,J34)</f>
        <v>3014</v>
      </c>
    </row>
    <row r="30" spans="1:10" s="1" customFormat="1" ht="12.75">
      <c r="A30" s="520" t="s">
        <v>477</v>
      </c>
      <c r="B30" s="186">
        <f>SUM(B31:B33)</f>
        <v>0</v>
      </c>
      <c r="C30" s="186">
        <f>SUM(C31:C33)</f>
        <v>0</v>
      </c>
      <c r="D30" s="188"/>
      <c r="E30" s="186">
        <f>SUM(E31:E33)</f>
        <v>0</v>
      </c>
      <c r="F30" s="520" t="s">
        <v>477</v>
      </c>
      <c r="G30" s="179">
        <f>SUM(G31:G33)</f>
        <v>9893</v>
      </c>
      <c r="H30" s="179">
        <f>SUM(H31:H33)</f>
        <v>5103</v>
      </c>
      <c r="I30" s="208">
        <f t="shared" si="0"/>
        <v>51.581926614778126</v>
      </c>
      <c r="J30" s="179">
        <f>SUM(J31:J33)</f>
        <v>734</v>
      </c>
    </row>
    <row r="31" spans="1:10" s="1" customFormat="1" ht="25.5">
      <c r="A31" s="541" t="s">
        <v>508</v>
      </c>
      <c r="B31" s="186"/>
      <c r="C31" s="186"/>
      <c r="D31" s="188"/>
      <c r="E31" s="186">
        <f>C31-'[19]Marts'!C31</f>
        <v>0</v>
      </c>
      <c r="F31" s="541" t="s">
        <v>508</v>
      </c>
      <c r="G31" s="186">
        <v>8330</v>
      </c>
      <c r="H31" s="186">
        <v>4240</v>
      </c>
      <c r="I31" s="208">
        <f t="shared" si="0"/>
        <v>50.90036014405762</v>
      </c>
      <c r="J31" s="186">
        <f>H31-'[19]Junijs'!H31</f>
        <v>568</v>
      </c>
    </row>
    <row r="32" spans="1:10" s="1" customFormat="1" ht="25.5">
      <c r="A32" s="541" t="s">
        <v>509</v>
      </c>
      <c r="B32" s="186"/>
      <c r="C32" s="186"/>
      <c r="D32" s="188"/>
      <c r="E32" s="186">
        <f>C32-'[19]Marts'!C32</f>
        <v>0</v>
      </c>
      <c r="F32" s="541" t="s">
        <v>509</v>
      </c>
      <c r="G32" s="186">
        <v>751</v>
      </c>
      <c r="H32" s="186">
        <v>409</v>
      </c>
      <c r="I32" s="208">
        <f t="shared" si="0"/>
        <v>54.460719041278296</v>
      </c>
      <c r="J32" s="186">
        <f>H32-'[19]Junijs'!H32</f>
        <v>71</v>
      </c>
    </row>
    <row r="33" spans="1:10" s="1" customFormat="1" ht="12.75">
      <c r="A33" s="541" t="s">
        <v>480</v>
      </c>
      <c r="B33" s="186"/>
      <c r="C33" s="186"/>
      <c r="D33" s="188"/>
      <c r="E33" s="186">
        <f>C33-'[19]Marts'!C33</f>
        <v>0</v>
      </c>
      <c r="F33" s="541" t="s">
        <v>480</v>
      </c>
      <c r="G33" s="186">
        <v>812</v>
      </c>
      <c r="H33" s="186">
        <f>453+1</f>
        <v>454</v>
      </c>
      <c r="I33" s="208">
        <f t="shared" si="0"/>
        <v>55.91133004926109</v>
      </c>
      <c r="J33" s="186">
        <f>H33-'[19]Junijs'!H33</f>
        <v>95</v>
      </c>
    </row>
    <row r="34" spans="1:10" s="1" customFormat="1" ht="25.5">
      <c r="A34" s="520" t="s">
        <v>510</v>
      </c>
      <c r="B34" s="179">
        <f>SUM(B35:B36)</f>
        <v>0</v>
      </c>
      <c r="C34" s="179">
        <f>SUM(C35:C36)</f>
        <v>0</v>
      </c>
      <c r="D34" s="208"/>
      <c r="E34" s="179">
        <f>SUM(E35:E36)</f>
        <v>0</v>
      </c>
      <c r="F34" s="520" t="s">
        <v>510</v>
      </c>
      <c r="G34" s="179">
        <f>SUM(G35:G36)</f>
        <v>27208</v>
      </c>
      <c r="H34" s="179">
        <f>SUM(H35:H36)</f>
        <v>15727</v>
      </c>
      <c r="I34" s="208">
        <f t="shared" si="0"/>
        <v>57.802852102322845</v>
      </c>
      <c r="J34" s="179">
        <f>SUM(J35:J36)</f>
        <v>2280</v>
      </c>
    </row>
    <row r="35" spans="1:10" s="1" customFormat="1" ht="12.75">
      <c r="A35" s="524" t="s">
        <v>511</v>
      </c>
      <c r="B35" s="186"/>
      <c r="C35" s="186"/>
      <c r="D35" s="188"/>
      <c r="E35" s="186">
        <f>C35-'[19]Marts'!C35</f>
        <v>0</v>
      </c>
      <c r="F35" s="524" t="s">
        <v>511</v>
      </c>
      <c r="G35" s="186">
        <v>27208</v>
      </c>
      <c r="H35" s="186">
        <v>15727</v>
      </c>
      <c r="I35" s="208">
        <f t="shared" si="0"/>
        <v>57.802852102322845</v>
      </c>
      <c r="J35" s="186">
        <f>H35-'[19]Junijs'!H35</f>
        <v>2280</v>
      </c>
    </row>
    <row r="36" spans="1:10" s="86" customFormat="1" ht="12.75">
      <c r="A36" s="541" t="s">
        <v>512</v>
      </c>
      <c r="B36" s="108"/>
      <c r="C36" s="542"/>
      <c r="D36" s="543"/>
      <c r="E36" s="186">
        <f>C36-'[19]Marts'!C36</f>
        <v>0</v>
      </c>
      <c r="F36" s="541" t="s">
        <v>512</v>
      </c>
      <c r="G36" s="108"/>
      <c r="H36" s="186"/>
      <c r="I36" s="208"/>
      <c r="J36" s="186"/>
    </row>
    <row r="37" spans="1:10" s="86" customFormat="1" ht="17.25" customHeight="1">
      <c r="A37" s="544"/>
      <c r="B37" s="134"/>
      <c r="C37" s="134"/>
      <c r="D37" s="134"/>
      <c r="E37" s="134"/>
      <c r="F37" s="544"/>
      <c r="G37" s="134"/>
      <c r="H37" s="134"/>
      <c r="I37" s="134"/>
      <c r="J37" s="134"/>
    </row>
    <row r="38" spans="1:10" s="1" customFormat="1" ht="17.25" customHeight="1">
      <c r="A38" s="49"/>
      <c r="C38" s="545"/>
      <c r="E38" s="483"/>
      <c r="F38" s="49"/>
      <c r="H38" s="545"/>
      <c r="J38" s="483"/>
    </row>
    <row r="39" spans="1:9" s="1" customFormat="1" ht="17.25" customHeight="1">
      <c r="A39" s="41" t="s">
        <v>115</v>
      </c>
      <c r="B39" s="39"/>
      <c r="C39" s="39"/>
      <c r="D39" s="39" t="s">
        <v>116</v>
      </c>
      <c r="F39" s="41" t="s">
        <v>896</v>
      </c>
      <c r="G39" s="39"/>
      <c r="H39" s="39"/>
      <c r="I39" s="39" t="s">
        <v>862</v>
      </c>
    </row>
    <row r="40" spans="1:10" s="1" customFormat="1" ht="17.25" customHeight="1">
      <c r="A40" s="546"/>
      <c r="B40" s="547"/>
      <c r="C40" s="545"/>
      <c r="D40" s="134"/>
      <c r="E40" s="483"/>
      <c r="F40" s="546"/>
      <c r="G40" s="547"/>
      <c r="H40" s="545"/>
      <c r="I40" s="134"/>
      <c r="J40" s="483"/>
    </row>
    <row r="41" spans="1:10" s="1" customFormat="1" ht="17.25" customHeight="1">
      <c r="A41" s="505"/>
      <c r="B41" s="545"/>
      <c r="C41" s="134"/>
      <c r="E41" s="483"/>
      <c r="F41" s="505"/>
      <c r="G41" s="545"/>
      <c r="H41" s="134"/>
      <c r="J41" s="483"/>
    </row>
    <row r="43" spans="1:10" s="1" customFormat="1" ht="17.25" customHeight="1">
      <c r="A43" s="505"/>
      <c r="B43" s="548"/>
      <c r="C43" s="294"/>
      <c r="D43" s="294"/>
      <c r="E43" s="483"/>
      <c r="F43" s="49" t="s">
        <v>953</v>
      </c>
      <c r="G43" s="548"/>
      <c r="H43" s="294"/>
      <c r="I43" s="294"/>
      <c r="J43" s="483"/>
    </row>
    <row r="44" spans="1:10" s="1" customFormat="1" ht="17.25" customHeight="1">
      <c r="A44" s="505"/>
      <c r="B44" s="545"/>
      <c r="E44" s="483"/>
      <c r="F44" s="49" t="s">
        <v>847</v>
      </c>
      <c r="G44" s="545"/>
      <c r="J44" s="483"/>
    </row>
    <row r="45" spans="1:10" s="1" customFormat="1" ht="17.25" customHeight="1">
      <c r="A45" s="505"/>
      <c r="B45" s="548"/>
      <c r="C45" s="294"/>
      <c r="D45" s="294"/>
      <c r="E45" s="483"/>
      <c r="F45" s="505"/>
      <c r="G45" s="548"/>
      <c r="H45" s="294"/>
      <c r="I45" s="294"/>
      <c r="J45" s="483"/>
    </row>
    <row r="46" spans="1:10" s="1" customFormat="1" ht="17.25" customHeight="1">
      <c r="A46" s="505"/>
      <c r="B46" s="548"/>
      <c r="C46" s="294"/>
      <c r="E46" s="483"/>
      <c r="F46" s="505"/>
      <c r="G46" s="548"/>
      <c r="H46" s="294"/>
      <c r="J46" s="483"/>
    </row>
    <row r="47" spans="2:9" ht="17.25" customHeight="1">
      <c r="B47" s="549"/>
      <c r="C47" s="534"/>
      <c r="D47" s="294"/>
      <c r="G47" s="549"/>
      <c r="H47" s="534"/>
      <c r="I47" s="294"/>
    </row>
  </sheetData>
  <mergeCells count="6">
    <mergeCell ref="A5:E5"/>
    <mergeCell ref="F5:J5"/>
    <mergeCell ref="A2:E2"/>
    <mergeCell ref="F2:J2"/>
    <mergeCell ref="A4:E4"/>
    <mergeCell ref="F4:J4"/>
  </mergeCells>
  <printOptions horizontalCentered="1"/>
  <pageMargins left="0.9448818897637796" right="0.1968503937007874" top="0.4330708661417323" bottom="0.4724409448818898" header="0.15748031496062992" footer="0.1968503937007874"/>
  <pageSetup firstPageNumber="34" useFirstPageNumber="1" horizontalDpi="300" verticalDpi="300" orientation="portrait" paperSize="9" scale="99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8">
      <selection activeCell="A59" sqref="A59"/>
    </sheetView>
  </sheetViews>
  <sheetFormatPr defaultColWidth="9.140625" defaultRowHeight="17.25" customHeight="1"/>
  <cols>
    <col min="1" max="1" width="40.28125" style="505" hidden="1" customWidth="1"/>
    <col min="2" max="2" width="8.8515625" style="483" hidden="1" customWidth="1"/>
    <col min="3" max="3" width="12.28125" style="483" hidden="1" customWidth="1"/>
    <col min="4" max="4" width="10.7109375" style="483" hidden="1" customWidth="1"/>
    <col min="5" max="5" width="0.42578125" style="483" hidden="1" customWidth="1"/>
    <col min="6" max="6" width="40.28125" style="505" customWidth="1"/>
    <col min="7" max="7" width="8.8515625" style="483" customWidth="1"/>
    <col min="8" max="8" width="12.28125" style="483" customWidth="1"/>
    <col min="9" max="9" width="10.7109375" style="483" customWidth="1"/>
    <col min="10" max="10" width="11.57421875" style="483" customWidth="1"/>
    <col min="11" max="16384" width="9.140625" style="483" customWidth="1"/>
  </cols>
  <sheetData>
    <row r="1" spans="1:10" s="38" customFormat="1" ht="17.25" customHeight="1">
      <c r="A1" s="49"/>
      <c r="B1" s="51"/>
      <c r="C1" s="51"/>
      <c r="D1" s="51"/>
      <c r="E1" s="301" t="s">
        <v>513</v>
      </c>
      <c r="F1" s="49"/>
      <c r="G1" s="51"/>
      <c r="H1" s="51"/>
      <c r="I1" s="51"/>
      <c r="J1" s="301" t="s">
        <v>513</v>
      </c>
    </row>
    <row r="2" spans="1:10" s="49" customFormat="1" ht="17.25" customHeight="1">
      <c r="A2" s="506" t="s">
        <v>514</v>
      </c>
      <c r="B2" s="51"/>
      <c r="C2" s="51"/>
      <c r="D2" s="51"/>
      <c r="E2" s="551"/>
      <c r="F2" s="506" t="s">
        <v>514</v>
      </c>
      <c r="G2" s="51"/>
      <c r="H2" s="51"/>
      <c r="I2" s="51"/>
      <c r="J2" s="551"/>
    </row>
    <row r="3" spans="1:10" s="38" customFormat="1" ht="17.25" customHeight="1">
      <c r="A3" s="505"/>
      <c r="D3" s="87"/>
      <c r="E3" s="87"/>
      <c r="F3" s="505"/>
      <c r="I3" s="87"/>
      <c r="J3" s="87"/>
    </row>
    <row r="4" spans="1:10" s="509" customFormat="1" ht="17.25" customHeight="1">
      <c r="A4" s="889" t="s">
        <v>515</v>
      </c>
      <c r="B4" s="889"/>
      <c r="C4" s="889"/>
      <c r="D4" s="889"/>
      <c r="E4" s="889"/>
      <c r="F4" s="889" t="s">
        <v>515</v>
      </c>
      <c r="G4" s="889"/>
      <c r="H4" s="889"/>
      <c r="I4" s="889"/>
      <c r="J4" s="889"/>
    </row>
    <row r="5" spans="1:10" s="509" customFormat="1" ht="17.25" customHeight="1">
      <c r="A5" s="889" t="s">
        <v>516</v>
      </c>
      <c r="B5" s="889"/>
      <c r="C5" s="889"/>
      <c r="D5" s="889"/>
      <c r="E5" s="889"/>
      <c r="F5" s="890" t="s">
        <v>897</v>
      </c>
      <c r="G5" s="890"/>
      <c r="H5" s="890"/>
      <c r="I5" s="890"/>
      <c r="J5" s="890"/>
    </row>
    <row r="6" spans="1:10" s="38" customFormat="1" ht="17.25" customHeight="1">
      <c r="A6" s="505"/>
      <c r="C6" s="87" t="s">
        <v>517</v>
      </c>
      <c r="D6" s="87"/>
      <c r="E6" s="51" t="s">
        <v>201</v>
      </c>
      <c r="F6" s="505"/>
      <c r="I6" s="87"/>
      <c r="J6" s="2" t="s">
        <v>957</v>
      </c>
    </row>
    <row r="7" spans="1:10" s="38" customFormat="1" ht="57.75" customHeight="1">
      <c r="A7" s="539" t="s">
        <v>791</v>
      </c>
      <c r="B7" s="516" t="s">
        <v>401</v>
      </c>
      <c r="C7" s="516" t="s">
        <v>959</v>
      </c>
      <c r="D7" s="516" t="s">
        <v>453</v>
      </c>
      <c r="E7" s="9" t="s">
        <v>518</v>
      </c>
      <c r="F7" s="539" t="s">
        <v>791</v>
      </c>
      <c r="G7" s="516" t="s">
        <v>401</v>
      </c>
      <c r="H7" s="516" t="s">
        <v>959</v>
      </c>
      <c r="I7" s="516" t="s">
        <v>453</v>
      </c>
      <c r="J7" s="9" t="s">
        <v>850</v>
      </c>
    </row>
    <row r="8" spans="1:10" s="49" customFormat="1" ht="17.25" customHeight="1">
      <c r="A8" s="517" t="s">
        <v>454</v>
      </c>
      <c r="B8" s="518" t="s">
        <v>497</v>
      </c>
      <c r="C8" s="518" t="s">
        <v>498</v>
      </c>
      <c r="D8" s="518" t="s">
        <v>499</v>
      </c>
      <c r="E8" s="518" t="s">
        <v>455</v>
      </c>
      <c r="F8" s="517" t="s">
        <v>454</v>
      </c>
      <c r="G8" s="518" t="s">
        <v>497</v>
      </c>
      <c r="H8" s="518" t="s">
        <v>498</v>
      </c>
      <c r="I8" s="518" t="s">
        <v>499</v>
      </c>
      <c r="J8" s="518" t="s">
        <v>455</v>
      </c>
    </row>
    <row r="9" spans="1:10" s="49" customFormat="1" ht="17.25" customHeight="1">
      <c r="A9" s="520" t="s">
        <v>124</v>
      </c>
      <c r="B9" s="186"/>
      <c r="C9" s="179">
        <f>'[18]Marts'!$C$9</f>
        <v>0</v>
      </c>
      <c r="D9" s="188"/>
      <c r="E9" s="179">
        <f>C9-'[21]Marts'!C9</f>
        <v>0</v>
      </c>
      <c r="F9" s="520" t="s">
        <v>124</v>
      </c>
      <c r="G9" s="179">
        <v>440563</v>
      </c>
      <c r="H9" s="179">
        <f>'[18]Jūlijs'!$H$9</f>
        <v>269011</v>
      </c>
      <c r="I9" s="208">
        <f aca="true" t="shared" si="0" ref="I9:I32">H9/G9*100</f>
        <v>61.0607336521678</v>
      </c>
      <c r="J9" s="179">
        <f>H9-'[21]Junijs'!H9</f>
        <v>34524</v>
      </c>
    </row>
    <row r="10" spans="1:10" s="49" customFormat="1" ht="17.25" customHeight="1">
      <c r="A10" s="520" t="s">
        <v>520</v>
      </c>
      <c r="B10" s="186"/>
      <c r="C10" s="179">
        <f>SUM(C11,C26)</f>
        <v>0</v>
      </c>
      <c r="D10" s="208"/>
      <c r="E10" s="179">
        <f>SUM(E11,E26)</f>
        <v>0</v>
      </c>
      <c r="F10" s="520" t="s">
        <v>520</v>
      </c>
      <c r="G10" s="179">
        <f>SUM(G11,G26)</f>
        <v>470482</v>
      </c>
      <c r="H10" s="179">
        <f>SUM(H11,H26)</f>
        <v>275273</v>
      </c>
      <c r="I10" s="208">
        <f t="shared" si="0"/>
        <v>58.50872084373048</v>
      </c>
      <c r="J10" s="179">
        <f>SUM(J11,J26)</f>
        <v>36340</v>
      </c>
    </row>
    <row r="11" spans="1:10" s="531" customFormat="1" ht="17.25" customHeight="1">
      <c r="A11" s="540" t="s">
        <v>131</v>
      </c>
      <c r="B11" s="186"/>
      <c r="C11" s="179">
        <f>SUM(C12,C18,C19)</f>
        <v>0</v>
      </c>
      <c r="D11" s="208"/>
      <c r="E11" s="179">
        <f>SUM(E12,E18,E19)</f>
        <v>0</v>
      </c>
      <c r="F11" s="540" t="s">
        <v>131</v>
      </c>
      <c r="G11" s="179">
        <f>SUM(G12,G18,G19)</f>
        <v>396151</v>
      </c>
      <c r="H11" s="179">
        <f>SUM(H12,H18,H19)</f>
        <v>231400</v>
      </c>
      <c r="I11" s="208">
        <f t="shared" si="0"/>
        <v>58.412070144969974</v>
      </c>
      <c r="J11" s="179">
        <f>SUM(J12,J18,J19)</f>
        <v>28300</v>
      </c>
    </row>
    <row r="12" spans="1:10" s="531" customFormat="1" ht="17.25" customHeight="1">
      <c r="A12" s="540" t="s">
        <v>132</v>
      </c>
      <c r="B12" s="186"/>
      <c r="C12" s="179">
        <f>SUM(C13,C14,C15)</f>
        <v>0</v>
      </c>
      <c r="D12" s="208"/>
      <c r="E12" s="179">
        <f>SUM(E13,E14,E15)</f>
        <v>0</v>
      </c>
      <c r="F12" s="540" t="s">
        <v>132</v>
      </c>
      <c r="G12" s="179">
        <f>SUM(G13,G14,G15)</f>
        <v>311689</v>
      </c>
      <c r="H12" s="179">
        <f>SUM(H13,H14,H15)</f>
        <v>182198</v>
      </c>
      <c r="I12" s="208">
        <f t="shared" si="0"/>
        <v>58.45506257840347</v>
      </c>
      <c r="J12" s="179">
        <f>SUM(J13,J14,J15)</f>
        <v>20210</v>
      </c>
    </row>
    <row r="13" spans="1:10" ht="12.75">
      <c r="A13" s="541" t="s">
        <v>521</v>
      </c>
      <c r="B13" s="186"/>
      <c r="C13" s="186"/>
      <c r="D13" s="188"/>
      <c r="E13" s="186">
        <f>C13-'[21]Marts'!C13</f>
        <v>0</v>
      </c>
      <c r="F13" s="541" t="s">
        <v>521</v>
      </c>
      <c r="G13" s="186">
        <v>161532</v>
      </c>
      <c r="H13" s="186">
        <v>96572</v>
      </c>
      <c r="I13" s="188">
        <f t="shared" si="0"/>
        <v>59.78505806898943</v>
      </c>
      <c r="J13" s="186">
        <f>H13-'[21]Junijs'!H13</f>
        <v>9720</v>
      </c>
    </row>
    <row r="14" spans="1:10" ht="25.5">
      <c r="A14" s="541" t="s">
        <v>522</v>
      </c>
      <c r="B14" s="186"/>
      <c r="C14" s="186"/>
      <c r="D14" s="188"/>
      <c r="E14" s="186">
        <f>C14-'[21]Marts'!C14</f>
        <v>0</v>
      </c>
      <c r="F14" s="541" t="s">
        <v>522</v>
      </c>
      <c r="G14" s="186">
        <v>42478</v>
      </c>
      <c r="H14" s="186">
        <v>24416</v>
      </c>
      <c r="I14" s="188">
        <f t="shared" si="0"/>
        <v>57.47916568576675</v>
      </c>
      <c r="J14" s="186">
        <f>H14-'[21]Junijs'!H14</f>
        <v>3992</v>
      </c>
    </row>
    <row r="15" spans="1:10" ht="17.25" customHeight="1">
      <c r="A15" s="541" t="s">
        <v>523</v>
      </c>
      <c r="B15" s="186"/>
      <c r="C15" s="186">
        <f>SUM(C16:C17)</f>
        <v>0</v>
      </c>
      <c r="D15" s="188"/>
      <c r="E15" s="186">
        <f>SUM(E16:E17)</f>
        <v>0</v>
      </c>
      <c r="F15" s="541" t="s">
        <v>523</v>
      </c>
      <c r="G15" s="186">
        <f>SUM(G16:G17)</f>
        <v>107679</v>
      </c>
      <c r="H15" s="186">
        <f>SUM(H16:H17)</f>
        <v>61210</v>
      </c>
      <c r="I15" s="188">
        <f t="shared" si="0"/>
        <v>56.84488154607676</v>
      </c>
      <c r="J15" s="186">
        <f>H15-'[21]Junijs'!H15</f>
        <v>6498</v>
      </c>
    </row>
    <row r="16" spans="1:10" ht="25.5">
      <c r="A16" s="552" t="s">
        <v>524</v>
      </c>
      <c r="B16" s="186"/>
      <c r="C16" s="186"/>
      <c r="D16" s="188"/>
      <c r="E16" s="186">
        <f>C16-'[21]Marts'!C16</f>
        <v>0</v>
      </c>
      <c r="F16" s="552" t="s">
        <v>524</v>
      </c>
      <c r="G16" s="186">
        <f>48851+55024</f>
        <v>103875</v>
      </c>
      <c r="H16" s="186">
        <f>27313+32312</f>
        <v>59625</v>
      </c>
      <c r="I16" s="188">
        <f t="shared" si="0"/>
        <v>57.400722021660656</v>
      </c>
      <c r="J16" s="186">
        <f>H16-'[21]Junijs'!H16</f>
        <v>6336</v>
      </c>
    </row>
    <row r="17" spans="1:10" ht="12.75">
      <c r="A17" s="552" t="s">
        <v>525</v>
      </c>
      <c r="B17" s="186"/>
      <c r="C17" s="186"/>
      <c r="D17" s="188"/>
      <c r="E17" s="186">
        <f>C17-'[21]Marts'!C17</f>
        <v>0</v>
      </c>
      <c r="F17" s="552" t="s">
        <v>525</v>
      </c>
      <c r="G17" s="186">
        <f>1593+2211</f>
        <v>3804</v>
      </c>
      <c r="H17" s="186">
        <f>668+920-3</f>
        <v>1585</v>
      </c>
      <c r="I17" s="188">
        <f t="shared" si="0"/>
        <v>41.66666666666667</v>
      </c>
      <c r="J17" s="186">
        <f>H17-'[21]Junijs'!H17</f>
        <v>162</v>
      </c>
    </row>
    <row r="18" spans="1:10" ht="25.5">
      <c r="A18" s="540" t="s">
        <v>526</v>
      </c>
      <c r="B18" s="186"/>
      <c r="C18" s="179"/>
      <c r="D18" s="188"/>
      <c r="E18" s="186">
        <f>C18-'[21]Marts'!C18</f>
        <v>0</v>
      </c>
      <c r="F18" s="540" t="s">
        <v>526</v>
      </c>
      <c r="G18" s="179">
        <v>4551</v>
      </c>
      <c r="H18" s="179">
        <v>2866</v>
      </c>
      <c r="I18" s="208">
        <f t="shared" si="0"/>
        <v>62.97517029224346</v>
      </c>
      <c r="J18" s="179">
        <f>H18-'[21]Junijs'!H18</f>
        <v>726</v>
      </c>
    </row>
    <row r="19" spans="1:10" ht="12.75">
      <c r="A19" s="540" t="s">
        <v>140</v>
      </c>
      <c r="B19" s="186"/>
      <c r="C19" s="179">
        <f>SUM(C20:C25)</f>
        <v>0</v>
      </c>
      <c r="D19" s="188"/>
      <c r="E19" s="186">
        <f>SUM(E20:E24)</f>
        <v>0</v>
      </c>
      <c r="F19" s="540" t="s">
        <v>140</v>
      </c>
      <c r="G19" s="179">
        <f>SUM(G20:G25)</f>
        <v>79911</v>
      </c>
      <c r="H19" s="179">
        <f>SUM(H20:H25)</f>
        <v>46336</v>
      </c>
      <c r="I19" s="208">
        <f t="shared" si="0"/>
        <v>57.984507764888434</v>
      </c>
      <c r="J19" s="179">
        <f>SUM(J20:J25)</f>
        <v>7364</v>
      </c>
    </row>
    <row r="20" spans="1:10" ht="12.75">
      <c r="A20" s="541" t="s">
        <v>527</v>
      </c>
      <c r="B20" s="186"/>
      <c r="C20" s="186"/>
      <c r="D20" s="188"/>
      <c r="E20" s="186">
        <f>C20-'[21]Marts'!C20</f>
        <v>0</v>
      </c>
      <c r="F20" s="541" t="s">
        <v>527</v>
      </c>
      <c r="G20" s="186">
        <v>304</v>
      </c>
      <c r="H20" s="186">
        <v>143</v>
      </c>
      <c r="I20" s="188">
        <f t="shared" si="0"/>
        <v>47.03947368421053</v>
      </c>
      <c r="J20" s="186">
        <f>H20-'[21]Junijs'!H20</f>
        <v>30</v>
      </c>
    </row>
    <row r="21" spans="1:10" ht="12.75">
      <c r="A21" s="541" t="s">
        <v>528</v>
      </c>
      <c r="B21" s="186"/>
      <c r="C21" s="186"/>
      <c r="D21" s="188"/>
      <c r="E21" s="186">
        <f>C21-'[21]Marts'!C21</f>
        <v>0</v>
      </c>
      <c r="F21" s="541" t="s">
        <v>528</v>
      </c>
      <c r="G21" s="186">
        <v>4998</v>
      </c>
      <c r="H21" s="186">
        <v>3138</v>
      </c>
      <c r="I21" s="188">
        <f t="shared" si="0"/>
        <v>62.78511404561825</v>
      </c>
      <c r="J21" s="186">
        <f>H21-'[21]Junijs'!H21</f>
        <v>268</v>
      </c>
    </row>
    <row r="22" spans="1:10" ht="12.75">
      <c r="A22" s="541" t="s">
        <v>529</v>
      </c>
      <c r="B22" s="186"/>
      <c r="C22" s="186"/>
      <c r="D22" s="188"/>
      <c r="E22" s="186">
        <f>C22-'[21]Marts'!C22</f>
        <v>0</v>
      </c>
      <c r="F22" s="541" t="s">
        <v>529</v>
      </c>
      <c r="G22" s="186">
        <v>27208</v>
      </c>
      <c r="H22" s="186">
        <v>15727</v>
      </c>
      <c r="I22" s="188">
        <f t="shared" si="0"/>
        <v>57.802852102322845</v>
      </c>
      <c r="J22" s="186">
        <f>H22-'[21]Junijs'!H22</f>
        <v>2280</v>
      </c>
    </row>
    <row r="23" spans="1:10" ht="25.5">
      <c r="A23" s="541" t="s">
        <v>530</v>
      </c>
      <c r="B23" s="186"/>
      <c r="C23" s="186"/>
      <c r="D23" s="188"/>
      <c r="E23" s="186">
        <f>C23-'[21]Marts'!C23</f>
        <v>0</v>
      </c>
      <c r="F23" s="541" t="s">
        <v>530</v>
      </c>
      <c r="G23" s="186">
        <f>20012-30</f>
        <v>19982</v>
      </c>
      <c r="H23" s="186">
        <v>12481</v>
      </c>
      <c r="I23" s="188">
        <f t="shared" si="0"/>
        <v>62.46121509358422</v>
      </c>
      <c r="J23" s="186">
        <f>H23-'[21]Junijs'!H23</f>
        <v>3255</v>
      </c>
    </row>
    <row r="24" spans="1:10" ht="12.75">
      <c r="A24" s="541" t="s">
        <v>531</v>
      </c>
      <c r="B24" s="186"/>
      <c r="C24" s="186"/>
      <c r="D24" s="188"/>
      <c r="E24" s="186">
        <f>C24-'[21]Marts'!C24</f>
        <v>0</v>
      </c>
      <c r="F24" s="541" t="s">
        <v>531</v>
      </c>
      <c r="G24" s="186">
        <v>17526</v>
      </c>
      <c r="H24" s="186">
        <v>9744</v>
      </c>
      <c r="I24" s="188">
        <f t="shared" si="0"/>
        <v>55.597398151318046</v>
      </c>
      <c r="J24" s="186">
        <f>H24-'[21]Junijs'!H24</f>
        <v>797</v>
      </c>
    </row>
    <row r="25" spans="1:10" ht="15.75" customHeight="1">
      <c r="A25" s="541" t="s">
        <v>532</v>
      </c>
      <c r="B25" s="186"/>
      <c r="C25" s="186"/>
      <c r="D25" s="188"/>
      <c r="E25" s="186">
        <f>C25-'[21]Marts'!C25</f>
        <v>0</v>
      </c>
      <c r="F25" s="541" t="s">
        <v>532</v>
      </c>
      <c r="G25" s="186">
        <f>9863+30</f>
        <v>9893</v>
      </c>
      <c r="H25" s="186">
        <v>5103</v>
      </c>
      <c r="I25" s="188">
        <f t="shared" si="0"/>
        <v>51.581926614778126</v>
      </c>
      <c r="J25" s="186">
        <f>H25-'[21]Junijs'!H25</f>
        <v>734</v>
      </c>
    </row>
    <row r="26" spans="1:10" s="531" customFormat="1" ht="12.75">
      <c r="A26" s="540" t="s">
        <v>155</v>
      </c>
      <c r="B26" s="186"/>
      <c r="C26" s="179">
        <f>SUM(C27:C28)</f>
        <v>0</v>
      </c>
      <c r="D26" s="188"/>
      <c r="E26" s="186">
        <f>SUM(E27:E28)</f>
        <v>0</v>
      </c>
      <c r="F26" s="540" t="s">
        <v>155</v>
      </c>
      <c r="G26" s="179">
        <f>SUM(G27:G28)</f>
        <v>74331</v>
      </c>
      <c r="H26" s="179">
        <f>SUM(H27:H28)</f>
        <v>43873</v>
      </c>
      <c r="I26" s="208">
        <f t="shared" si="0"/>
        <v>59.02382586000458</v>
      </c>
      <c r="J26" s="179">
        <f>SUM(J27:J28)</f>
        <v>8040</v>
      </c>
    </row>
    <row r="27" spans="1:10" s="531" customFormat="1" ht="12.75">
      <c r="A27" s="541" t="s">
        <v>533</v>
      </c>
      <c r="B27" s="186"/>
      <c r="C27" s="186"/>
      <c r="D27" s="188"/>
      <c r="E27" s="186">
        <f>C27-'[21]Marts'!C27</f>
        <v>0</v>
      </c>
      <c r="F27" s="541" t="s">
        <v>533</v>
      </c>
      <c r="G27" s="186">
        <f>19412+930</f>
        <v>20342</v>
      </c>
      <c r="H27" s="186">
        <f>8609+474</f>
        <v>9083</v>
      </c>
      <c r="I27" s="188">
        <f t="shared" si="0"/>
        <v>44.65146003342838</v>
      </c>
      <c r="J27" s="186">
        <f>H27-'[21]Junijs'!H27</f>
        <v>1608</v>
      </c>
    </row>
    <row r="28" spans="1:10" ht="17.25" customHeight="1">
      <c r="A28" s="541" t="s">
        <v>354</v>
      </c>
      <c r="B28" s="186"/>
      <c r="C28" s="186"/>
      <c r="D28" s="188"/>
      <c r="E28" s="186">
        <f>C28-'[21]Marts'!C28</f>
        <v>0</v>
      </c>
      <c r="F28" s="541" t="s">
        <v>354</v>
      </c>
      <c r="G28" s="186">
        <v>53989</v>
      </c>
      <c r="H28" s="186">
        <v>34790</v>
      </c>
      <c r="I28" s="188">
        <f t="shared" si="0"/>
        <v>64.43905239956288</v>
      </c>
      <c r="J28" s="186">
        <f>H28-'[21]Junijs'!H28</f>
        <v>6432</v>
      </c>
    </row>
    <row r="29" spans="1:10" s="531" customFormat="1" ht="12.75">
      <c r="A29" s="540" t="s">
        <v>534</v>
      </c>
      <c r="B29" s="186"/>
      <c r="C29" s="179">
        <f>C30-C31</f>
        <v>0</v>
      </c>
      <c r="D29" s="188"/>
      <c r="E29" s="186">
        <f>E30-E31</f>
        <v>0</v>
      </c>
      <c r="F29" s="540" t="s">
        <v>534</v>
      </c>
      <c r="G29" s="179">
        <f>G30-G31</f>
        <v>-618</v>
      </c>
      <c r="H29" s="179">
        <f>H30-H31</f>
        <v>-721</v>
      </c>
      <c r="I29" s="208">
        <f t="shared" si="0"/>
        <v>116.66666666666667</v>
      </c>
      <c r="J29" s="179">
        <f>J30-J31</f>
        <v>-17</v>
      </c>
    </row>
    <row r="30" spans="1:10" ht="12.75">
      <c r="A30" s="541" t="s">
        <v>535</v>
      </c>
      <c r="B30" s="186"/>
      <c r="C30" s="186"/>
      <c r="D30" s="188"/>
      <c r="E30" s="186">
        <f>C30-'[21]Marts'!C30</f>
        <v>0</v>
      </c>
      <c r="F30" s="541" t="s">
        <v>535</v>
      </c>
      <c r="G30" s="186">
        <v>212</v>
      </c>
      <c r="H30" s="186">
        <v>78</v>
      </c>
      <c r="I30" s="188">
        <f t="shared" si="0"/>
        <v>36.79245283018868</v>
      </c>
      <c r="J30" s="186">
        <f>H30-'[21]Junijs'!H30</f>
        <v>5</v>
      </c>
    </row>
    <row r="31" spans="1:10" ht="12.75">
      <c r="A31" s="541" t="s">
        <v>536</v>
      </c>
      <c r="B31" s="186"/>
      <c r="C31" s="186"/>
      <c r="D31" s="188"/>
      <c r="E31" s="186">
        <f>C31-'[21]Marts'!C31</f>
        <v>0</v>
      </c>
      <c r="F31" s="541" t="s">
        <v>536</v>
      </c>
      <c r="G31" s="186">
        <v>830</v>
      </c>
      <c r="H31" s="186">
        <v>799</v>
      </c>
      <c r="I31" s="188">
        <f t="shared" si="0"/>
        <v>96.26506024096385</v>
      </c>
      <c r="J31" s="186">
        <f>H31-'[21]Junijs'!H31</f>
        <v>22</v>
      </c>
    </row>
    <row r="32" spans="1:10" ht="12.75">
      <c r="A32" s="540" t="s">
        <v>315</v>
      </c>
      <c r="B32" s="186"/>
      <c r="C32" s="186">
        <f>C9-C10-C25-C29</f>
        <v>0</v>
      </c>
      <c r="D32" s="188"/>
      <c r="E32" s="186">
        <f>C32-'[21]Marts'!C32</f>
        <v>0</v>
      </c>
      <c r="F32" s="540" t="s">
        <v>315</v>
      </c>
      <c r="G32" s="179">
        <f>G9-G10-G29</f>
        <v>-29301</v>
      </c>
      <c r="H32" s="179">
        <f>H9-H10-H29</f>
        <v>-5541</v>
      </c>
      <c r="I32" s="208">
        <f t="shared" si="0"/>
        <v>18.910617385072182</v>
      </c>
      <c r="J32" s="179">
        <f>H32-'[21]Junijs'!H32</f>
        <v>-1799</v>
      </c>
    </row>
    <row r="33" spans="1:10" s="1" customFormat="1" ht="17.25" customHeight="1">
      <c r="A33" s="533"/>
      <c r="B33" s="545"/>
      <c r="C33"/>
      <c r="D33" s="545"/>
      <c r="E33" s="545"/>
      <c r="F33" s="533"/>
      <c r="G33" s="545"/>
      <c r="H33"/>
      <c r="I33" s="545"/>
      <c r="J33" s="545"/>
    </row>
    <row r="34" spans="1:10" s="1" customFormat="1" ht="17.25" customHeight="1">
      <c r="A34" s="533"/>
      <c r="B34" s="545"/>
      <c r="C34"/>
      <c r="D34" s="545"/>
      <c r="E34" s="545"/>
      <c r="F34" s="533"/>
      <c r="G34" s="545"/>
      <c r="H34"/>
      <c r="I34" s="545"/>
      <c r="J34" s="545"/>
    </row>
    <row r="35" spans="1:10" ht="17.25" customHeight="1">
      <c r="A35" s="535"/>
      <c r="B35" s="545"/>
      <c r="C35"/>
      <c r="D35" s="545"/>
      <c r="E35" s="545"/>
      <c r="F35" s="535"/>
      <c r="G35" s="545"/>
      <c r="H35"/>
      <c r="I35" s="545"/>
      <c r="J35" s="545"/>
    </row>
    <row r="36" spans="1:10" s="1" customFormat="1" ht="17.25" customHeight="1">
      <c r="A36" s="41" t="s">
        <v>115</v>
      </c>
      <c r="B36" s="39"/>
      <c r="C36"/>
      <c r="D36" s="39" t="s">
        <v>116</v>
      </c>
      <c r="E36" s="535"/>
      <c r="F36" s="41" t="s">
        <v>898</v>
      </c>
      <c r="G36" s="39"/>
      <c r="H36"/>
      <c r="I36" s="39" t="s">
        <v>862</v>
      </c>
      <c r="J36" s="535"/>
    </row>
    <row r="37" spans="1:10" s="1" customFormat="1" ht="17.25" customHeight="1">
      <c r="A37" s="49"/>
      <c r="C37"/>
      <c r="D37" s="545"/>
      <c r="E37" s="545"/>
      <c r="F37" s="49"/>
      <c r="H37"/>
      <c r="I37" s="545"/>
      <c r="J37" s="545"/>
    </row>
    <row r="38" spans="1:10" s="1" customFormat="1" ht="17.25" customHeight="1">
      <c r="A38" s="535"/>
      <c r="B38" s="294"/>
      <c r="C38"/>
      <c r="D38" s="545"/>
      <c r="E38" s="545"/>
      <c r="F38" s="535"/>
      <c r="G38" s="294"/>
      <c r="H38"/>
      <c r="I38" s="545"/>
      <c r="J38" s="545"/>
    </row>
    <row r="39" spans="1:10" s="1" customFormat="1" ht="17.25" customHeight="1">
      <c r="A39" s="535"/>
      <c r="B39" s="294"/>
      <c r="C39"/>
      <c r="D39" s="545"/>
      <c r="E39" s="545"/>
      <c r="F39" s="535"/>
      <c r="G39" s="294"/>
      <c r="H39"/>
      <c r="I39" s="545"/>
      <c r="J39" s="545"/>
    </row>
    <row r="40" spans="1:10" ht="17.25" customHeight="1">
      <c r="A40" s="535"/>
      <c r="B40" s="534"/>
      <c r="C40"/>
      <c r="D40" s="545"/>
      <c r="E40" s="545"/>
      <c r="F40" s="535"/>
      <c r="G40" s="534"/>
      <c r="H40"/>
      <c r="I40" s="545"/>
      <c r="J40" s="545"/>
    </row>
    <row r="41" spans="3:10" ht="17.25" customHeight="1">
      <c r="C41"/>
      <c r="D41" s="545"/>
      <c r="E41" s="545"/>
      <c r="F41" s="505" t="s">
        <v>272</v>
      </c>
      <c r="H41"/>
      <c r="I41" s="545"/>
      <c r="J41" s="545"/>
    </row>
    <row r="42" spans="3:10" ht="17.25" customHeight="1">
      <c r="C42"/>
      <c r="D42" s="545"/>
      <c r="E42" s="545"/>
      <c r="F42" s="505" t="s">
        <v>847</v>
      </c>
      <c r="H42"/>
      <c r="I42" s="545"/>
      <c r="J42" s="545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84251968503937" right="0.1968503937007874" top="0.984251968503937" bottom="0.7480314960629921" header="0.5118110236220472" footer="0.5118110236220472"/>
  <pageSetup firstPageNumber="35" useFirstPageNumber="1" horizontalDpi="300" verticalDpi="300" orientation="portrait" paperSize="9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6">
      <selection activeCell="A59" sqref="A59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301" t="s">
        <v>537</v>
      </c>
    </row>
    <row r="2" spans="1:5" ht="12.75">
      <c r="A2" s="865" t="s">
        <v>39</v>
      </c>
      <c r="B2" s="865"/>
      <c r="C2" s="865"/>
      <c r="D2" s="865"/>
      <c r="E2" s="865"/>
    </row>
    <row r="3" spans="1:5" ht="12.75">
      <c r="A3" s="49"/>
      <c r="B3" s="483"/>
      <c r="C3" s="483"/>
      <c r="D3" s="553"/>
      <c r="E3" s="553"/>
    </row>
    <row r="4" spans="1:5" ht="12.75">
      <c r="A4" s="889" t="s">
        <v>538</v>
      </c>
      <c r="B4" s="889"/>
      <c r="C4" s="889"/>
      <c r="D4" s="889"/>
      <c r="E4" s="889"/>
    </row>
    <row r="5" spans="1:5" ht="12.75">
      <c r="A5" s="890" t="s">
        <v>865</v>
      </c>
      <c r="B5" s="890"/>
      <c r="C5" s="890"/>
      <c r="D5" s="890"/>
      <c r="E5" s="890"/>
    </row>
    <row r="6" spans="1:5" ht="12.75">
      <c r="A6" s="49"/>
      <c r="B6" s="87"/>
      <c r="C6" s="87"/>
      <c r="D6" s="38"/>
      <c r="E6" s="487" t="s">
        <v>202</v>
      </c>
    </row>
    <row r="7" spans="1:5" ht="33.75">
      <c r="A7" s="554" t="s">
        <v>791</v>
      </c>
      <c r="B7" s="516" t="s">
        <v>401</v>
      </c>
      <c r="C7" s="516" t="s">
        <v>959</v>
      </c>
      <c r="D7" s="516" t="s">
        <v>453</v>
      </c>
      <c r="E7" s="9" t="s">
        <v>850</v>
      </c>
    </row>
    <row r="8" spans="1:5" ht="12.75">
      <c r="A8" s="249">
        <v>1</v>
      </c>
      <c r="B8" s="555">
        <v>2</v>
      </c>
      <c r="C8" s="555">
        <v>3</v>
      </c>
      <c r="D8" s="556">
        <v>4</v>
      </c>
      <c r="E8" s="556">
        <v>5</v>
      </c>
    </row>
    <row r="9" spans="1:5" ht="24.75" customHeight="1">
      <c r="A9" s="557" t="s">
        <v>539</v>
      </c>
      <c r="B9" s="179">
        <f>SUM(B10:B14)</f>
        <v>37811</v>
      </c>
      <c r="C9" s="179">
        <f>SUM(C10:C14)</f>
        <v>22814</v>
      </c>
      <c r="D9" s="558">
        <f aca="true" t="shared" si="0" ref="D9:D20">C9/B9*100</f>
        <v>60.33693898600936</v>
      </c>
      <c r="E9" s="179">
        <f>C9-'[20]Junijs'!C9</f>
        <v>4161</v>
      </c>
    </row>
    <row r="10" spans="1:5" ht="24.75" customHeight="1">
      <c r="A10" s="559" t="s">
        <v>540</v>
      </c>
      <c r="B10" s="186">
        <v>9157</v>
      </c>
      <c r="C10" s="186">
        <v>6271</v>
      </c>
      <c r="D10" s="560">
        <f t="shared" si="0"/>
        <v>68.483127661898</v>
      </c>
      <c r="E10" s="186">
        <f>C10-'[20]Junijs'!C10</f>
        <v>1521</v>
      </c>
    </row>
    <row r="11" spans="1:5" ht="21.75" customHeight="1">
      <c r="A11" s="559" t="s">
        <v>541</v>
      </c>
      <c r="B11" s="186">
        <v>2005</v>
      </c>
      <c r="C11" s="186">
        <v>945</v>
      </c>
      <c r="D11" s="560">
        <f t="shared" si="0"/>
        <v>47.13216957605985</v>
      </c>
      <c r="E11" s="186">
        <f>C11-'[20]Junijs'!C11</f>
        <v>56</v>
      </c>
    </row>
    <row r="12" spans="1:5" ht="30" customHeight="1">
      <c r="A12" s="561" t="s">
        <v>542</v>
      </c>
      <c r="B12" s="186">
        <v>13781</v>
      </c>
      <c r="C12" s="186">
        <v>6463</v>
      </c>
      <c r="D12" s="560">
        <f t="shared" si="0"/>
        <v>46.89790290980335</v>
      </c>
      <c r="E12" s="186">
        <f>C12-'[20]Junijs'!C12</f>
        <v>975</v>
      </c>
    </row>
    <row r="13" spans="1:5" ht="39" customHeight="1">
      <c r="A13" s="561" t="s">
        <v>543</v>
      </c>
      <c r="B13" s="186">
        <v>3031</v>
      </c>
      <c r="C13" s="186">
        <v>1609</v>
      </c>
      <c r="D13" s="560">
        <f t="shared" si="0"/>
        <v>53.08479049818542</v>
      </c>
      <c r="E13" s="186">
        <f>C13-'[20]Junijs'!C13</f>
        <v>128</v>
      </c>
    </row>
    <row r="14" spans="1:5" ht="19.5" customHeight="1">
      <c r="A14" s="559" t="s">
        <v>544</v>
      </c>
      <c r="B14" s="186">
        <f>9782+55</f>
        <v>9837</v>
      </c>
      <c r="C14" s="186">
        <f>7235+289+2</f>
        <v>7526</v>
      </c>
      <c r="D14" s="560">
        <f t="shared" si="0"/>
        <v>76.50706516214292</v>
      </c>
      <c r="E14" s="186">
        <f>C14-'[20]Junijs'!C14</f>
        <v>1481</v>
      </c>
    </row>
    <row r="15" spans="1:5" ht="19.5" customHeight="1">
      <c r="A15" s="562" t="s">
        <v>545</v>
      </c>
      <c r="B15" s="179">
        <f>SUM(B16:B20)</f>
        <v>49721</v>
      </c>
      <c r="C15" s="179">
        <f>SUM(C16:C20)</f>
        <v>18029</v>
      </c>
      <c r="D15" s="560">
        <f t="shared" si="0"/>
        <v>36.26033265622171</v>
      </c>
      <c r="E15" s="179">
        <f>SUM(E16:E20)</f>
        <v>3718</v>
      </c>
    </row>
    <row r="16" spans="1:5" ht="19.5" customHeight="1">
      <c r="A16" s="559" t="s">
        <v>546</v>
      </c>
      <c r="B16" s="186">
        <v>16967</v>
      </c>
      <c r="C16" s="186">
        <v>3511</v>
      </c>
      <c r="D16" s="560">
        <f t="shared" si="0"/>
        <v>20.693110155006778</v>
      </c>
      <c r="E16" s="186">
        <f>C16-'[20]Junijs'!C16</f>
        <v>1032</v>
      </c>
    </row>
    <row r="17" spans="1:5" ht="19.5" customHeight="1">
      <c r="A17" s="559" t="s">
        <v>541</v>
      </c>
      <c r="B17" s="186">
        <v>3030</v>
      </c>
      <c r="C17" s="186">
        <v>967</v>
      </c>
      <c r="D17" s="560">
        <f t="shared" si="0"/>
        <v>31.914191419141915</v>
      </c>
      <c r="E17" s="186">
        <f>C17-'[20]Junijs'!C17</f>
        <v>208</v>
      </c>
    </row>
    <row r="18" spans="1:5" ht="19.5" customHeight="1">
      <c r="A18" s="559" t="s">
        <v>547</v>
      </c>
      <c r="B18" s="186">
        <v>14631</v>
      </c>
      <c r="C18" s="186">
        <v>5629</v>
      </c>
      <c r="D18" s="560">
        <f t="shared" si="0"/>
        <v>38.47310505091928</v>
      </c>
      <c r="E18" s="186">
        <f>C18-'[20]Junijs'!C18</f>
        <v>945</v>
      </c>
    </row>
    <row r="19" spans="1:5" ht="19.5" customHeight="1">
      <c r="A19" s="563" t="s">
        <v>548</v>
      </c>
      <c r="B19" s="186">
        <v>3148</v>
      </c>
      <c r="C19" s="186">
        <v>1582</v>
      </c>
      <c r="D19" s="560">
        <f t="shared" si="0"/>
        <v>50.254129606099106</v>
      </c>
      <c r="E19" s="186">
        <f>C19-'[20]Junijs'!C19</f>
        <v>173</v>
      </c>
    </row>
    <row r="20" spans="1:5" ht="19.5" customHeight="1">
      <c r="A20" s="563" t="s">
        <v>549</v>
      </c>
      <c r="B20" s="186">
        <f>11656+289</f>
        <v>11945</v>
      </c>
      <c r="C20" s="186">
        <f>5914+423+3</f>
        <v>6340</v>
      </c>
      <c r="D20" s="560">
        <f t="shared" si="0"/>
        <v>53.076601088321475</v>
      </c>
      <c r="E20" s="186">
        <f>C20-'[20]Junijs'!C20</f>
        <v>1360</v>
      </c>
    </row>
    <row r="21" spans="1:5" ht="12.75">
      <c r="A21" s="564"/>
      <c r="B21" s="565"/>
      <c r="C21" s="565"/>
      <c r="D21" s="499"/>
      <c r="E21" s="565"/>
    </row>
    <row r="22" spans="1:5" ht="12.75">
      <c r="A22" s="135"/>
      <c r="B22" s="135"/>
      <c r="C22" s="135"/>
      <c r="D22" s="135"/>
      <c r="E22" s="135"/>
    </row>
    <row r="23" spans="1:6" ht="12.75">
      <c r="A23" s="544"/>
      <c r="B23" s="134"/>
      <c r="C23" s="134"/>
      <c r="D23" s="501"/>
      <c r="E23" s="134"/>
      <c r="F23" s="135"/>
    </row>
    <row r="24" spans="1:6" ht="12.75">
      <c r="A24" s="777" t="s">
        <v>899</v>
      </c>
      <c r="B24" s="135"/>
      <c r="C24" s="135"/>
      <c r="D24" s="891" t="s">
        <v>862</v>
      </c>
      <c r="E24" s="891"/>
      <c r="F24" s="135"/>
    </row>
    <row r="25" ht="12.75">
      <c r="F25" s="135"/>
    </row>
    <row r="26" ht="12.75">
      <c r="F26" s="135"/>
    </row>
    <row r="27" ht="12.75">
      <c r="F27" s="135"/>
    </row>
    <row r="28" ht="12.75">
      <c r="F28" s="135"/>
    </row>
    <row r="29" ht="12.75">
      <c r="F29" s="135"/>
    </row>
    <row r="30" ht="12.75">
      <c r="F30" s="135"/>
    </row>
    <row r="31" ht="12.75">
      <c r="F31" s="135"/>
    </row>
    <row r="32" spans="1:6" ht="12.75">
      <c r="A32" s="1" t="s">
        <v>37</v>
      </c>
      <c r="F32" s="135"/>
    </row>
    <row r="33" spans="1:6" ht="12.75">
      <c r="A33" s="1" t="s">
        <v>847</v>
      </c>
      <c r="F33" s="135"/>
    </row>
  </sheetData>
  <mergeCells count="4">
    <mergeCell ref="A2:E2"/>
    <mergeCell ref="A4:E4"/>
    <mergeCell ref="A5:E5"/>
    <mergeCell ref="D24:E24"/>
  </mergeCells>
  <printOptions/>
  <pageMargins left="1.05" right="0.43" top="1.16" bottom="1" header="0.5" footer="0.5"/>
  <pageSetup firstPageNumber="36" useFirstPageNumber="1" horizontalDpi="300" verticalDpi="300" orientation="portrait" paperSize="9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8">
      <selection activeCell="A59" sqref="A59"/>
    </sheetView>
  </sheetViews>
  <sheetFormatPr defaultColWidth="9.140625" defaultRowHeight="17.25" customHeight="1"/>
  <cols>
    <col min="1" max="1" width="40.00390625" style="49" customWidth="1"/>
    <col min="2" max="2" width="8.8515625" style="483" customWidth="1"/>
    <col min="3" max="3" width="11.28125" style="483" customWidth="1"/>
    <col min="4" max="4" width="12.57421875" style="483" customWidth="1"/>
    <col min="5" max="5" width="11.57421875" style="483" customWidth="1"/>
  </cols>
  <sheetData>
    <row r="1" spans="2:5" ht="17.25" customHeight="1">
      <c r="B1" s="51"/>
      <c r="C1" s="51"/>
      <c r="D1" s="51"/>
      <c r="E1" s="301" t="s">
        <v>550</v>
      </c>
    </row>
    <row r="2" spans="1:5" ht="17.25" customHeight="1">
      <c r="A2" s="865" t="s">
        <v>551</v>
      </c>
      <c r="B2" s="865"/>
      <c r="C2" s="865"/>
      <c r="D2" s="865"/>
      <c r="E2" s="865"/>
    </row>
    <row r="3" spans="4:5" ht="17.25" customHeight="1">
      <c r="D3" s="553"/>
      <c r="E3" s="553"/>
    </row>
    <row r="4" spans="1:5" ht="17.25" customHeight="1">
      <c r="A4" s="889" t="s">
        <v>552</v>
      </c>
      <c r="B4" s="889"/>
      <c r="C4" s="889"/>
      <c r="D4" s="889"/>
      <c r="E4" s="889"/>
    </row>
    <row r="5" spans="1:5" ht="12.75" customHeight="1">
      <c r="A5" s="890" t="s">
        <v>892</v>
      </c>
      <c r="B5" s="890"/>
      <c r="C5" s="890"/>
      <c r="D5" s="890"/>
      <c r="E5" s="890"/>
    </row>
    <row r="6" spans="1:5" ht="12.75" customHeight="1">
      <c r="A6" s="537"/>
      <c r="B6" s="537"/>
      <c r="C6" s="537"/>
      <c r="D6" s="537"/>
      <c r="E6" s="537"/>
    </row>
    <row r="7" spans="2:5" ht="10.5" customHeight="1">
      <c r="B7" s="87"/>
      <c r="C7" s="87"/>
      <c r="D7" s="38"/>
      <c r="E7" s="487" t="s">
        <v>202</v>
      </c>
    </row>
    <row r="8" spans="1:5" ht="22.5">
      <c r="A8" s="554" t="s">
        <v>791</v>
      </c>
      <c r="B8" s="516" t="s">
        <v>401</v>
      </c>
      <c r="C8" s="516" t="s">
        <v>959</v>
      </c>
      <c r="D8" s="516" t="s">
        <v>453</v>
      </c>
      <c r="E8" s="9" t="s">
        <v>850</v>
      </c>
    </row>
    <row r="9" spans="1:5" ht="12.75">
      <c r="A9" s="249">
        <v>1</v>
      </c>
      <c r="B9" s="555">
        <v>2</v>
      </c>
      <c r="C9" s="555">
        <v>3</v>
      </c>
      <c r="D9" s="556">
        <v>4</v>
      </c>
      <c r="E9" s="556">
        <v>5</v>
      </c>
    </row>
    <row r="10" spans="1:5" ht="12.75">
      <c r="A10" s="520" t="s">
        <v>124</v>
      </c>
      <c r="B10" s="179">
        <v>37811</v>
      </c>
      <c r="C10" s="179">
        <f>'[20]Jūlijs'!$C$9</f>
        <v>22814</v>
      </c>
      <c r="D10" s="558">
        <f aca="true" t="shared" si="0" ref="D10:D33">C10/B10*100</f>
        <v>60.33693898600936</v>
      </c>
      <c r="E10" s="179">
        <f>C10-'[22]Junijs'!C10</f>
        <v>4161</v>
      </c>
    </row>
    <row r="11" spans="1:5" ht="12.75">
      <c r="A11" s="520" t="s">
        <v>520</v>
      </c>
      <c r="B11" s="179">
        <f>SUM(B12,B27)</f>
        <v>51629</v>
      </c>
      <c r="C11" s="179">
        <f>SUM(C12,C27)</f>
        <v>19728</v>
      </c>
      <c r="D11" s="558">
        <f t="shared" si="0"/>
        <v>38.21108291851479</v>
      </c>
      <c r="E11" s="179">
        <f>C11-'[22]Junijs'!C11</f>
        <v>3717</v>
      </c>
    </row>
    <row r="12" spans="1:5" ht="12.75">
      <c r="A12" s="540" t="s">
        <v>131</v>
      </c>
      <c r="B12" s="179">
        <f>SUM(B13,B19,B20)</f>
        <v>40158</v>
      </c>
      <c r="C12" s="179">
        <f>SUM(C13,C19,C20)</f>
        <v>14973</v>
      </c>
      <c r="D12" s="558">
        <f t="shared" si="0"/>
        <v>37.2852233676976</v>
      </c>
      <c r="E12" s="179">
        <f>C12-'[22]Junijs'!C12</f>
        <v>2736</v>
      </c>
    </row>
    <row r="13" spans="1:5" ht="12.75">
      <c r="A13" s="540" t="s">
        <v>132</v>
      </c>
      <c r="B13" s="179">
        <f>SUM(B14,B15,B16)</f>
        <v>22912</v>
      </c>
      <c r="C13" s="179">
        <f>SUM(C14,C15,C16)</f>
        <v>9827</v>
      </c>
      <c r="D13" s="558">
        <f t="shared" si="0"/>
        <v>42.890188547486034</v>
      </c>
      <c r="E13" s="179">
        <f>C13-'[22]Junijs'!C13</f>
        <v>1755</v>
      </c>
    </row>
    <row r="14" spans="1:5" ht="17.25" customHeight="1">
      <c r="A14" s="541" t="s">
        <v>521</v>
      </c>
      <c r="B14" s="186">
        <v>2500</v>
      </c>
      <c r="C14" s="186">
        <v>1368</v>
      </c>
      <c r="D14" s="560">
        <f t="shared" si="0"/>
        <v>54.72</v>
      </c>
      <c r="E14" s="186">
        <f>C14-'[22]Junijs'!C14</f>
        <v>260</v>
      </c>
    </row>
    <row r="15" spans="1:5" ht="25.5">
      <c r="A15" s="541" t="s">
        <v>522</v>
      </c>
      <c r="B15" s="186">
        <v>624</v>
      </c>
      <c r="C15" s="186">
        <v>328</v>
      </c>
      <c r="D15" s="560">
        <f t="shared" si="0"/>
        <v>52.56410256410257</v>
      </c>
      <c r="E15" s="186">
        <f>C15-'[22]Junijs'!C15</f>
        <v>58</v>
      </c>
    </row>
    <row r="16" spans="1:5" ht="12.75">
      <c r="A16" s="541" t="s">
        <v>523</v>
      </c>
      <c r="B16" s="186">
        <f>SUM(B17:B18)</f>
        <v>19788</v>
      </c>
      <c r="C16" s="186">
        <f>SUM(C17:C18)</f>
        <v>8131</v>
      </c>
      <c r="D16" s="560">
        <f t="shared" si="0"/>
        <v>41.09055993531433</v>
      </c>
      <c r="E16" s="186">
        <f>C16-'[22]Junijs'!C16</f>
        <v>1437</v>
      </c>
    </row>
    <row r="17" spans="1:5" ht="25.5">
      <c r="A17" s="552" t="s">
        <v>524</v>
      </c>
      <c r="B17" s="186">
        <f>17893+1703</f>
        <v>19596</v>
      </c>
      <c r="C17" s="186">
        <f>7155+895</f>
        <v>8050</v>
      </c>
      <c r="D17" s="560">
        <f t="shared" si="0"/>
        <v>41.07981220657277</v>
      </c>
      <c r="E17" s="186">
        <f>C17-'[22]Junijs'!C17</f>
        <v>1421</v>
      </c>
    </row>
    <row r="18" spans="1:5" ht="12.75">
      <c r="A18" s="552" t="s">
        <v>553</v>
      </c>
      <c r="B18" s="186">
        <f>113+79</f>
        <v>192</v>
      </c>
      <c r="C18" s="186">
        <f>41+42-2</f>
        <v>81</v>
      </c>
      <c r="D18" s="560">
        <f t="shared" si="0"/>
        <v>42.1875</v>
      </c>
      <c r="E18" s="186">
        <f>C18-'[22]Junijs'!C18</f>
        <v>16</v>
      </c>
    </row>
    <row r="19" spans="1:5" ht="25.5">
      <c r="A19" s="540" t="s">
        <v>526</v>
      </c>
      <c r="B19" s="179">
        <v>51</v>
      </c>
      <c r="C19" s="179">
        <v>48</v>
      </c>
      <c r="D19" s="558">
        <f t="shared" si="0"/>
        <v>94.11764705882352</v>
      </c>
      <c r="E19" s="179">
        <f>C19-'[22]Junijs'!C19</f>
        <v>5</v>
      </c>
    </row>
    <row r="20" spans="1:5" ht="12.75">
      <c r="A20" s="540" t="s">
        <v>140</v>
      </c>
      <c r="B20" s="179">
        <f>SUM(B21:B26)</f>
        <v>17195</v>
      </c>
      <c r="C20" s="179">
        <f>SUM(C21:C26)</f>
        <v>5098</v>
      </c>
      <c r="D20" s="558">
        <f t="shared" si="0"/>
        <v>29.64815353300378</v>
      </c>
      <c r="E20" s="179">
        <f>C20-'[22]Junijs'!C20</f>
        <v>976</v>
      </c>
    </row>
    <row r="21" spans="1:5" ht="12.75">
      <c r="A21" s="541" t="s">
        <v>527</v>
      </c>
      <c r="B21" s="186">
        <v>508</v>
      </c>
      <c r="C21" s="186">
        <v>253</v>
      </c>
      <c r="D21" s="560">
        <f t="shared" si="0"/>
        <v>49.803149606299215</v>
      </c>
      <c r="E21" s="186">
        <f>C21-'[22]Junijs'!C21</f>
        <v>143</v>
      </c>
    </row>
    <row r="22" spans="1:5" ht="12.75">
      <c r="A22" s="541" t="s">
        <v>528</v>
      </c>
      <c r="B22" s="186">
        <v>1290</v>
      </c>
      <c r="C22" s="186">
        <v>501</v>
      </c>
      <c r="D22" s="560">
        <f t="shared" si="0"/>
        <v>38.83720930232558</v>
      </c>
      <c r="E22" s="186">
        <f>C22-'[22]Junijs'!C22</f>
        <v>62</v>
      </c>
    </row>
    <row r="23" spans="1:5" ht="12.75">
      <c r="A23" s="541" t="s">
        <v>529</v>
      </c>
      <c r="B23" s="186">
        <v>91</v>
      </c>
      <c r="C23" s="186">
        <v>62</v>
      </c>
      <c r="D23" s="560">
        <f t="shared" si="0"/>
        <v>68.13186813186813</v>
      </c>
      <c r="E23" s="186">
        <f>C23-'[22]Junijs'!C23</f>
        <v>-50</v>
      </c>
    </row>
    <row r="24" spans="1:5" ht="25.5">
      <c r="A24" s="541" t="s">
        <v>530</v>
      </c>
      <c r="B24" s="186">
        <v>12439</v>
      </c>
      <c r="C24" s="186">
        <v>2504</v>
      </c>
      <c r="D24" s="560">
        <f t="shared" si="0"/>
        <v>20.13023554948147</v>
      </c>
      <c r="E24" s="186">
        <f>C24-'[22]Junijs'!C24</f>
        <v>580</v>
      </c>
    </row>
    <row r="25" spans="1:5" ht="12.75">
      <c r="A25" s="541" t="s">
        <v>531</v>
      </c>
      <c r="B25" s="186">
        <v>2578</v>
      </c>
      <c r="C25" s="186">
        <v>1355</v>
      </c>
      <c r="D25" s="560">
        <f t="shared" si="0"/>
        <v>52.56012412723041</v>
      </c>
      <c r="E25" s="186">
        <f>C25-'[22]Junijs'!C25</f>
        <v>135</v>
      </c>
    </row>
    <row r="26" spans="1:5" ht="12.75">
      <c r="A26" s="541" t="s">
        <v>554</v>
      </c>
      <c r="B26" s="186">
        <v>289</v>
      </c>
      <c r="C26" s="186">
        <v>423</v>
      </c>
      <c r="D26" s="560">
        <f t="shared" si="0"/>
        <v>146.3667820069204</v>
      </c>
      <c r="E26" s="186">
        <f>C26-'[22]Junijs'!C26</f>
        <v>106</v>
      </c>
    </row>
    <row r="27" spans="1:5" ht="12.75">
      <c r="A27" s="540" t="s">
        <v>155</v>
      </c>
      <c r="B27" s="179">
        <f>SUM(B28:B29)</f>
        <v>11471</v>
      </c>
      <c r="C27" s="179">
        <f>SUM(C28:C29)</f>
        <v>4755</v>
      </c>
      <c r="D27" s="558">
        <f t="shared" si="0"/>
        <v>41.452358120477726</v>
      </c>
      <c r="E27" s="179">
        <f>C27-'[22]Junijs'!C27</f>
        <v>981</v>
      </c>
    </row>
    <row r="28" spans="1:5" ht="17.25" customHeight="1">
      <c r="A28" s="541" t="s">
        <v>533</v>
      </c>
      <c r="B28" s="186">
        <f>8213+42</f>
        <v>8255</v>
      </c>
      <c r="C28" s="186">
        <f>3537+6+2</f>
        <v>3545</v>
      </c>
      <c r="D28" s="560">
        <f t="shared" si="0"/>
        <v>42.943670502725624</v>
      </c>
      <c r="E28" s="186">
        <f>C28-'[22]Junijs'!C28</f>
        <v>509</v>
      </c>
    </row>
    <row r="29" spans="1:5" ht="12.75">
      <c r="A29" s="244" t="s">
        <v>354</v>
      </c>
      <c r="B29" s="186">
        <v>3216</v>
      </c>
      <c r="C29" s="186">
        <v>1210</v>
      </c>
      <c r="D29" s="560">
        <f t="shared" si="0"/>
        <v>37.624378109452735</v>
      </c>
      <c r="E29" s="186">
        <f>C29-'[22]Junijs'!C29</f>
        <v>472</v>
      </c>
    </row>
    <row r="30" spans="1:5" ht="12.75">
      <c r="A30" s="540" t="s">
        <v>534</v>
      </c>
      <c r="B30" s="179">
        <f>B31-B32</f>
        <v>-1908</v>
      </c>
      <c r="C30" s="179">
        <f>C31-C32</f>
        <v>-1699</v>
      </c>
      <c r="D30" s="558">
        <f t="shared" si="0"/>
        <v>89.0461215932914</v>
      </c>
      <c r="E30" s="179">
        <f>C30-'[22]Junijs'!C30</f>
        <v>0</v>
      </c>
    </row>
    <row r="31" spans="1:5" ht="12.75">
      <c r="A31" s="541" t="s">
        <v>535</v>
      </c>
      <c r="B31" s="186">
        <v>717</v>
      </c>
      <c r="C31" s="186">
        <v>511</v>
      </c>
      <c r="D31" s="560">
        <f t="shared" si="0"/>
        <v>71.26917712691771</v>
      </c>
      <c r="E31" s="186">
        <f>C31-'[22]Junijs'!C31</f>
        <v>96</v>
      </c>
    </row>
    <row r="32" spans="1:5" ht="12.75">
      <c r="A32" s="541" t="s">
        <v>536</v>
      </c>
      <c r="B32" s="186">
        <v>2625</v>
      </c>
      <c r="C32" s="186">
        <f>2213-3</f>
        <v>2210</v>
      </c>
      <c r="D32" s="560">
        <f t="shared" si="0"/>
        <v>84.19047619047619</v>
      </c>
      <c r="E32" s="186">
        <f>C32-'[22]Junijs'!C32</f>
        <v>96</v>
      </c>
    </row>
    <row r="33" spans="1:5" ht="12.75">
      <c r="A33" s="540" t="s">
        <v>315</v>
      </c>
      <c r="B33" s="179">
        <f>B10-B11-B30</f>
        <v>-11910</v>
      </c>
      <c r="C33" s="179">
        <f>C10-C11-C30</f>
        <v>4785</v>
      </c>
      <c r="D33" s="558">
        <f t="shared" si="0"/>
        <v>-40.17632241813602</v>
      </c>
      <c r="E33" s="179">
        <f>C33-'[22]Junijs'!C33</f>
        <v>444</v>
      </c>
    </row>
    <row r="34" spans="1:4" ht="17.25" customHeight="1">
      <c r="A34" s="533"/>
      <c r="B34" s="134"/>
      <c r="C34" s="134"/>
      <c r="D34" s="566"/>
    </row>
    <row r="35" ht="17.25" customHeight="1">
      <c r="A35" s="535"/>
    </row>
    <row r="36" ht="17.25" customHeight="1">
      <c r="A36" s="535"/>
    </row>
    <row r="37" ht="17.25" customHeight="1">
      <c r="A37" s="533"/>
    </row>
    <row r="38" spans="1:5" ht="12.75" customHeight="1">
      <c r="A38" s="41" t="s">
        <v>900</v>
      </c>
      <c r="B38" s="39"/>
      <c r="C38" s="39"/>
      <c r="D38" s="39" t="s">
        <v>862</v>
      </c>
      <c r="E38" s="567"/>
    </row>
    <row r="39" spans="1:3" ht="17.25" customHeight="1">
      <c r="A39" s="505"/>
      <c r="B39" s="89"/>
      <c r="C39" s="89"/>
    </row>
    <row r="40" spans="1:3" ht="17.25" customHeight="1">
      <c r="A40" s="535"/>
      <c r="B40" s="256"/>
      <c r="C40" s="256"/>
    </row>
    <row r="41" spans="1:3" ht="17.25" customHeight="1">
      <c r="A41" s="535"/>
      <c r="B41" s="49"/>
      <c r="C41" s="49"/>
    </row>
    <row r="42" spans="1:3" ht="17.25" customHeight="1">
      <c r="A42" s="505"/>
      <c r="B42" s="505"/>
      <c r="C42" s="505"/>
    </row>
    <row r="44" ht="12.75" customHeight="1">
      <c r="A44" s="1" t="s">
        <v>272</v>
      </c>
    </row>
    <row r="45" ht="12.75" customHeight="1">
      <c r="A45" s="1" t="s">
        <v>847</v>
      </c>
    </row>
  </sheetData>
  <mergeCells count="3">
    <mergeCell ref="A2:E2"/>
    <mergeCell ref="A4:E4"/>
    <mergeCell ref="A5:E5"/>
  </mergeCells>
  <printOptions/>
  <pageMargins left="0.95" right="0.67" top="1" bottom="1" header="0.5" footer="0.5"/>
  <pageSetup firstPageNumber="37" useFirstPageNumber="1" horizontalDpi="300" verticalDpi="300" orientation="portrait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92"/>
  <sheetViews>
    <sheetView workbookViewId="0" topLeftCell="F14">
      <selection activeCell="A59" sqref="A59"/>
    </sheetView>
  </sheetViews>
  <sheetFormatPr defaultColWidth="9.140625" defaultRowHeight="12.75"/>
  <cols>
    <col min="1" max="1" width="53.8515625" style="49" hidden="1" customWidth="1"/>
    <col min="2" max="2" width="12.7109375" style="50" hidden="1" customWidth="1"/>
    <col min="3" max="3" width="6.28125" style="49" hidden="1" customWidth="1"/>
    <col min="4" max="4" width="7.57421875" style="49" hidden="1" customWidth="1"/>
    <col min="5" max="5" width="0.13671875" style="49" hidden="1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954</v>
      </c>
    </row>
    <row r="2" spans="1:10" ht="18.75" customHeight="1">
      <c r="A2" s="48"/>
      <c r="B2" s="48"/>
      <c r="C2" s="48"/>
      <c r="D2" s="48"/>
      <c r="E2" s="48"/>
      <c r="F2" s="51" t="s">
        <v>955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66" t="s">
        <v>956</v>
      </c>
      <c r="G4" s="866"/>
      <c r="H4" s="866"/>
      <c r="I4" s="866"/>
      <c r="J4" s="866"/>
    </row>
    <row r="5" spans="1:10" ht="18.75" customHeight="1">
      <c r="A5" s="48"/>
      <c r="B5" s="48"/>
      <c r="C5" s="48"/>
      <c r="D5" s="48"/>
      <c r="E5" s="48"/>
      <c r="F5" s="864" t="s">
        <v>833</v>
      </c>
      <c r="G5" s="864"/>
      <c r="H5" s="864"/>
      <c r="I5" s="864"/>
      <c r="J5" s="864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957</v>
      </c>
    </row>
    <row r="8" spans="1:10" ht="49.5" customHeight="1">
      <c r="A8" s="9" t="s">
        <v>791</v>
      </c>
      <c r="B8" s="54" t="s">
        <v>958</v>
      </c>
      <c r="C8" s="9" t="s">
        <v>959</v>
      </c>
      <c r="D8" s="9" t="s">
        <v>960</v>
      </c>
      <c r="E8" s="9" t="s">
        <v>961</v>
      </c>
      <c r="F8" s="9" t="s">
        <v>791</v>
      </c>
      <c r="G8" s="54" t="s">
        <v>958</v>
      </c>
      <c r="H8" s="9" t="s">
        <v>959</v>
      </c>
      <c r="I8" s="9" t="s">
        <v>960</v>
      </c>
      <c r="J8" s="9" t="s">
        <v>837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962</v>
      </c>
      <c r="B10" s="55">
        <f>SUM(B26,B37)</f>
        <v>1457113808</v>
      </c>
      <c r="C10" s="55">
        <f>SUM(C26,C37)</f>
        <v>0</v>
      </c>
      <c r="D10" s="56">
        <f>IF(ISERROR(C10/B10)," ",(C10/B10))</f>
        <v>0</v>
      </c>
      <c r="E10" s="55">
        <f>C10</f>
        <v>0</v>
      </c>
      <c r="F10" s="32" t="s">
        <v>962</v>
      </c>
      <c r="G10" s="57">
        <f>SUM(G26,G37)</f>
        <v>1457114</v>
      </c>
      <c r="H10" s="57">
        <f>SUM(H26,H37)</f>
        <v>797439</v>
      </c>
      <c r="I10" s="58">
        <f>IF(ISERROR(H10/G10)," ",(H10/G10))*100</f>
        <v>54.72728969730577</v>
      </c>
      <c r="J10" s="57">
        <f>H10-'[3]Junijs'!H10</f>
        <v>121500</v>
      </c>
    </row>
    <row r="11" spans="1:10" ht="12.75" customHeight="1">
      <c r="A11" s="59" t="s">
        <v>963</v>
      </c>
      <c r="B11" s="55">
        <f>SUM(B12,B22,B23,B24)</f>
        <v>795345958</v>
      </c>
      <c r="C11" s="55">
        <f>SUM(C12,C22,C23)</f>
        <v>0</v>
      </c>
      <c r="D11" s="56">
        <f aca="true" t="shared" si="0" ref="D11:D74">IF(ISERROR(C11/B11)," ",(C11/B11))</f>
        <v>0</v>
      </c>
      <c r="E11" s="55">
        <f aca="true" t="shared" si="1" ref="E11:E84">C11</f>
        <v>0</v>
      </c>
      <c r="F11" s="59" t="s">
        <v>963</v>
      </c>
      <c r="G11" s="57">
        <f>SUM(G12,G22,G23,G24)</f>
        <v>795346</v>
      </c>
      <c r="H11" s="57">
        <f>SUM(H12,H22,H23,H24)</f>
        <v>433250</v>
      </c>
      <c r="I11" s="58">
        <f>IF(ISERROR(H11/G11)," ",(H11/G11))*100</f>
        <v>54.47314753578946</v>
      </c>
      <c r="J11" s="57">
        <f>H11-'[3]Junijs'!H11</f>
        <v>65721</v>
      </c>
    </row>
    <row r="12" spans="1:10" ht="12.75">
      <c r="A12" s="60" t="s">
        <v>964</v>
      </c>
      <c r="B12" s="61">
        <f>SUM(B13,B15,B21,B19)</f>
        <v>615019797</v>
      </c>
      <c r="C12" s="61">
        <f>SUM(C13,C15,C21)</f>
        <v>0</v>
      </c>
      <c r="D12" s="62">
        <f t="shared" si="0"/>
        <v>0</v>
      </c>
      <c r="E12" s="55">
        <f t="shared" si="1"/>
        <v>0</v>
      </c>
      <c r="F12" s="60" t="s">
        <v>964</v>
      </c>
      <c r="G12" s="63">
        <f>SUM(G13,G15,G19,G21)</f>
        <v>615020</v>
      </c>
      <c r="H12" s="63">
        <f>SUM(H13,H15,H19,H21)</f>
        <v>341063</v>
      </c>
      <c r="I12" s="64">
        <f>IF(ISERROR(H12/G12)," ",(H12/G12))*100</f>
        <v>55.45559494000195</v>
      </c>
      <c r="J12" s="63">
        <f>H12-'[3]Junijs'!H12</f>
        <v>50680</v>
      </c>
    </row>
    <row r="13" spans="1:10" ht="12.75">
      <c r="A13" s="65" t="s">
        <v>965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965</v>
      </c>
      <c r="G13" s="61">
        <f>SUM(G14)</f>
        <v>98046</v>
      </c>
      <c r="H13" s="61">
        <f>SUM(H14)</f>
        <v>59396</v>
      </c>
      <c r="I13" s="81">
        <f>IF(ISERROR(H13/G13)," ",(H13/G13))*100</f>
        <v>60.579727882830504</v>
      </c>
      <c r="J13" s="61">
        <f>H13-'[3]Junijs'!H13</f>
        <v>4766</v>
      </c>
    </row>
    <row r="14" spans="1:10" ht="12.75">
      <c r="A14" s="66" t="s">
        <v>966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966</v>
      </c>
      <c r="G14" s="63">
        <f>ROUND(B14/1000,0)</f>
        <v>98046</v>
      </c>
      <c r="H14" s="63">
        <v>59396</v>
      </c>
      <c r="I14" s="64">
        <f>IF(ISERROR(H14/G14)," ",(H14/G14))*100</f>
        <v>60.579727882830504</v>
      </c>
      <c r="J14" s="63">
        <f>H14-'[3]Junijs'!H14</f>
        <v>4766</v>
      </c>
    </row>
    <row r="15" spans="1:10" ht="12.75">
      <c r="A15" s="65" t="s">
        <v>967</v>
      </c>
      <c r="B15" s="61">
        <f>SUM(B16:B18)</f>
        <v>513733797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967</v>
      </c>
      <c r="G15" s="61">
        <f>SUM(G16:G18)</f>
        <v>513734</v>
      </c>
      <c r="H15" s="61">
        <f>SUM(H16:H18)</f>
        <v>275399</v>
      </c>
      <c r="I15" s="64">
        <f aca="true" t="shared" si="2" ref="I15:I78">IF(ISERROR(H15/G15)," ",(H15/G15))*100</f>
        <v>53.60731429105334</v>
      </c>
      <c r="J15" s="61">
        <f>H15-'[3]Junijs'!H15</f>
        <v>43751</v>
      </c>
    </row>
    <row r="16" spans="1:10" ht="12.75" customHeight="1">
      <c r="A16" s="67" t="s">
        <v>968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968</v>
      </c>
      <c r="G16" s="63">
        <f aca="true" t="shared" si="3" ref="G16:G25">ROUND(B16/1000,0)</f>
        <v>368948</v>
      </c>
      <c r="H16" s="63">
        <v>201645</v>
      </c>
      <c r="I16" s="64">
        <f t="shared" si="2"/>
        <v>54.654043388228146</v>
      </c>
      <c r="J16" s="63">
        <f>H16-'[3]Junijs'!H16</f>
        <v>33484</v>
      </c>
    </row>
    <row r="17" spans="1:10" ht="12.75">
      <c r="A17" s="66" t="s">
        <v>969</v>
      </c>
      <c r="B17" s="61">
        <v>132843140</v>
      </c>
      <c r="C17" s="61"/>
      <c r="D17" s="62">
        <f t="shared" si="0"/>
        <v>0</v>
      </c>
      <c r="E17" s="55">
        <f t="shared" si="1"/>
        <v>0</v>
      </c>
      <c r="F17" s="66" t="s">
        <v>969</v>
      </c>
      <c r="G17" s="63">
        <f t="shared" si="3"/>
        <v>132843</v>
      </c>
      <c r="H17" s="63">
        <v>65056</v>
      </c>
      <c r="I17" s="64">
        <f t="shared" si="2"/>
        <v>48.97209487891722</v>
      </c>
      <c r="J17" s="63">
        <f>H17-'[3]Junijs'!H17</f>
        <v>8975</v>
      </c>
    </row>
    <row r="18" spans="1:10" ht="12.75">
      <c r="A18" s="66" t="s">
        <v>970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970</v>
      </c>
      <c r="G18" s="63">
        <f t="shared" si="3"/>
        <v>11943</v>
      </c>
      <c r="H18" s="63">
        <v>8698</v>
      </c>
      <c r="I18" s="64">
        <f t="shared" si="2"/>
        <v>72.82927237712468</v>
      </c>
      <c r="J18" s="63">
        <f>H18-'[3]Junijs'!H18</f>
        <v>1292</v>
      </c>
    </row>
    <row r="19" spans="1:10" ht="12.75">
      <c r="A19" s="65" t="s">
        <v>838</v>
      </c>
      <c r="B19" s="61">
        <f>B20</f>
        <v>3240000</v>
      </c>
      <c r="C19" s="61"/>
      <c r="D19" s="62"/>
      <c r="E19" s="55"/>
      <c r="F19" s="65" t="s">
        <v>838</v>
      </c>
      <c r="G19" s="61">
        <f t="shared" si="3"/>
        <v>3240</v>
      </c>
      <c r="H19" s="61">
        <f>H20</f>
        <v>2311</v>
      </c>
      <c r="I19" s="81">
        <f t="shared" si="2"/>
        <v>71.32716049382715</v>
      </c>
      <c r="J19" s="61">
        <v>2311</v>
      </c>
    </row>
    <row r="20" spans="1:10" ht="12.75">
      <c r="A20" s="66" t="s">
        <v>839</v>
      </c>
      <c r="B20" s="61">
        <v>3240000</v>
      </c>
      <c r="C20" s="61"/>
      <c r="D20" s="62"/>
      <c r="E20" s="55"/>
      <c r="F20" s="66" t="s">
        <v>839</v>
      </c>
      <c r="G20" s="63">
        <f t="shared" si="3"/>
        <v>3240</v>
      </c>
      <c r="H20" s="63">
        <v>2311</v>
      </c>
      <c r="I20" s="64">
        <f t="shared" si="2"/>
        <v>71.32716049382715</v>
      </c>
      <c r="J20" s="63">
        <v>2311</v>
      </c>
    </row>
    <row r="21" spans="1:10" ht="12.75">
      <c r="A21" s="65" t="s">
        <v>971</v>
      </c>
      <c r="B21" s="61"/>
      <c r="C21" s="61"/>
      <c r="D21" s="62" t="str">
        <f t="shared" si="0"/>
        <v> </v>
      </c>
      <c r="E21" s="55">
        <f t="shared" si="1"/>
        <v>0</v>
      </c>
      <c r="F21" s="65" t="s">
        <v>971</v>
      </c>
      <c r="G21" s="68" t="s">
        <v>797</v>
      </c>
      <c r="H21" s="61">
        <v>3957</v>
      </c>
      <c r="I21" s="64"/>
      <c r="J21" s="61">
        <f>H21-'[3]Junijs'!H19</f>
        <v>-148</v>
      </c>
    </row>
    <row r="22" spans="1:10" ht="12.75">
      <c r="A22" s="60" t="s">
        <v>972</v>
      </c>
      <c r="B22" s="61">
        <v>63990583</v>
      </c>
      <c r="C22" s="61"/>
      <c r="D22" s="62">
        <f t="shared" si="0"/>
        <v>0</v>
      </c>
      <c r="E22" s="55">
        <f t="shared" si="1"/>
        <v>0</v>
      </c>
      <c r="F22" s="60" t="s">
        <v>972</v>
      </c>
      <c r="G22" s="63">
        <f>ROUND(B22/1000,0)-1</f>
        <v>63990</v>
      </c>
      <c r="H22" s="63">
        <v>42746</v>
      </c>
      <c r="I22" s="64">
        <f t="shared" si="2"/>
        <v>66.80106266604156</v>
      </c>
      <c r="J22" s="63">
        <f>H22-'[3]Junijs'!H20</f>
        <v>8837</v>
      </c>
    </row>
    <row r="23" spans="1:10" ht="12.75" customHeight="1">
      <c r="A23" s="69" t="s">
        <v>973</v>
      </c>
      <c r="B23" s="61">
        <v>65026004</v>
      </c>
      <c r="C23" s="61"/>
      <c r="D23" s="62">
        <f t="shared" si="0"/>
        <v>0</v>
      </c>
      <c r="E23" s="55">
        <f t="shared" si="1"/>
        <v>0</v>
      </c>
      <c r="F23" s="69" t="s">
        <v>973</v>
      </c>
      <c r="G23" s="63">
        <f t="shared" si="3"/>
        <v>65026</v>
      </c>
      <c r="H23" s="63">
        <v>33213</v>
      </c>
      <c r="I23" s="64">
        <f t="shared" si="2"/>
        <v>51.076492479931105</v>
      </c>
      <c r="J23" s="63">
        <f>H23-'[3]Junijs'!H21</f>
        <v>4331</v>
      </c>
    </row>
    <row r="24" spans="1:10" ht="12" customHeight="1">
      <c r="A24" s="69" t="s">
        <v>974</v>
      </c>
      <c r="B24" s="61">
        <v>51309574</v>
      </c>
      <c r="C24" s="61"/>
      <c r="D24" s="62"/>
      <c r="E24" s="55"/>
      <c r="F24" s="69" t="s">
        <v>975</v>
      </c>
      <c r="G24" s="63">
        <f t="shared" si="3"/>
        <v>51310</v>
      </c>
      <c r="H24" s="63">
        <v>16228</v>
      </c>
      <c r="I24" s="64">
        <f t="shared" si="2"/>
        <v>31.627363087117523</v>
      </c>
      <c r="J24" s="63">
        <f>H24-'[3]Junijs'!H22</f>
        <v>1873</v>
      </c>
    </row>
    <row r="25" spans="1:10" ht="12.75" customHeight="1">
      <c r="A25" s="70" t="s">
        <v>976</v>
      </c>
      <c r="B25" s="61">
        <v>1201200</v>
      </c>
      <c r="C25" s="61"/>
      <c r="D25" s="62">
        <f t="shared" si="0"/>
        <v>0</v>
      </c>
      <c r="E25" s="55">
        <f t="shared" si="1"/>
        <v>0</v>
      </c>
      <c r="F25" s="70" t="s">
        <v>976</v>
      </c>
      <c r="G25" s="71">
        <f t="shared" si="3"/>
        <v>1201</v>
      </c>
      <c r="H25" s="72">
        <v>701</v>
      </c>
      <c r="I25" s="73">
        <f t="shared" si="2"/>
        <v>58.368026644462944</v>
      </c>
      <c r="J25" s="72">
        <f>H25-'[3]Junijs'!H23</f>
        <v>100</v>
      </c>
    </row>
    <row r="26" spans="1:10" ht="12.75" customHeight="1">
      <c r="A26" s="59" t="s">
        <v>977</v>
      </c>
      <c r="B26" s="55">
        <f>SUM(B11-B25)</f>
        <v>794144758</v>
      </c>
      <c r="C26" s="55">
        <f>SUM(C11-C25)</f>
        <v>0</v>
      </c>
      <c r="D26" s="56">
        <f t="shared" si="0"/>
        <v>0</v>
      </c>
      <c r="E26" s="55">
        <f t="shared" si="1"/>
        <v>0</v>
      </c>
      <c r="F26" s="59" t="s">
        <v>977</v>
      </c>
      <c r="G26" s="57">
        <f>SUM(G11-G25)</f>
        <v>794145</v>
      </c>
      <c r="H26" s="57">
        <f>SUM(H11-H25)</f>
        <v>432549</v>
      </c>
      <c r="I26" s="58">
        <f t="shared" si="2"/>
        <v>54.46725723891732</v>
      </c>
      <c r="J26" s="57">
        <f>H26-'[3]Junijs'!H24</f>
        <v>65621</v>
      </c>
    </row>
    <row r="27" spans="1:10" ht="12.75">
      <c r="A27" s="74" t="s">
        <v>978</v>
      </c>
      <c r="B27" s="55">
        <f>SUM(B28+B33+B34+B35)</f>
        <v>727134239</v>
      </c>
      <c r="C27" s="55">
        <f>SUM(C28)</f>
        <v>0</v>
      </c>
      <c r="D27" s="56">
        <f t="shared" si="0"/>
        <v>0</v>
      </c>
      <c r="E27" s="55">
        <f t="shared" si="1"/>
        <v>0</v>
      </c>
      <c r="F27" s="74" t="s">
        <v>978</v>
      </c>
      <c r="G27" s="57">
        <f>SUM(G28+G33+G34+G35)</f>
        <v>727134</v>
      </c>
      <c r="H27" s="57">
        <f>SUM(H28+H33+H34+H35)</f>
        <v>404292</v>
      </c>
      <c r="I27" s="58">
        <f t="shared" si="2"/>
        <v>55.60075584417727</v>
      </c>
      <c r="J27" s="57">
        <f>H27-'[3]Junijs'!H25</f>
        <v>61513</v>
      </c>
    </row>
    <row r="28" spans="1:10" ht="12.75">
      <c r="A28" s="60" t="s">
        <v>964</v>
      </c>
      <c r="B28" s="61">
        <f>SUM(B29:B32)</f>
        <v>637745447</v>
      </c>
      <c r="C28" s="61">
        <f>SUM(C29:C35)</f>
        <v>0</v>
      </c>
      <c r="D28" s="62">
        <f t="shared" si="0"/>
        <v>0</v>
      </c>
      <c r="E28" s="55">
        <f t="shared" si="1"/>
        <v>0</v>
      </c>
      <c r="F28" s="60" t="s">
        <v>964</v>
      </c>
      <c r="G28" s="63">
        <f>SUM(G29:G32)</f>
        <v>637745</v>
      </c>
      <c r="H28" s="63">
        <f>SUM(H29:H32)</f>
        <v>348610</v>
      </c>
      <c r="I28" s="64">
        <f t="shared" si="2"/>
        <v>54.66291386055555</v>
      </c>
      <c r="J28" s="63">
        <f>SUM(J29:J32)</f>
        <v>53224</v>
      </c>
    </row>
    <row r="29" spans="1:10" ht="12.75">
      <c r="A29" s="66" t="s">
        <v>979</v>
      </c>
      <c r="B29" s="61">
        <v>495585390</v>
      </c>
      <c r="C29" s="61"/>
      <c r="D29" s="62">
        <f t="shared" si="0"/>
        <v>0</v>
      </c>
      <c r="E29" s="55">
        <f t="shared" si="1"/>
        <v>0</v>
      </c>
      <c r="F29" s="66" t="s">
        <v>979</v>
      </c>
      <c r="G29" s="63">
        <f aca="true" t="shared" si="4" ref="G29:G35">ROUND(B29/1000,0)</f>
        <v>495585</v>
      </c>
      <c r="H29" s="63">
        <v>275605</v>
      </c>
      <c r="I29" s="64">
        <f t="shared" si="2"/>
        <v>55.612054440711475</v>
      </c>
      <c r="J29" s="63">
        <f>H29-'[3]Junijs'!H27</f>
        <v>41525</v>
      </c>
    </row>
    <row r="30" spans="1:10" ht="12.75">
      <c r="A30" s="66" t="s">
        <v>980</v>
      </c>
      <c r="B30" s="61">
        <v>51689860</v>
      </c>
      <c r="C30" s="61"/>
      <c r="D30" s="62">
        <f t="shared" si="0"/>
        <v>0</v>
      </c>
      <c r="E30" s="55">
        <f t="shared" si="1"/>
        <v>0</v>
      </c>
      <c r="F30" s="66" t="s">
        <v>980</v>
      </c>
      <c r="G30" s="63">
        <f t="shared" si="4"/>
        <v>51690</v>
      </c>
      <c r="H30" s="63">
        <f>22619+214+684+374</f>
        <v>23891</v>
      </c>
      <c r="I30" s="64">
        <f t="shared" si="2"/>
        <v>46.21977171599922</v>
      </c>
      <c r="J30" s="63">
        <f>H30-'[3]Junijs'!H28</f>
        <v>4185</v>
      </c>
    </row>
    <row r="31" spans="1:10" ht="12.75">
      <c r="A31" s="66" t="s">
        <v>981</v>
      </c>
      <c r="B31" s="61">
        <v>81519197</v>
      </c>
      <c r="C31" s="61"/>
      <c r="D31" s="62">
        <f t="shared" si="0"/>
        <v>0</v>
      </c>
      <c r="E31" s="55">
        <f t="shared" si="1"/>
        <v>0</v>
      </c>
      <c r="F31" s="66" t="s">
        <v>981</v>
      </c>
      <c r="G31" s="63">
        <f t="shared" si="4"/>
        <v>81519</v>
      </c>
      <c r="H31" s="63">
        <v>45020</v>
      </c>
      <c r="I31" s="64">
        <f t="shared" si="2"/>
        <v>55.22638894000171</v>
      </c>
      <c r="J31" s="63">
        <f>H31-'[3]Junijs'!H29</f>
        <v>6956</v>
      </c>
    </row>
    <row r="32" spans="1:10" ht="12.75">
      <c r="A32" s="66" t="s">
        <v>840</v>
      </c>
      <c r="B32" s="61">
        <v>8951000</v>
      </c>
      <c r="C32" s="61"/>
      <c r="D32" s="62"/>
      <c r="E32" s="55"/>
      <c r="F32" s="66" t="s">
        <v>840</v>
      </c>
      <c r="G32" s="63">
        <f t="shared" si="4"/>
        <v>8951</v>
      </c>
      <c r="H32" s="63">
        <v>4094</v>
      </c>
      <c r="I32" s="64">
        <f t="shared" si="2"/>
        <v>45.73790637917551</v>
      </c>
      <c r="J32" s="63">
        <v>558</v>
      </c>
    </row>
    <row r="33" spans="1:10" ht="12.75">
      <c r="A33" s="66" t="s">
        <v>841</v>
      </c>
      <c r="B33" s="61">
        <v>83323775</v>
      </c>
      <c r="C33" s="61"/>
      <c r="D33" s="62"/>
      <c r="E33" s="55"/>
      <c r="F33" s="66" t="s">
        <v>841</v>
      </c>
      <c r="G33" s="63">
        <f t="shared" si="4"/>
        <v>83324</v>
      </c>
      <c r="H33" s="63">
        <v>52504</v>
      </c>
      <c r="I33" s="64">
        <f t="shared" si="2"/>
        <v>63.01185732802074</v>
      </c>
      <c r="J33" s="63">
        <v>7767</v>
      </c>
    </row>
    <row r="34" spans="1:10" ht="12.75">
      <c r="A34" s="66" t="s">
        <v>842</v>
      </c>
      <c r="B34" s="61">
        <v>3459911</v>
      </c>
      <c r="C34" s="61"/>
      <c r="D34" s="62"/>
      <c r="E34" s="55"/>
      <c r="F34" s="66" t="s">
        <v>842</v>
      </c>
      <c r="G34" s="63">
        <f t="shared" si="4"/>
        <v>3460</v>
      </c>
      <c r="H34" s="63">
        <f>53+1594+80-10</f>
        <v>1717</v>
      </c>
      <c r="I34" s="64">
        <f t="shared" si="2"/>
        <v>49.6242774566474</v>
      </c>
      <c r="J34" s="63">
        <v>95</v>
      </c>
    </row>
    <row r="35" spans="1:10" ht="12.75">
      <c r="A35" s="66" t="s">
        <v>843</v>
      </c>
      <c r="B35" s="61">
        <v>2605106</v>
      </c>
      <c r="C35" s="61"/>
      <c r="D35" s="62">
        <f t="shared" si="0"/>
        <v>0</v>
      </c>
      <c r="E35" s="55">
        <f t="shared" si="1"/>
        <v>0</v>
      </c>
      <c r="F35" s="66" t="s">
        <v>843</v>
      </c>
      <c r="G35" s="63">
        <f t="shared" si="4"/>
        <v>2605</v>
      </c>
      <c r="H35" s="63">
        <f>1461</f>
        <v>1461</v>
      </c>
      <c r="I35" s="64">
        <f t="shared" si="2"/>
        <v>56.08445297504798</v>
      </c>
      <c r="J35" s="63">
        <f>H35-'[3]Junijs'!H30</f>
        <v>427</v>
      </c>
    </row>
    <row r="36" spans="1:10" ht="12.75">
      <c r="A36" s="75" t="s">
        <v>982</v>
      </c>
      <c r="B36" s="61">
        <v>64165189</v>
      </c>
      <c r="C36" s="61"/>
      <c r="D36" s="62">
        <f t="shared" si="0"/>
        <v>0</v>
      </c>
      <c r="E36" s="55">
        <f t="shared" si="1"/>
        <v>0</v>
      </c>
      <c r="F36" s="75" t="s">
        <v>982</v>
      </c>
      <c r="G36" s="71">
        <f>ROUND(B36/1000,0)</f>
        <v>64165</v>
      </c>
      <c r="H36" s="71">
        <f>1048+1010+33618+3726</f>
        <v>39402</v>
      </c>
      <c r="I36" s="73">
        <f t="shared" si="2"/>
        <v>61.407309280760536</v>
      </c>
      <c r="J36" s="71">
        <f>H36-'[3]Junijs'!H32</f>
        <v>5634</v>
      </c>
    </row>
    <row r="37" spans="1:10" ht="12.75" customHeight="1">
      <c r="A37" s="59" t="s">
        <v>983</v>
      </c>
      <c r="B37" s="55">
        <f>SUM(B27-B36)</f>
        <v>662969050</v>
      </c>
      <c r="C37" s="55">
        <f>SUM(C27-C36)</f>
        <v>0</v>
      </c>
      <c r="D37" s="56">
        <f t="shared" si="0"/>
        <v>0</v>
      </c>
      <c r="E37" s="55">
        <f t="shared" si="1"/>
        <v>0</v>
      </c>
      <c r="F37" s="59" t="s">
        <v>983</v>
      </c>
      <c r="G37" s="57">
        <f>SUM(G27-G36)</f>
        <v>662969</v>
      </c>
      <c r="H37" s="57">
        <f>SUM(H27-H36)</f>
        <v>364890</v>
      </c>
      <c r="I37" s="58">
        <f t="shared" si="2"/>
        <v>55.03877255195945</v>
      </c>
      <c r="J37" s="57">
        <f>H37-'[3]Junijs'!H33</f>
        <v>55879</v>
      </c>
    </row>
    <row r="38" spans="1:10" ht="15" customHeight="1">
      <c r="A38" s="76" t="s">
        <v>984</v>
      </c>
      <c r="B38" s="55">
        <f>SUM(B39:B41)</f>
        <v>1536543434</v>
      </c>
      <c r="C38" s="55">
        <f>SUM(C39:C41)</f>
        <v>0</v>
      </c>
      <c r="D38" s="56">
        <f t="shared" si="0"/>
        <v>0</v>
      </c>
      <c r="E38" s="55">
        <f t="shared" si="1"/>
        <v>0</v>
      </c>
      <c r="F38" s="76" t="s">
        <v>984</v>
      </c>
      <c r="G38" s="57">
        <f>SUM(G39:G41)</f>
        <v>1536543</v>
      </c>
      <c r="H38" s="57">
        <f>SUM(H39:H41)</f>
        <v>828544</v>
      </c>
      <c r="I38" s="58">
        <f t="shared" si="2"/>
        <v>53.922604183547094</v>
      </c>
      <c r="J38" s="57">
        <f>H38-'[3]Junijs'!H34</f>
        <v>126342</v>
      </c>
    </row>
    <row r="39" spans="1:10" ht="25.5">
      <c r="A39" s="76" t="s">
        <v>985</v>
      </c>
      <c r="B39" s="55">
        <f>SUM(B56+B78)</f>
        <v>1427129160</v>
      </c>
      <c r="C39" s="55">
        <f>SUM(C56+C78)</f>
        <v>0</v>
      </c>
      <c r="D39" s="56">
        <f t="shared" si="0"/>
        <v>0</v>
      </c>
      <c r="E39" s="55">
        <f t="shared" si="1"/>
        <v>0</v>
      </c>
      <c r="F39" s="76" t="s">
        <v>985</v>
      </c>
      <c r="G39" s="57">
        <f>SUM(G56+G78)</f>
        <v>1427128</v>
      </c>
      <c r="H39" s="57">
        <f>SUM(H56+H78)</f>
        <v>788860</v>
      </c>
      <c r="I39" s="58">
        <f t="shared" si="2"/>
        <v>55.276050921851436</v>
      </c>
      <c r="J39" s="57">
        <f>H39-'[3]Junijs'!H35</f>
        <v>118943</v>
      </c>
    </row>
    <row r="40" spans="1:10" ht="25.5">
      <c r="A40" s="76" t="s">
        <v>986</v>
      </c>
      <c r="B40" s="55">
        <f>SUM(B58+B80)</f>
        <v>32661601</v>
      </c>
      <c r="C40" s="55">
        <f>SUM(C58+C80)</f>
        <v>0</v>
      </c>
      <c r="D40" s="56">
        <f t="shared" si="0"/>
        <v>0</v>
      </c>
      <c r="E40" s="55">
        <f t="shared" si="1"/>
        <v>0</v>
      </c>
      <c r="F40" s="76" t="s">
        <v>986</v>
      </c>
      <c r="G40" s="57">
        <f>SUM(G58+G80)</f>
        <v>32662</v>
      </c>
      <c r="H40" s="57">
        <f>SUM(H58+H80)</f>
        <v>14539</v>
      </c>
      <c r="I40" s="58">
        <f t="shared" si="2"/>
        <v>44.51350192884698</v>
      </c>
      <c r="J40" s="57">
        <f>H40-'[3]Junijs'!H36</f>
        <v>1053</v>
      </c>
    </row>
    <row r="41" spans="1:10" ht="25.5">
      <c r="A41" s="76" t="s">
        <v>987</v>
      </c>
      <c r="B41" s="55">
        <f>SUM(B61+B82)</f>
        <v>76752673</v>
      </c>
      <c r="C41" s="55">
        <f>SUM(C61+C82)</f>
        <v>0</v>
      </c>
      <c r="D41" s="56">
        <f t="shared" si="0"/>
        <v>0</v>
      </c>
      <c r="E41" s="55">
        <f t="shared" si="1"/>
        <v>0</v>
      </c>
      <c r="F41" s="76" t="s">
        <v>987</v>
      </c>
      <c r="G41" s="57">
        <f>SUM(G61+G82)</f>
        <v>76753</v>
      </c>
      <c r="H41" s="57">
        <f>SUM(H61+H82)</f>
        <v>25145</v>
      </c>
      <c r="I41" s="58">
        <f t="shared" si="2"/>
        <v>32.76093442601592</v>
      </c>
      <c r="J41" s="57">
        <f>H41-'[3]Junijs'!H37</f>
        <v>6346</v>
      </c>
    </row>
    <row r="42" spans="1:10" ht="26.25" customHeight="1">
      <c r="A42" s="76" t="s">
        <v>988</v>
      </c>
      <c r="B42" s="55">
        <f>SUM(B10-B38)</f>
        <v>-79429626</v>
      </c>
      <c r="C42" s="55">
        <f>SUM(C10-C38)</f>
        <v>0</v>
      </c>
      <c r="D42" s="56">
        <f t="shared" si="0"/>
        <v>0</v>
      </c>
      <c r="E42" s="55">
        <f t="shared" si="1"/>
        <v>0</v>
      </c>
      <c r="F42" s="76" t="s">
        <v>988</v>
      </c>
      <c r="G42" s="57">
        <f>SUM(G10-G38)</f>
        <v>-79429</v>
      </c>
      <c r="H42" s="57">
        <f>SUM(H10-H38)</f>
        <v>-31105</v>
      </c>
      <c r="I42" s="58">
        <f t="shared" si="2"/>
        <v>39.160759923957244</v>
      </c>
      <c r="J42" s="57">
        <f>H42-'[3]Junijs'!H38</f>
        <v>-4842</v>
      </c>
    </row>
    <row r="43" spans="1:10" ht="15" customHeight="1">
      <c r="A43" s="76" t="s">
        <v>989</v>
      </c>
      <c r="B43" s="55">
        <f>SUM(B63+B84)</f>
        <v>12043832</v>
      </c>
      <c r="C43" s="55">
        <f>SUM(C63+C84)</f>
        <v>0</v>
      </c>
      <c r="D43" s="56">
        <f t="shared" si="0"/>
        <v>0</v>
      </c>
      <c r="E43" s="55">
        <f t="shared" si="1"/>
        <v>0</v>
      </c>
      <c r="F43" s="76" t="s">
        <v>989</v>
      </c>
      <c r="G43" s="57">
        <f>SUM(G63+G84)</f>
        <v>12044</v>
      </c>
      <c r="H43" s="57">
        <f>SUM(H63+H84)</f>
        <v>1082</v>
      </c>
      <c r="I43" s="58">
        <f t="shared" si="2"/>
        <v>8.983726336765194</v>
      </c>
      <c r="J43" s="57">
        <f>H43-'[3]Junijs'!H39</f>
        <v>4214</v>
      </c>
    </row>
    <row r="44" spans="1:10" ht="27" customHeight="1">
      <c r="A44" s="76" t="s">
        <v>990</v>
      </c>
      <c r="B44" s="55">
        <f>SUM(B38+B43)</f>
        <v>1548587266</v>
      </c>
      <c r="C44" s="55">
        <f>SUM(C38+C43)</f>
        <v>0</v>
      </c>
      <c r="D44" s="56">
        <f t="shared" si="0"/>
        <v>0</v>
      </c>
      <c r="E44" s="55">
        <f t="shared" si="1"/>
        <v>0</v>
      </c>
      <c r="F44" s="76" t="s">
        <v>990</v>
      </c>
      <c r="G44" s="57">
        <f>SUM(G38+G43)</f>
        <v>1548587</v>
      </c>
      <c r="H44" s="57">
        <f>SUM(H38+H43)</f>
        <v>829626</v>
      </c>
      <c r="I44" s="58">
        <f t="shared" si="2"/>
        <v>53.57309599008645</v>
      </c>
      <c r="J44" s="57">
        <f>H44-'[3]Junijs'!H40</f>
        <v>130556</v>
      </c>
    </row>
    <row r="45" spans="1:10" ht="25.5">
      <c r="A45" s="76" t="s">
        <v>991</v>
      </c>
      <c r="B45" s="55">
        <f>IF((B42-B43=B10-B44)=TRUE,B42-B43,9)</f>
        <v>-91473458</v>
      </c>
      <c r="C45" s="57">
        <f>C42-C43</f>
        <v>0</v>
      </c>
      <c r="D45" s="56">
        <f t="shared" si="0"/>
        <v>0</v>
      </c>
      <c r="E45" s="55">
        <f t="shared" si="1"/>
        <v>0</v>
      </c>
      <c r="F45" s="76" t="s">
        <v>991</v>
      </c>
      <c r="G45" s="57">
        <f>IF((G42-G43=G10-G44)=TRUE,G42-G43,9)</f>
        <v>-91473</v>
      </c>
      <c r="H45" s="57">
        <f>IF((H42-H43=H10-H44)=TRUE,H42-H43,9)</f>
        <v>-32187</v>
      </c>
      <c r="I45" s="58">
        <f t="shared" si="2"/>
        <v>35.18743235708898</v>
      </c>
      <c r="J45" s="57">
        <f>H45-'[3]Junijs'!H41</f>
        <v>-9056</v>
      </c>
    </row>
    <row r="46" spans="1:10" ht="12.75">
      <c r="A46" s="76"/>
      <c r="B46" s="55"/>
      <c r="C46" s="57"/>
      <c r="D46" s="56"/>
      <c r="E46" s="55"/>
      <c r="F46" s="77" t="s">
        <v>992</v>
      </c>
      <c r="G46" s="57"/>
      <c r="H46" s="57"/>
      <c r="I46" s="58"/>
      <c r="J46" s="57">
        <f>H46-'[3]Junijs'!H42</f>
        <v>0</v>
      </c>
    </row>
    <row r="47" spans="1:10" ht="12.75" customHeight="1">
      <c r="A47" s="76"/>
      <c r="B47" s="55">
        <v>17266744</v>
      </c>
      <c r="C47" s="57"/>
      <c r="D47" s="56"/>
      <c r="E47" s="55"/>
      <c r="F47" s="77" t="s">
        <v>993</v>
      </c>
      <c r="G47" s="78">
        <f>ROUND(B47/1000,0)</f>
        <v>17267</v>
      </c>
      <c r="H47" s="78">
        <v>3521</v>
      </c>
      <c r="I47" s="79">
        <f t="shared" si="2"/>
        <v>20.391498233624834</v>
      </c>
      <c r="J47" s="78">
        <f>H47-'[3]Junijs'!H43</f>
        <v>36</v>
      </c>
    </row>
    <row r="48" spans="1:10" ht="12.75">
      <c r="A48" s="76"/>
      <c r="B48" s="55">
        <v>800000</v>
      </c>
      <c r="C48" s="57"/>
      <c r="D48" s="56"/>
      <c r="E48" s="55"/>
      <c r="F48" s="77" t="s">
        <v>994</v>
      </c>
      <c r="G48" s="78">
        <f>ROUND(B48/1000,0)</f>
        <v>800</v>
      </c>
      <c r="H48" s="78">
        <v>305</v>
      </c>
      <c r="I48" s="79">
        <f t="shared" si="2"/>
        <v>38.125</v>
      </c>
      <c r="J48" s="78">
        <f>H48-'[3]Junijs'!H44</f>
        <v>0</v>
      </c>
    </row>
    <row r="49" spans="1:10" ht="12.75">
      <c r="A49" s="76"/>
      <c r="B49" s="55">
        <v>71869175</v>
      </c>
      <c r="C49" s="57"/>
      <c r="D49" s="56"/>
      <c r="E49" s="55"/>
      <c r="F49" s="77" t="s">
        <v>995</v>
      </c>
      <c r="G49" s="78">
        <f>ROUND(B49/1000,0)</f>
        <v>71869</v>
      </c>
      <c r="H49" s="78">
        <v>63603</v>
      </c>
      <c r="I49" s="79">
        <f t="shared" si="2"/>
        <v>88.49851813716624</v>
      </c>
      <c r="J49" s="78">
        <f>H49-'[3]Junijs'!H45</f>
        <v>4809</v>
      </c>
    </row>
    <row r="50" spans="1:10" ht="12.75">
      <c r="A50" s="76"/>
      <c r="B50" s="55">
        <v>1537539</v>
      </c>
      <c r="C50" s="57"/>
      <c r="D50" s="56"/>
      <c r="E50" s="55"/>
      <c r="F50" s="77" t="s">
        <v>844</v>
      </c>
      <c r="G50" s="78">
        <f>ROUND(B50/1000,0)-1</f>
        <v>1537</v>
      </c>
      <c r="H50" s="78">
        <v>-35242</v>
      </c>
      <c r="I50" s="79"/>
      <c r="J50" s="78">
        <v>4211</v>
      </c>
    </row>
    <row r="51" spans="1:10" ht="12.75">
      <c r="A51" s="59" t="s">
        <v>996</v>
      </c>
      <c r="B51" s="55">
        <f>B54+B57+B59</f>
        <v>832064074</v>
      </c>
      <c r="C51" s="55">
        <f>C54+C57+C59</f>
        <v>0</v>
      </c>
      <c r="D51" s="56">
        <f t="shared" si="0"/>
        <v>0</v>
      </c>
      <c r="E51" s="55">
        <f t="shared" si="1"/>
        <v>0</v>
      </c>
      <c r="F51" s="59" t="s">
        <v>996</v>
      </c>
      <c r="G51" s="57">
        <f>G54+G57+G59</f>
        <v>832064</v>
      </c>
      <c r="H51" s="57">
        <f>H54+H57+H59</f>
        <v>450751</v>
      </c>
      <c r="I51" s="58">
        <f t="shared" si="2"/>
        <v>54.17263575878779</v>
      </c>
      <c r="J51" s="57">
        <f>H51-'[3]Junijs'!H47</f>
        <v>67363</v>
      </c>
    </row>
    <row r="52" spans="1:10" ht="12.75">
      <c r="A52" s="80" t="s">
        <v>997</v>
      </c>
      <c r="B52" s="61">
        <f>B55+B60</f>
        <v>64165189</v>
      </c>
      <c r="C52" s="61">
        <f>C55+C60</f>
        <v>0</v>
      </c>
      <c r="D52" s="62">
        <f t="shared" si="0"/>
        <v>0</v>
      </c>
      <c r="E52" s="55">
        <f t="shared" si="1"/>
        <v>0</v>
      </c>
      <c r="F52" s="80" t="s">
        <v>997</v>
      </c>
      <c r="G52" s="71">
        <f>G55+G60</f>
        <v>64165</v>
      </c>
      <c r="H52" s="71">
        <f>H55+H60</f>
        <v>39402</v>
      </c>
      <c r="I52" s="73">
        <f t="shared" si="2"/>
        <v>61.407309280760536</v>
      </c>
      <c r="J52" s="71">
        <f>H52-'[3]Junijs'!H48</f>
        <v>5634</v>
      </c>
    </row>
    <row r="53" spans="1:10" ht="13.5" customHeight="1">
      <c r="A53" s="59" t="s">
        <v>998</v>
      </c>
      <c r="B53" s="55">
        <f>SUM(B51-B52)</f>
        <v>767898885</v>
      </c>
      <c r="C53" s="55">
        <f>SUM(C51-C52)</f>
        <v>0</v>
      </c>
      <c r="D53" s="56">
        <f t="shared" si="0"/>
        <v>0</v>
      </c>
      <c r="E53" s="55">
        <f t="shared" si="1"/>
        <v>0</v>
      </c>
      <c r="F53" s="59" t="s">
        <v>998</v>
      </c>
      <c r="G53" s="57">
        <f>SUM(G51-G52)</f>
        <v>767899</v>
      </c>
      <c r="H53" s="57">
        <f>SUM(H51-H52)</f>
        <v>411349</v>
      </c>
      <c r="I53" s="58">
        <f t="shared" si="2"/>
        <v>53.56811247312472</v>
      </c>
      <c r="J53" s="57">
        <f>H53-'[3]Junijs'!H49</f>
        <v>61729</v>
      </c>
    </row>
    <row r="54" spans="1:10" ht="12.75">
      <c r="A54" s="60" t="s">
        <v>999</v>
      </c>
      <c r="B54" s="61">
        <v>754923325</v>
      </c>
      <c r="C54" s="61"/>
      <c r="D54" s="62">
        <f t="shared" si="0"/>
        <v>0</v>
      </c>
      <c r="E54" s="55">
        <f t="shared" si="1"/>
        <v>0</v>
      </c>
      <c r="F54" s="60" t="s">
        <v>999</v>
      </c>
      <c r="G54" s="61">
        <f>ROUND(B54/1000,0)</f>
        <v>754923</v>
      </c>
      <c r="H54" s="61">
        <v>421661</v>
      </c>
      <c r="I54" s="64">
        <f t="shared" si="2"/>
        <v>55.85483552627222</v>
      </c>
      <c r="J54" s="61">
        <f>H54-'[3]Junijs'!H50</f>
        <v>62436</v>
      </c>
    </row>
    <row r="55" spans="1:10" ht="12.75">
      <c r="A55" s="75" t="s">
        <v>1000</v>
      </c>
      <c r="B55" s="61">
        <v>63413789</v>
      </c>
      <c r="C55" s="61"/>
      <c r="D55" s="62">
        <f t="shared" si="0"/>
        <v>0</v>
      </c>
      <c r="E55" s="55">
        <f t="shared" si="1"/>
        <v>0</v>
      </c>
      <c r="F55" s="75" t="s">
        <v>1000</v>
      </c>
      <c r="G55" s="71">
        <f>ROUND(B55/1000,0)</f>
        <v>63414</v>
      </c>
      <c r="H55" s="71">
        <v>38787</v>
      </c>
      <c r="I55" s="73">
        <f t="shared" si="2"/>
        <v>61.164727031885704</v>
      </c>
      <c r="J55" s="71">
        <f>H55-'[3]Junijs'!H51</f>
        <v>5634</v>
      </c>
    </row>
    <row r="56" spans="1:10" ht="13.5" customHeight="1">
      <c r="A56" s="59" t="s">
        <v>1001</v>
      </c>
      <c r="B56" s="55">
        <f>SUM(B54-B55)</f>
        <v>691509536</v>
      </c>
      <c r="C56" s="55">
        <f>SUM(C54-C55)</f>
        <v>0</v>
      </c>
      <c r="D56" s="56">
        <f t="shared" si="0"/>
        <v>0</v>
      </c>
      <c r="E56" s="55">
        <f t="shared" si="1"/>
        <v>0</v>
      </c>
      <c r="F56" s="59" t="s">
        <v>1001</v>
      </c>
      <c r="G56" s="57">
        <f>SUM(G54-G55)</f>
        <v>691509</v>
      </c>
      <c r="H56" s="57">
        <f>SUM(H54-H55)</f>
        <v>382874</v>
      </c>
      <c r="I56" s="58">
        <f t="shared" si="2"/>
        <v>55.36789832091845</v>
      </c>
      <c r="J56" s="57">
        <f>H56-'[3]Junijs'!H52</f>
        <v>56802</v>
      </c>
    </row>
    <row r="57" spans="1:10" ht="12.75">
      <c r="A57" s="60" t="s">
        <v>1002</v>
      </c>
      <c r="B57" s="61">
        <v>20101489</v>
      </c>
      <c r="C57" s="61"/>
      <c r="D57" s="62">
        <f t="shared" si="0"/>
        <v>0</v>
      </c>
      <c r="E57" s="55">
        <f t="shared" si="1"/>
        <v>0</v>
      </c>
      <c r="F57" s="60" t="s">
        <v>1002</v>
      </c>
      <c r="G57" s="61">
        <f>ROUND(B57/1000,0)+1</f>
        <v>20102</v>
      </c>
      <c r="H57" s="61">
        <v>8536</v>
      </c>
      <c r="I57" s="64">
        <f t="shared" si="2"/>
        <v>42.46343647398269</v>
      </c>
      <c r="J57" s="61">
        <f>H57-'[3]Junijs'!H53</f>
        <v>211</v>
      </c>
    </row>
    <row r="58" spans="1:10" ht="15" customHeight="1">
      <c r="A58" s="59" t="s">
        <v>1003</v>
      </c>
      <c r="B58" s="55">
        <f>SUM(B57)</f>
        <v>20101489</v>
      </c>
      <c r="C58" s="55">
        <f>SUM(C57)</f>
        <v>0</v>
      </c>
      <c r="D58" s="56">
        <f t="shared" si="0"/>
        <v>0</v>
      </c>
      <c r="E58" s="55">
        <f t="shared" si="1"/>
        <v>0</v>
      </c>
      <c r="F58" s="59" t="s">
        <v>1003</v>
      </c>
      <c r="G58" s="57">
        <f>SUM(G57)</f>
        <v>20102</v>
      </c>
      <c r="H58" s="57">
        <f>SUM(H57)</f>
        <v>8536</v>
      </c>
      <c r="I58" s="58">
        <f t="shared" si="2"/>
        <v>42.46343647398269</v>
      </c>
      <c r="J58" s="57">
        <f>H58-'[3]Junijs'!H54</f>
        <v>211</v>
      </c>
    </row>
    <row r="59" spans="1:10" ht="12.75">
      <c r="A59" s="60" t="s">
        <v>1004</v>
      </c>
      <c r="B59" s="61">
        <v>57039260</v>
      </c>
      <c r="C59" s="61"/>
      <c r="D59" s="62">
        <f t="shared" si="0"/>
        <v>0</v>
      </c>
      <c r="E59" s="55">
        <f t="shared" si="1"/>
        <v>0</v>
      </c>
      <c r="F59" s="60" t="s">
        <v>1004</v>
      </c>
      <c r="G59" s="61">
        <f>ROUND(B59/1000,0)</f>
        <v>57039</v>
      </c>
      <c r="H59" s="61">
        <v>20554</v>
      </c>
      <c r="I59" s="64">
        <f t="shared" si="2"/>
        <v>36.03499360086958</v>
      </c>
      <c r="J59" s="61">
        <f>H59-'[3]Junijs'!H55</f>
        <v>4716</v>
      </c>
    </row>
    <row r="60" spans="1:10" ht="12.75">
      <c r="A60" s="75" t="s">
        <v>1005</v>
      </c>
      <c r="B60" s="61">
        <v>751400</v>
      </c>
      <c r="C60" s="61"/>
      <c r="D60" s="62">
        <f t="shared" si="0"/>
        <v>0</v>
      </c>
      <c r="E60" s="55">
        <f t="shared" si="1"/>
        <v>0</v>
      </c>
      <c r="F60" s="75" t="s">
        <v>1005</v>
      </c>
      <c r="G60" s="71">
        <f>ROUND(B60/1000,0)</f>
        <v>751</v>
      </c>
      <c r="H60" s="71">
        <v>615</v>
      </c>
      <c r="I60" s="73">
        <f t="shared" si="2"/>
        <v>81.89081225033289</v>
      </c>
      <c r="J60" s="71">
        <f>H60-'[3]Junijs'!H56</f>
        <v>0</v>
      </c>
    </row>
    <row r="61" spans="1:10" ht="14.25" customHeight="1">
      <c r="A61" s="59" t="s">
        <v>1006</v>
      </c>
      <c r="B61" s="55">
        <f>SUM(B59-B60)</f>
        <v>56287860</v>
      </c>
      <c r="C61" s="55">
        <f>SUM(C59-C60)</f>
        <v>0</v>
      </c>
      <c r="D61" s="56">
        <f t="shared" si="0"/>
        <v>0</v>
      </c>
      <c r="E61" s="55">
        <f t="shared" si="1"/>
        <v>0</v>
      </c>
      <c r="F61" s="59" t="s">
        <v>1006</v>
      </c>
      <c r="G61" s="57">
        <f>SUM(G59-G60)</f>
        <v>56288</v>
      </c>
      <c r="H61" s="57">
        <f>SUM(H59-H60)</f>
        <v>19939</v>
      </c>
      <c r="I61" s="58">
        <f t="shared" si="2"/>
        <v>35.42318078453667</v>
      </c>
      <c r="J61" s="57">
        <f>H61-'[3]Junijs'!H57</f>
        <v>4716</v>
      </c>
    </row>
    <row r="62" spans="1:10" ht="27" customHeight="1">
      <c r="A62" s="76" t="s">
        <v>1007</v>
      </c>
      <c r="B62" s="55">
        <f>SUM(B11-B51)</f>
        <v>-36718116</v>
      </c>
      <c r="C62" s="55">
        <f>SUM(C11-C51)</f>
        <v>0</v>
      </c>
      <c r="D62" s="56">
        <f t="shared" si="0"/>
        <v>0</v>
      </c>
      <c r="E62" s="55">
        <f t="shared" si="1"/>
        <v>0</v>
      </c>
      <c r="F62" s="76" t="s">
        <v>1007</v>
      </c>
      <c r="G62" s="57">
        <f>SUM(G11-G51)</f>
        <v>-36718</v>
      </c>
      <c r="H62" s="57">
        <f>SUM(H11-H51)</f>
        <v>-17501</v>
      </c>
      <c r="I62" s="58">
        <f t="shared" si="2"/>
        <v>47.66327142001198</v>
      </c>
      <c r="J62" s="57">
        <f>H62-'[3]Junijs'!H58</f>
        <v>-1642</v>
      </c>
    </row>
    <row r="63" spans="1:10" ht="14.25" customHeight="1">
      <c r="A63" s="59" t="s">
        <v>1008</v>
      </c>
      <c r="B63" s="55">
        <f>B66</f>
        <v>5673780</v>
      </c>
      <c r="C63" s="55"/>
      <c r="D63" s="56">
        <f t="shared" si="0"/>
        <v>0</v>
      </c>
      <c r="E63" s="55">
        <f t="shared" si="1"/>
        <v>0</v>
      </c>
      <c r="F63" s="59" t="s">
        <v>1008</v>
      </c>
      <c r="G63" s="57">
        <f>G66</f>
        <v>5674</v>
      </c>
      <c r="H63" s="57">
        <f>H66</f>
        <v>-2490</v>
      </c>
      <c r="I63" s="58">
        <f t="shared" si="2"/>
        <v>-43.88438491364117</v>
      </c>
      <c r="J63" s="57">
        <f>H63-'[3]Junijs'!H59</f>
        <v>4146</v>
      </c>
    </row>
    <row r="64" spans="1:10" ht="12.75">
      <c r="A64" s="60" t="s">
        <v>1009</v>
      </c>
      <c r="B64" s="61">
        <v>48031380</v>
      </c>
      <c r="C64" s="61"/>
      <c r="D64" s="62">
        <f t="shared" si="0"/>
        <v>0</v>
      </c>
      <c r="E64" s="55">
        <f t="shared" si="1"/>
        <v>0</v>
      </c>
      <c r="F64" s="60" t="s">
        <v>1010</v>
      </c>
      <c r="G64" s="63">
        <f>ROUND(B64/1000,0)</f>
        <v>48031</v>
      </c>
      <c r="H64" s="63">
        <v>22021</v>
      </c>
      <c r="I64" s="64">
        <f t="shared" si="2"/>
        <v>45.84747350669359</v>
      </c>
      <c r="J64" s="63">
        <f>H64-'[3]Junijs'!H60</f>
        <v>9250</v>
      </c>
    </row>
    <row r="65" spans="1:10" ht="12.75" customHeight="1">
      <c r="A65" s="75" t="s">
        <v>1005</v>
      </c>
      <c r="B65" s="61">
        <v>42357600</v>
      </c>
      <c r="C65" s="61"/>
      <c r="D65" s="62">
        <f t="shared" si="0"/>
        <v>0</v>
      </c>
      <c r="E65" s="55">
        <f t="shared" si="1"/>
        <v>0</v>
      </c>
      <c r="F65" s="75" t="s">
        <v>1005</v>
      </c>
      <c r="G65" s="71">
        <f>ROUND(B65/1000,0)-1</f>
        <v>42357</v>
      </c>
      <c r="H65" s="71">
        <v>24511</v>
      </c>
      <c r="I65" s="73">
        <f t="shared" si="2"/>
        <v>57.86764879476828</v>
      </c>
      <c r="J65" s="71">
        <f>H65-'[3]Junijs'!H61</f>
        <v>5104</v>
      </c>
    </row>
    <row r="66" spans="1:10" ht="12.75">
      <c r="A66" s="60" t="s">
        <v>1011</v>
      </c>
      <c r="B66" s="61">
        <f>B64-B65</f>
        <v>5673780</v>
      </c>
      <c r="C66" s="61"/>
      <c r="D66" s="62">
        <f t="shared" si="0"/>
        <v>0</v>
      </c>
      <c r="E66" s="55">
        <f t="shared" si="1"/>
        <v>0</v>
      </c>
      <c r="F66" s="60" t="s">
        <v>1011</v>
      </c>
      <c r="G66" s="63">
        <f>G64-G65</f>
        <v>5674</v>
      </c>
      <c r="H66" s="63">
        <f>SUM(H64-H65)</f>
        <v>-2490</v>
      </c>
      <c r="I66" s="64">
        <f t="shared" si="2"/>
        <v>-43.88438491364117</v>
      </c>
      <c r="J66" s="63">
        <f>H66-'[3]Junijs'!H62</f>
        <v>4146</v>
      </c>
    </row>
    <row r="67" spans="1:10" ht="26.25" customHeight="1">
      <c r="A67" s="76" t="s">
        <v>1012</v>
      </c>
      <c r="B67" s="55">
        <f>B62-B64</f>
        <v>-84749496</v>
      </c>
      <c r="C67" s="55">
        <f>C62-C64</f>
        <v>0</v>
      </c>
      <c r="D67" s="56">
        <f t="shared" si="0"/>
        <v>0</v>
      </c>
      <c r="E67" s="55">
        <f t="shared" si="1"/>
        <v>0</v>
      </c>
      <c r="F67" s="76" t="s">
        <v>1013</v>
      </c>
      <c r="G67" s="57">
        <f>G62-G64</f>
        <v>-84749</v>
      </c>
      <c r="H67" s="57">
        <f>H62-H64</f>
        <v>-39522</v>
      </c>
      <c r="I67" s="58">
        <f t="shared" si="2"/>
        <v>46.63417857437846</v>
      </c>
      <c r="J67" s="57">
        <f>H67-'[3]Junijs'!H63</f>
        <v>-10892</v>
      </c>
    </row>
    <row r="68" spans="1:10" ht="12.75">
      <c r="A68" s="77" t="s">
        <v>992</v>
      </c>
      <c r="B68" s="55"/>
      <c r="C68" s="55"/>
      <c r="D68" s="56"/>
      <c r="E68" s="55"/>
      <c r="F68" s="77" t="s">
        <v>992</v>
      </c>
      <c r="G68" s="57"/>
      <c r="H68" s="57"/>
      <c r="I68" s="58"/>
      <c r="J68" s="57"/>
    </row>
    <row r="69" spans="1:10" ht="12.75" customHeight="1">
      <c r="A69" s="77" t="s">
        <v>993</v>
      </c>
      <c r="B69" s="55">
        <v>17266744</v>
      </c>
      <c r="C69" s="55"/>
      <c r="D69" s="56"/>
      <c r="E69" s="55"/>
      <c r="F69" s="77" t="s">
        <v>993</v>
      </c>
      <c r="G69" s="78">
        <f>ROUND(B69/1000,0)</f>
        <v>17267</v>
      </c>
      <c r="H69" s="78">
        <v>3521</v>
      </c>
      <c r="I69" s="79">
        <f t="shared" si="2"/>
        <v>20.391498233624834</v>
      </c>
      <c r="J69" s="78">
        <v>36</v>
      </c>
    </row>
    <row r="70" spans="1:10" ht="12.75">
      <c r="A70" s="77" t="s">
        <v>994</v>
      </c>
      <c r="B70" s="55">
        <v>800000</v>
      </c>
      <c r="C70" s="55"/>
      <c r="D70" s="56"/>
      <c r="E70" s="55"/>
      <c r="F70" s="77" t="s">
        <v>994</v>
      </c>
      <c r="G70" s="78">
        <f>ROUND(B70/1000,0)</f>
        <v>800</v>
      </c>
      <c r="H70" s="78">
        <v>305</v>
      </c>
      <c r="I70" s="79">
        <f t="shared" si="2"/>
        <v>38.125</v>
      </c>
      <c r="J70" s="78">
        <v>0</v>
      </c>
    </row>
    <row r="71" spans="1:10" ht="12.75">
      <c r="A71" s="77" t="s">
        <v>995</v>
      </c>
      <c r="B71" s="55">
        <v>66179118</v>
      </c>
      <c r="C71" s="55"/>
      <c r="D71" s="56"/>
      <c r="E71" s="55"/>
      <c r="F71" s="77" t="s">
        <v>995</v>
      </c>
      <c r="G71" s="78">
        <f>ROUND(B71/1000,0)</f>
        <v>66179</v>
      </c>
      <c r="H71" s="78">
        <v>65813</v>
      </c>
      <c r="I71" s="79">
        <f t="shared" si="2"/>
        <v>99.4469544719624</v>
      </c>
      <c r="J71" s="78">
        <v>641</v>
      </c>
    </row>
    <row r="72" spans="1:10" ht="12.75">
      <c r="A72" s="77" t="s">
        <v>844</v>
      </c>
      <c r="B72" s="55">
        <v>503634</v>
      </c>
      <c r="C72" s="55"/>
      <c r="D72" s="56"/>
      <c r="E72" s="55"/>
      <c r="F72" s="77" t="s">
        <v>844</v>
      </c>
      <c r="G72" s="78">
        <f>ROUND(B72/1000,0)-1</f>
        <v>503</v>
      </c>
      <c r="H72" s="78">
        <v>-30117</v>
      </c>
      <c r="I72" s="79"/>
      <c r="J72" s="78">
        <v>10215</v>
      </c>
    </row>
    <row r="73" spans="1:10" ht="14.25" customHeight="1">
      <c r="A73" s="59" t="s">
        <v>1014</v>
      </c>
      <c r="B73" s="55">
        <f>B76+B79+B81</f>
        <v>769845749</v>
      </c>
      <c r="C73" s="55">
        <f>C76+C79+C81</f>
        <v>0</v>
      </c>
      <c r="D73" s="56">
        <f t="shared" si="0"/>
        <v>0</v>
      </c>
      <c r="E73" s="55">
        <f t="shared" si="1"/>
        <v>0</v>
      </c>
      <c r="F73" s="59" t="s">
        <v>1014</v>
      </c>
      <c r="G73" s="57">
        <f>G76+G79+G81</f>
        <v>769845</v>
      </c>
      <c r="H73" s="57">
        <f>H76+H79+H81</f>
        <v>417896</v>
      </c>
      <c r="I73" s="58">
        <f t="shared" si="2"/>
        <v>54.28313491676896</v>
      </c>
      <c r="J73" s="57">
        <f>H73-'[3]Junijs'!H64</f>
        <v>64713</v>
      </c>
    </row>
    <row r="74" spans="1:10" ht="12.75">
      <c r="A74" s="75" t="s">
        <v>1015</v>
      </c>
      <c r="B74" s="61">
        <f>B77</f>
        <v>1201200</v>
      </c>
      <c r="C74" s="61">
        <f>C25</f>
        <v>0</v>
      </c>
      <c r="D74" s="62">
        <f t="shared" si="0"/>
        <v>0</v>
      </c>
      <c r="E74" s="55">
        <f t="shared" si="1"/>
        <v>0</v>
      </c>
      <c r="F74" s="75" t="s">
        <v>1015</v>
      </c>
      <c r="G74" s="71">
        <f>G77</f>
        <v>1201</v>
      </c>
      <c r="H74" s="71">
        <f>H77</f>
        <v>701</v>
      </c>
      <c r="I74" s="73">
        <f t="shared" si="2"/>
        <v>58.368026644462944</v>
      </c>
      <c r="J74" s="71">
        <f>H74-'[3]Junijs'!H65</f>
        <v>100</v>
      </c>
    </row>
    <row r="75" spans="1:10" ht="14.25" customHeight="1">
      <c r="A75" s="59" t="s">
        <v>1016</v>
      </c>
      <c r="B75" s="55">
        <f>SUM(B73-B74)</f>
        <v>768644549</v>
      </c>
      <c r="C75" s="55">
        <f>SUM(C73-C74)</f>
        <v>0</v>
      </c>
      <c r="D75" s="56">
        <f aca="true" t="shared" si="5" ref="D75:D83">IF(ISERROR(C75/B75)," ",(C75/B75))</f>
        <v>0</v>
      </c>
      <c r="E75" s="55">
        <f t="shared" si="1"/>
        <v>0</v>
      </c>
      <c r="F75" s="59" t="s">
        <v>1016</v>
      </c>
      <c r="G75" s="57">
        <f>SUM(G73-G74)</f>
        <v>768644</v>
      </c>
      <c r="H75" s="57">
        <f>SUM(H73-H74)</f>
        <v>417195</v>
      </c>
      <c r="I75" s="58">
        <f t="shared" si="2"/>
        <v>54.27675230665952</v>
      </c>
      <c r="J75" s="57">
        <f>H75-'[3]Junijs'!H66</f>
        <v>64613</v>
      </c>
    </row>
    <row r="76" spans="1:10" ht="12.75">
      <c r="A76" s="60" t="s">
        <v>1017</v>
      </c>
      <c r="B76" s="61">
        <v>736820824</v>
      </c>
      <c r="C76" s="61"/>
      <c r="D76" s="62">
        <f t="shared" si="5"/>
        <v>0</v>
      </c>
      <c r="E76" s="55">
        <f t="shared" si="1"/>
        <v>0</v>
      </c>
      <c r="F76" s="60" t="s">
        <v>1017</v>
      </c>
      <c r="G76" s="63">
        <f>ROUND(B76/1000,0)-1</f>
        <v>736820</v>
      </c>
      <c r="H76" s="63">
        <v>406687</v>
      </c>
      <c r="I76" s="64">
        <f t="shared" si="2"/>
        <v>55.19489156103254</v>
      </c>
      <c r="J76" s="63">
        <f>H76-'[3]Junijs'!H67</f>
        <v>62241</v>
      </c>
    </row>
    <row r="77" spans="1:10" ht="12.75">
      <c r="A77" s="75" t="s">
        <v>1018</v>
      </c>
      <c r="B77" s="61">
        <v>1201200</v>
      </c>
      <c r="C77" s="61">
        <f>C25</f>
        <v>0</v>
      </c>
      <c r="D77" s="62">
        <f t="shared" si="5"/>
        <v>0</v>
      </c>
      <c r="E77" s="55">
        <f t="shared" si="1"/>
        <v>0</v>
      </c>
      <c r="F77" s="75" t="s">
        <v>1018</v>
      </c>
      <c r="G77" s="71">
        <f>ROUND(B77/1000,0)</f>
        <v>1201</v>
      </c>
      <c r="H77" s="72">
        <v>701</v>
      </c>
      <c r="I77" s="73">
        <f t="shared" si="2"/>
        <v>58.368026644462944</v>
      </c>
      <c r="J77" s="72">
        <f>H77-'[3]Junijs'!H68</f>
        <v>100</v>
      </c>
    </row>
    <row r="78" spans="1:10" ht="15" customHeight="1">
      <c r="A78" s="59" t="s">
        <v>1019</v>
      </c>
      <c r="B78" s="55">
        <f>SUM(B76-B77)</f>
        <v>735619624</v>
      </c>
      <c r="C78" s="55">
        <f>SUM(C76-C77)</f>
        <v>0</v>
      </c>
      <c r="D78" s="56">
        <f t="shared" si="5"/>
        <v>0</v>
      </c>
      <c r="E78" s="55">
        <f t="shared" si="1"/>
        <v>0</v>
      </c>
      <c r="F78" s="59" t="s">
        <v>1019</v>
      </c>
      <c r="G78" s="57">
        <f>SUM(G76-G77)</f>
        <v>735619</v>
      </c>
      <c r="H78" s="57">
        <f>SUM(H76-H77)</f>
        <v>405986</v>
      </c>
      <c r="I78" s="58">
        <f t="shared" si="2"/>
        <v>55.18971097810144</v>
      </c>
      <c r="J78" s="57">
        <f>H78-'[3]Junijs'!H69</f>
        <v>62141</v>
      </c>
    </row>
    <row r="79" spans="1:10" ht="12.75">
      <c r="A79" s="60" t="s">
        <v>1020</v>
      </c>
      <c r="B79" s="61">
        <v>12560112</v>
      </c>
      <c r="C79" s="61"/>
      <c r="D79" s="62">
        <f t="shared" si="5"/>
        <v>0</v>
      </c>
      <c r="E79" s="55">
        <f t="shared" si="1"/>
        <v>0</v>
      </c>
      <c r="F79" s="60" t="s">
        <v>1020</v>
      </c>
      <c r="G79" s="63">
        <f>ROUND(B79/1000,0)</f>
        <v>12560</v>
      </c>
      <c r="H79" s="63">
        <v>6003</v>
      </c>
      <c r="I79" s="64">
        <f aca="true" t="shared" si="6" ref="I79:I87">IF(ISERROR(H79/G79)," ",(H79/G79))*100</f>
        <v>47.794585987261144</v>
      </c>
      <c r="J79" s="63">
        <f>H79-'[3]Junijs'!H70</f>
        <v>842</v>
      </c>
    </row>
    <row r="80" spans="1:10" ht="15" customHeight="1">
      <c r="A80" s="59" t="s">
        <v>1025</v>
      </c>
      <c r="B80" s="55">
        <f>SUM(B79)</f>
        <v>12560112</v>
      </c>
      <c r="C80" s="55">
        <f>SUM(C79)</f>
        <v>0</v>
      </c>
      <c r="D80" s="56">
        <f t="shared" si="5"/>
        <v>0</v>
      </c>
      <c r="E80" s="55">
        <f t="shared" si="1"/>
        <v>0</v>
      </c>
      <c r="F80" s="59" t="s">
        <v>1025</v>
      </c>
      <c r="G80" s="57">
        <f>SUM(G79)</f>
        <v>12560</v>
      </c>
      <c r="H80" s="57">
        <f>SUM(H79)</f>
        <v>6003</v>
      </c>
      <c r="I80" s="58">
        <f t="shared" si="6"/>
        <v>47.794585987261144</v>
      </c>
      <c r="J80" s="57">
        <f>H80-'[3]Junijs'!H71</f>
        <v>842</v>
      </c>
    </row>
    <row r="81" spans="1:10" ht="12.75">
      <c r="A81" s="60" t="s">
        <v>1026</v>
      </c>
      <c r="B81" s="61">
        <v>20464813</v>
      </c>
      <c r="C81" s="61"/>
      <c r="D81" s="62">
        <f t="shared" si="5"/>
        <v>0</v>
      </c>
      <c r="E81" s="55">
        <f t="shared" si="1"/>
        <v>0</v>
      </c>
      <c r="F81" s="60" t="s">
        <v>1026</v>
      </c>
      <c r="G81" s="63">
        <f>ROUND(B81/1000,0)</f>
        <v>20465</v>
      </c>
      <c r="H81" s="63">
        <v>5206</v>
      </c>
      <c r="I81" s="64">
        <f t="shared" si="6"/>
        <v>25.438553628145616</v>
      </c>
      <c r="J81" s="63">
        <f>H81-'[3]Junijs'!H72</f>
        <v>1630</v>
      </c>
    </row>
    <row r="82" spans="1:10" ht="14.25" customHeight="1">
      <c r="A82" s="59" t="s">
        <v>1027</v>
      </c>
      <c r="B82" s="55">
        <f>SUM(B81)</f>
        <v>20464813</v>
      </c>
      <c r="C82" s="55">
        <f>SUM(C81)</f>
        <v>0</v>
      </c>
      <c r="D82" s="56">
        <f t="shared" si="5"/>
        <v>0</v>
      </c>
      <c r="E82" s="55">
        <f t="shared" si="1"/>
        <v>0</v>
      </c>
      <c r="F82" s="59" t="s">
        <v>1027</v>
      </c>
      <c r="G82" s="57">
        <f>SUM(G81)</f>
        <v>20465</v>
      </c>
      <c r="H82" s="57">
        <f>SUM(H81)</f>
        <v>5206</v>
      </c>
      <c r="I82" s="58">
        <f t="shared" si="6"/>
        <v>25.438553628145616</v>
      </c>
      <c r="J82" s="57">
        <f>H82-'[3]Junijs'!H73</f>
        <v>1630</v>
      </c>
    </row>
    <row r="83" spans="1:10" ht="27" customHeight="1">
      <c r="A83" s="76" t="s">
        <v>1028</v>
      </c>
      <c r="B83" s="55">
        <f>SUM(B27-B73)</f>
        <v>-42711510</v>
      </c>
      <c r="C83" s="55">
        <f>SUM(C27-C73)</f>
        <v>0</v>
      </c>
      <c r="D83" s="56">
        <f t="shared" si="5"/>
        <v>0</v>
      </c>
      <c r="E83" s="55">
        <f t="shared" si="1"/>
        <v>0</v>
      </c>
      <c r="F83" s="76" t="s">
        <v>1028</v>
      </c>
      <c r="G83" s="57">
        <f>SUM(G27-G73)</f>
        <v>-42711</v>
      </c>
      <c r="H83" s="57">
        <f>SUM(H27-H73)</f>
        <v>-13604</v>
      </c>
      <c r="I83" s="58">
        <f t="shared" si="6"/>
        <v>31.8512795298635</v>
      </c>
      <c r="J83" s="57">
        <f>H83-'[3]Junijs'!H74</f>
        <v>-3200</v>
      </c>
    </row>
    <row r="84" spans="1:10" ht="13.5" customHeight="1">
      <c r="A84" s="59" t="s">
        <v>1029</v>
      </c>
      <c r="B84" s="55">
        <f>SUM(B85)</f>
        <v>6370052</v>
      </c>
      <c r="C84" s="55"/>
      <c r="D84" s="56">
        <f>IF(ISERROR(C84/B84)," ",(C84/B84))</f>
        <v>0</v>
      </c>
      <c r="E84" s="55">
        <f t="shared" si="1"/>
        <v>0</v>
      </c>
      <c r="F84" s="59" t="s">
        <v>1029</v>
      </c>
      <c r="G84" s="57">
        <f>SUM(G85)</f>
        <v>6370</v>
      </c>
      <c r="H84" s="57">
        <f>SUM(H85)</f>
        <v>3572</v>
      </c>
      <c r="I84" s="58">
        <f t="shared" si="6"/>
        <v>56.07535321821037</v>
      </c>
      <c r="J84" s="57">
        <f>H84-'[3]Junijs'!H75</f>
        <v>68</v>
      </c>
    </row>
    <row r="85" spans="1:10" ht="12.75">
      <c r="A85" s="60" t="s">
        <v>1030</v>
      </c>
      <c r="B85" s="61">
        <v>6370052</v>
      </c>
      <c r="C85" s="61"/>
      <c r="D85" s="62">
        <f>IF(ISERROR(C85/B85)," ",(C85/B85))</f>
        <v>0</v>
      </c>
      <c r="E85" s="55">
        <f>C85</f>
        <v>0</v>
      </c>
      <c r="F85" s="60" t="s">
        <v>1030</v>
      </c>
      <c r="G85" s="61">
        <f>ROUND(B85/1000,0)</f>
        <v>6370</v>
      </c>
      <c r="H85" s="61">
        <v>3572</v>
      </c>
      <c r="I85" s="81">
        <f t="shared" si="6"/>
        <v>56.07535321821037</v>
      </c>
      <c r="J85" s="61">
        <f>H85-'[3]Junijs'!H76</f>
        <v>68</v>
      </c>
    </row>
    <row r="86" spans="1:10" ht="12.75">
      <c r="A86" s="60" t="s">
        <v>1031</v>
      </c>
      <c r="B86" s="61">
        <f>SUM(B85)</f>
        <v>6370052</v>
      </c>
      <c r="C86" s="61">
        <f>SUM(C85)</f>
        <v>0</v>
      </c>
      <c r="D86" s="62">
        <f>IF(ISERROR(C86/B86)," ",(C86/B86))</f>
        <v>0</v>
      </c>
      <c r="E86" s="55">
        <f>C86</f>
        <v>0</v>
      </c>
      <c r="F86" s="60" t="s">
        <v>1031</v>
      </c>
      <c r="G86" s="61">
        <f>SUM(G85)</f>
        <v>6370</v>
      </c>
      <c r="H86" s="61">
        <f>SUM(H85)</f>
        <v>3572</v>
      </c>
      <c r="I86" s="81">
        <f t="shared" si="6"/>
        <v>56.07535321821037</v>
      </c>
      <c r="J86" s="61">
        <f>H86-'[3]Junijs'!H77</f>
        <v>68</v>
      </c>
    </row>
    <row r="87" spans="1:10" ht="27" customHeight="1">
      <c r="A87" s="76" t="s">
        <v>1032</v>
      </c>
      <c r="B87" s="55">
        <f>SUM(B83-B84)</f>
        <v>-49081562</v>
      </c>
      <c r="C87" s="55">
        <f>SUM(C83-C84)</f>
        <v>0</v>
      </c>
      <c r="D87" s="56">
        <f>IF(ISERROR(C87/B87)," ",(C87/B87))</f>
        <v>0</v>
      </c>
      <c r="E87" s="55">
        <f>C87</f>
        <v>0</v>
      </c>
      <c r="F87" s="76" t="s">
        <v>1032</v>
      </c>
      <c r="G87" s="57">
        <f>SUM(G83-G84)</f>
        <v>-49081</v>
      </c>
      <c r="H87" s="57">
        <f>SUM(H83-H84)</f>
        <v>-17176</v>
      </c>
      <c r="I87" s="58">
        <f t="shared" si="6"/>
        <v>34.99521199649559</v>
      </c>
      <c r="J87" s="57">
        <f>H87-'[3]Junijs'!H78</f>
        <v>-3268</v>
      </c>
    </row>
    <row r="88" spans="1:10" ht="12.75">
      <c r="A88" s="77" t="s">
        <v>992</v>
      </c>
      <c r="B88" s="82"/>
      <c r="C88" s="83"/>
      <c r="D88" s="83"/>
      <c r="E88" s="83"/>
      <c r="F88" s="77" t="s">
        <v>992</v>
      </c>
      <c r="G88" s="61"/>
      <c r="H88" s="60"/>
      <c r="I88" s="58"/>
      <c r="J88" s="60"/>
    </row>
    <row r="89" spans="1:10" ht="12.75">
      <c r="A89" s="783" t="s">
        <v>845</v>
      </c>
      <c r="B89" s="82">
        <v>48047657</v>
      </c>
      <c r="C89" s="83"/>
      <c r="D89" s="83"/>
      <c r="E89" s="83"/>
      <c r="F89" s="77" t="s">
        <v>845</v>
      </c>
      <c r="G89" s="78">
        <f>ROUND(B89/1000,0)-1</f>
        <v>48047</v>
      </c>
      <c r="H89" s="78">
        <v>27154</v>
      </c>
      <c r="I89" s="79">
        <f>IF(ISERROR(H89/G89)," ",(H89/G89))*100</f>
        <v>56.51549524424001</v>
      </c>
      <c r="J89" s="78">
        <v>5104</v>
      </c>
    </row>
    <row r="90" spans="1:10" ht="12.75">
      <c r="A90" s="77" t="s">
        <v>844</v>
      </c>
      <c r="B90" s="50">
        <v>1033905</v>
      </c>
      <c r="F90" s="77" t="s">
        <v>844</v>
      </c>
      <c r="G90" s="78">
        <f>ROUND(B90/1000,0)</f>
        <v>1034</v>
      </c>
      <c r="H90" s="78">
        <v>-9978</v>
      </c>
      <c r="I90" s="79"/>
      <c r="J90" s="78">
        <v>-1835</v>
      </c>
    </row>
    <row r="91" spans="1:10" ht="12.75">
      <c r="A91" s="85"/>
      <c r="F91" s="85"/>
      <c r="G91" s="50"/>
      <c r="H91" s="49"/>
      <c r="I91" s="49"/>
      <c r="J91" s="49"/>
    </row>
    <row r="94" spans="1:12" ht="12.75">
      <c r="A94" s="83"/>
      <c r="F94" s="867" t="s">
        <v>846</v>
      </c>
      <c r="G94" s="867"/>
      <c r="H94" s="867"/>
      <c r="I94" s="867"/>
      <c r="J94" s="867"/>
      <c r="K94" s="867"/>
      <c r="L94" s="867"/>
    </row>
    <row r="96" spans="7:10" ht="12.75">
      <c r="G96" s="50"/>
      <c r="H96" s="49"/>
      <c r="I96" s="49"/>
      <c r="J96" s="49"/>
    </row>
    <row r="97" spans="1:10" ht="12.75">
      <c r="A97" s="1" t="s">
        <v>1</v>
      </c>
      <c r="G97" s="50"/>
      <c r="H97" s="49"/>
      <c r="I97" s="49"/>
      <c r="J97" s="49"/>
    </row>
    <row r="98" spans="6:10" ht="12.75">
      <c r="F98" s="1" t="s">
        <v>0</v>
      </c>
      <c r="G98" s="50"/>
      <c r="H98" s="49"/>
      <c r="I98" s="49"/>
      <c r="J98" s="49"/>
    </row>
    <row r="99" spans="1:10" ht="12.75">
      <c r="A99" s="1" t="s">
        <v>0</v>
      </c>
      <c r="F99" s="1" t="s">
        <v>847</v>
      </c>
      <c r="G99" s="52"/>
      <c r="H99" s="87"/>
      <c r="I99" s="49"/>
      <c r="J99" s="49"/>
    </row>
    <row r="102" spans="1:8" ht="15" customHeight="1">
      <c r="A102"/>
      <c r="B102"/>
      <c r="C102"/>
      <c r="D102"/>
      <c r="E102"/>
      <c r="F102" s="86"/>
      <c r="G102" s="52"/>
      <c r="H102" s="87"/>
    </row>
    <row r="103" spans="1:5" ht="16.5" customHeight="1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</sheetData>
  <mergeCells count="3">
    <mergeCell ref="F4:J4"/>
    <mergeCell ref="F5:J5"/>
    <mergeCell ref="F94:L94"/>
  </mergeCells>
  <printOptions horizontalCentered="1"/>
  <pageMargins left="0.7480314960629921" right="0.2755905511811024" top="0.984251968503937" bottom="0.984251968503937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5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1" topLeftCell="B4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A59" sqref="A59"/>
    </sheetView>
  </sheetViews>
  <sheetFormatPr defaultColWidth="9.140625" defaultRowHeight="17.25" customHeight="1"/>
  <cols>
    <col min="1" max="1" width="16.28125" style="736" customWidth="1"/>
    <col min="2" max="2" width="7.8515625" style="738" customWidth="1"/>
    <col min="3" max="3" width="7.7109375" style="738" customWidth="1"/>
    <col min="4" max="4" width="6.7109375" style="738" customWidth="1"/>
    <col min="5" max="5" width="8.28125" style="738" customWidth="1"/>
    <col min="6" max="6" width="7.8515625" style="738" bestFit="1" customWidth="1"/>
    <col min="7" max="7" width="6.421875" style="738" customWidth="1"/>
    <col min="8" max="9" width="7.7109375" style="738" customWidth="1"/>
    <col min="10" max="10" width="8.28125" style="738" customWidth="1"/>
    <col min="11" max="11" width="6.421875" style="738" customWidth="1"/>
    <col min="12" max="12" width="0.13671875" style="738" hidden="1" customWidth="1"/>
    <col min="13" max="13" width="8.28125" style="738" customWidth="1"/>
    <col min="14" max="14" width="7.00390625" style="738" customWidth="1"/>
    <col min="15" max="15" width="9.28125" style="738" customWidth="1"/>
    <col min="16" max="16" width="9.00390625" style="738" customWidth="1"/>
    <col min="17" max="17" width="6.57421875" style="738" customWidth="1"/>
    <col min="18" max="18" width="8.7109375" style="738" customWidth="1"/>
    <col min="19" max="19" width="8.421875" style="738" customWidth="1"/>
    <col min="20" max="16384" width="9.140625" style="738" customWidth="1"/>
  </cols>
  <sheetData>
    <row r="1" spans="2:19" ht="17.25" customHeight="1">
      <c r="B1" s="737"/>
      <c r="C1" s="737"/>
      <c r="D1" s="737"/>
      <c r="E1" s="737"/>
      <c r="F1" s="737"/>
      <c r="I1" s="737"/>
      <c r="J1" s="737"/>
      <c r="K1" s="737"/>
      <c r="L1" s="737"/>
      <c r="M1" s="737"/>
      <c r="N1" s="737"/>
      <c r="O1" s="737"/>
      <c r="P1" s="737"/>
      <c r="Q1" s="739"/>
      <c r="R1" s="739"/>
      <c r="S1" s="739" t="s">
        <v>555</v>
      </c>
    </row>
    <row r="2" spans="7:18" ht="17.25" customHeight="1">
      <c r="G2" s="737" t="s">
        <v>556</v>
      </c>
      <c r="H2" s="737"/>
      <c r="Q2" s="740"/>
      <c r="R2" s="741"/>
    </row>
    <row r="3" spans="1:19" s="737" customFormat="1" ht="17.25" customHeight="1">
      <c r="A3" s="736"/>
      <c r="Q3" s="739"/>
      <c r="R3" s="739"/>
      <c r="S3" s="739"/>
    </row>
    <row r="4" spans="1:19" s="742" customFormat="1" ht="17.25" customHeight="1">
      <c r="A4" s="896" t="s">
        <v>557</v>
      </c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6"/>
      <c r="P4" s="896"/>
      <c r="Q4" s="896"/>
      <c r="R4" s="896"/>
      <c r="S4" s="896"/>
    </row>
    <row r="5" spans="1:19" s="743" customFormat="1" ht="17.25" customHeight="1">
      <c r="A5" s="897" t="s">
        <v>865</v>
      </c>
      <c r="B5" s="897"/>
      <c r="C5" s="897"/>
      <c r="D5" s="897"/>
      <c r="E5" s="897"/>
      <c r="F5" s="897"/>
      <c r="G5" s="897"/>
      <c r="H5" s="897"/>
      <c r="I5" s="897"/>
      <c r="J5" s="897"/>
      <c r="K5" s="897"/>
      <c r="L5" s="897"/>
      <c r="M5" s="897"/>
      <c r="N5" s="897"/>
      <c r="O5" s="897"/>
      <c r="P5" s="897"/>
      <c r="Q5" s="897"/>
      <c r="R5" s="897"/>
      <c r="S5" s="897"/>
    </row>
    <row r="6" spans="1:19" s="743" customFormat="1" ht="17.25" customHeight="1">
      <c r="A6" s="744"/>
      <c r="B6" s="745"/>
      <c r="C6" s="745"/>
      <c r="D6" s="745"/>
      <c r="E6" s="745"/>
      <c r="F6" s="746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</row>
    <row r="7" spans="1:19" s="749" customFormat="1" ht="17.25" customHeight="1">
      <c r="A7" s="747"/>
      <c r="B7" s="748"/>
      <c r="C7" s="748"/>
      <c r="D7" s="748"/>
      <c r="E7" s="748"/>
      <c r="F7" s="748"/>
      <c r="G7" s="748"/>
      <c r="H7" s="748"/>
      <c r="I7" s="748"/>
      <c r="J7" s="748"/>
      <c r="K7" s="748"/>
      <c r="L7" s="748"/>
      <c r="M7" s="748"/>
      <c r="N7" s="748"/>
      <c r="O7" s="748"/>
      <c r="Q7" s="748"/>
      <c r="S7" s="750" t="s">
        <v>176</v>
      </c>
    </row>
    <row r="8" spans="1:19" s="737" customFormat="1" ht="17.25" customHeight="1">
      <c r="A8" s="894" t="s">
        <v>558</v>
      </c>
      <c r="B8" s="751" t="s">
        <v>211</v>
      </c>
      <c r="C8" s="751"/>
      <c r="D8" s="751"/>
      <c r="E8" s="751"/>
      <c r="F8" s="751" t="s">
        <v>559</v>
      </c>
      <c r="G8" s="751"/>
      <c r="H8" s="751"/>
      <c r="I8" s="751"/>
      <c r="J8" s="894" t="s">
        <v>560</v>
      </c>
      <c r="K8" s="894" t="s">
        <v>561</v>
      </c>
      <c r="L8" s="752"/>
      <c r="M8" s="753" t="s">
        <v>562</v>
      </c>
      <c r="N8" s="751"/>
      <c r="O8" s="751"/>
      <c r="P8" s="754"/>
      <c r="Q8" s="751"/>
      <c r="R8" s="755"/>
      <c r="S8" s="894" t="s">
        <v>563</v>
      </c>
    </row>
    <row r="9" spans="1:19" ht="17.25" customHeight="1">
      <c r="A9" s="898"/>
      <c r="B9" s="894" t="s">
        <v>564</v>
      </c>
      <c r="C9" s="894" t="s">
        <v>565</v>
      </c>
      <c r="D9" s="892" t="s">
        <v>566</v>
      </c>
      <c r="E9" s="894" t="s">
        <v>567</v>
      </c>
      <c r="F9" s="894" t="s">
        <v>568</v>
      </c>
      <c r="G9" s="894" t="s">
        <v>569</v>
      </c>
      <c r="H9" s="892" t="s">
        <v>570</v>
      </c>
      <c r="I9" s="894" t="s">
        <v>571</v>
      </c>
      <c r="J9" s="900"/>
      <c r="K9" s="900"/>
      <c r="L9" s="756"/>
      <c r="M9" s="757"/>
      <c r="N9" s="757"/>
      <c r="O9" s="751" t="s">
        <v>572</v>
      </c>
      <c r="P9" s="751"/>
      <c r="Q9" s="757"/>
      <c r="R9" s="757"/>
      <c r="S9" s="900"/>
    </row>
    <row r="10" spans="1:19" s="760" customFormat="1" ht="45.75" customHeight="1">
      <c r="A10" s="899"/>
      <c r="B10" s="899"/>
      <c r="C10" s="895"/>
      <c r="D10" s="893"/>
      <c r="E10" s="895"/>
      <c r="F10" s="895"/>
      <c r="G10" s="895"/>
      <c r="H10" s="893"/>
      <c r="I10" s="895"/>
      <c r="J10" s="901"/>
      <c r="K10" s="901"/>
      <c r="L10" s="819" t="s">
        <v>759</v>
      </c>
      <c r="M10" s="758" t="s">
        <v>815</v>
      </c>
      <c r="N10" s="758" t="s">
        <v>573</v>
      </c>
      <c r="O10" s="758" t="s">
        <v>574</v>
      </c>
      <c r="P10" s="758" t="s">
        <v>575</v>
      </c>
      <c r="Q10" s="758" t="s">
        <v>576</v>
      </c>
      <c r="R10" s="759" t="s">
        <v>827</v>
      </c>
      <c r="S10" s="901"/>
    </row>
    <row r="11" spans="1:19" s="749" customFormat="1" ht="11.25">
      <c r="A11" s="761">
        <v>1</v>
      </c>
      <c r="B11" s="762">
        <v>2</v>
      </c>
      <c r="C11" s="762">
        <v>3</v>
      </c>
      <c r="D11" s="762">
        <v>4</v>
      </c>
      <c r="E11" s="762">
        <v>5</v>
      </c>
      <c r="F11" s="762">
        <v>6</v>
      </c>
      <c r="G11" s="762">
        <v>7</v>
      </c>
      <c r="H11" s="762">
        <v>8</v>
      </c>
      <c r="I11" s="762">
        <v>9</v>
      </c>
      <c r="J11" s="762">
        <v>10</v>
      </c>
      <c r="K11" s="762">
        <v>11</v>
      </c>
      <c r="L11" s="820"/>
      <c r="M11" s="762">
        <v>12</v>
      </c>
      <c r="N11" s="762">
        <v>13</v>
      </c>
      <c r="O11" s="762">
        <v>14</v>
      </c>
      <c r="P11" s="762">
        <v>15</v>
      </c>
      <c r="Q11" s="762">
        <v>16</v>
      </c>
      <c r="R11" s="762">
        <v>17</v>
      </c>
      <c r="S11" s="762">
        <v>18</v>
      </c>
    </row>
    <row r="12" spans="1:19" ht="12" customHeight="1">
      <c r="A12" s="763" t="s">
        <v>577</v>
      </c>
      <c r="B12" s="764"/>
      <c r="C12" s="764"/>
      <c r="D12" s="764"/>
      <c r="E12" s="576"/>
      <c r="F12" s="764"/>
      <c r="G12" s="764"/>
      <c r="H12" s="764"/>
      <c r="I12" s="576"/>
      <c r="J12" s="576"/>
      <c r="K12" s="576"/>
      <c r="L12" s="821"/>
      <c r="M12" s="764"/>
      <c r="N12" s="576"/>
      <c r="O12" s="764"/>
      <c r="P12" s="764"/>
      <c r="Q12" s="764"/>
      <c r="R12" s="764"/>
      <c r="S12" s="764"/>
    </row>
    <row r="13" spans="1:19" ht="12" customHeight="1">
      <c r="A13" s="765" t="s">
        <v>578</v>
      </c>
      <c r="B13" s="764">
        <v>75120</v>
      </c>
      <c r="C13" s="764">
        <v>16299</v>
      </c>
      <c r="D13" s="576"/>
      <c r="E13" s="576">
        <f aca="true" t="shared" si="0" ref="E13:E19">SUM(B13:C13)</f>
        <v>91419</v>
      </c>
      <c r="F13" s="764">
        <v>94871</v>
      </c>
      <c r="G13" s="764">
        <v>11230</v>
      </c>
      <c r="H13" s="764">
        <v>11230</v>
      </c>
      <c r="I13" s="576">
        <f>SUM(F13:G13)</f>
        <v>106101</v>
      </c>
      <c r="J13" s="576">
        <f aca="true" t="shared" si="1" ref="J13:J19">E13-I13</f>
        <v>-14682</v>
      </c>
      <c r="K13" s="576">
        <f aca="true" t="shared" si="2" ref="K13:K20">-J13</f>
        <v>14682</v>
      </c>
      <c r="L13" s="577">
        <f>SUM(M13,N13,Q13,R13,S13)</f>
        <v>14682</v>
      </c>
      <c r="M13" s="576"/>
      <c r="N13" s="576">
        <f aca="true" t="shared" si="3" ref="N13:N19">O13-P13</f>
        <v>-1075</v>
      </c>
      <c r="O13" s="576">
        <v>4422</v>
      </c>
      <c r="P13" s="576">
        <v>5497</v>
      </c>
      <c r="Q13" s="576"/>
      <c r="R13" s="576">
        <v>16255</v>
      </c>
      <c r="S13" s="576">
        <v>-498</v>
      </c>
    </row>
    <row r="14" spans="1:19" ht="12" customHeight="1">
      <c r="A14" s="765" t="s">
        <v>579</v>
      </c>
      <c r="B14" s="576">
        <v>5346</v>
      </c>
      <c r="C14" s="576">
        <v>3842</v>
      </c>
      <c r="D14" s="576">
        <v>816</v>
      </c>
      <c r="E14" s="576">
        <f t="shared" si="0"/>
        <v>9188</v>
      </c>
      <c r="F14" s="576">
        <v>9223</v>
      </c>
      <c r="G14" s="576">
        <v>13</v>
      </c>
      <c r="H14" s="576"/>
      <c r="I14" s="576">
        <f>SUM(F14:G14)</f>
        <v>9236</v>
      </c>
      <c r="J14" s="576">
        <f t="shared" si="1"/>
        <v>-48</v>
      </c>
      <c r="K14" s="576">
        <f t="shared" si="2"/>
        <v>48</v>
      </c>
      <c r="L14" s="577">
        <f>SUM(M14,N14,Q14,R14,S14)</f>
        <v>48</v>
      </c>
      <c r="M14" s="576">
        <v>450</v>
      </c>
      <c r="N14" s="576">
        <f t="shared" si="3"/>
        <v>-219</v>
      </c>
      <c r="O14" s="576">
        <v>50</v>
      </c>
      <c r="P14" s="576">
        <v>269</v>
      </c>
      <c r="Q14" s="576">
        <v>-50</v>
      </c>
      <c r="R14" s="576">
        <v>-133</v>
      </c>
      <c r="S14" s="576"/>
    </row>
    <row r="15" spans="1:19" ht="12" customHeight="1">
      <c r="A15" s="765" t="s">
        <v>580</v>
      </c>
      <c r="B15" s="576">
        <v>3946</v>
      </c>
      <c r="C15" s="576">
        <v>2197</v>
      </c>
      <c r="D15" s="576"/>
      <c r="E15" s="576">
        <f t="shared" si="0"/>
        <v>6143</v>
      </c>
      <c r="F15" s="576">
        <v>5354</v>
      </c>
      <c r="G15" s="576">
        <v>110</v>
      </c>
      <c r="H15" s="576">
        <v>53</v>
      </c>
      <c r="I15" s="576">
        <f>SUM(F15:G15)</f>
        <v>5464</v>
      </c>
      <c r="J15" s="576">
        <f t="shared" si="1"/>
        <v>679</v>
      </c>
      <c r="K15" s="576">
        <f t="shared" si="2"/>
        <v>-679</v>
      </c>
      <c r="L15" s="577">
        <f>SUM(M15,N15,Q15,R15,S15)</f>
        <v>-679</v>
      </c>
      <c r="M15" s="576"/>
      <c r="N15" s="576">
        <f t="shared" si="3"/>
        <v>-360</v>
      </c>
      <c r="O15" s="576">
        <v>51</v>
      </c>
      <c r="P15" s="576">
        <v>411</v>
      </c>
      <c r="Q15" s="576"/>
      <c r="R15" s="576">
        <v>34</v>
      </c>
      <c r="S15" s="576">
        <v>-353</v>
      </c>
    </row>
    <row r="16" spans="1:19" ht="12" customHeight="1">
      <c r="A16" s="765" t="s">
        <v>581</v>
      </c>
      <c r="B16" s="576">
        <v>4672</v>
      </c>
      <c r="C16" s="576">
        <v>1191</v>
      </c>
      <c r="D16" s="576"/>
      <c r="E16" s="576">
        <f t="shared" si="0"/>
        <v>5863</v>
      </c>
      <c r="F16" s="576">
        <v>4911</v>
      </c>
      <c r="G16" s="576">
        <v>542</v>
      </c>
      <c r="H16" s="576">
        <v>499</v>
      </c>
      <c r="I16" s="576">
        <f>SUM(F16:G16)</f>
        <v>5453</v>
      </c>
      <c r="J16" s="576">
        <f t="shared" si="1"/>
        <v>410</v>
      </c>
      <c r="K16" s="576">
        <f t="shared" si="2"/>
        <v>-410</v>
      </c>
      <c r="L16" s="577">
        <f>SUM(M16,N16,Q16,R16,S16)</f>
        <v>-410</v>
      </c>
      <c r="M16" s="576">
        <v>-490</v>
      </c>
      <c r="N16" s="576">
        <f t="shared" si="3"/>
        <v>80</v>
      </c>
      <c r="O16" s="576">
        <v>201</v>
      </c>
      <c r="P16" s="576">
        <v>121</v>
      </c>
      <c r="Q16" s="576"/>
      <c r="R16" s="576"/>
      <c r="S16" s="576"/>
    </row>
    <row r="17" spans="1:19" ht="12" customHeight="1">
      <c r="A17" s="765" t="s">
        <v>582</v>
      </c>
      <c r="B17" s="576">
        <v>5392</v>
      </c>
      <c r="C17" s="576">
        <v>2539</v>
      </c>
      <c r="D17" s="576"/>
      <c r="E17" s="576">
        <f t="shared" si="0"/>
        <v>7931</v>
      </c>
      <c r="F17" s="576">
        <v>7512</v>
      </c>
      <c r="G17" s="576">
        <v>22</v>
      </c>
      <c r="H17" s="576"/>
      <c r="I17" s="576">
        <f>SUM(F17+G17)</f>
        <v>7534</v>
      </c>
      <c r="J17" s="576">
        <f t="shared" si="1"/>
        <v>397</v>
      </c>
      <c r="K17" s="576">
        <f t="shared" si="2"/>
        <v>-397</v>
      </c>
      <c r="L17" s="577">
        <f>SUM(M17,N17,Q17,R17,S17)</f>
        <v>-397</v>
      </c>
      <c r="M17" s="576"/>
      <c r="N17" s="576">
        <f t="shared" si="3"/>
        <v>-397</v>
      </c>
      <c r="O17" s="576">
        <v>381</v>
      </c>
      <c r="P17" s="576">
        <v>778</v>
      </c>
      <c r="Q17" s="576"/>
      <c r="R17" s="576"/>
      <c r="S17" s="576"/>
    </row>
    <row r="18" spans="1:19" ht="12" customHeight="1">
      <c r="A18" s="765" t="s">
        <v>583</v>
      </c>
      <c r="B18" s="576">
        <v>2144</v>
      </c>
      <c r="C18" s="576">
        <v>1159</v>
      </c>
      <c r="D18" s="576">
        <v>12</v>
      </c>
      <c r="E18" s="576">
        <f t="shared" si="0"/>
        <v>3303</v>
      </c>
      <c r="F18" s="576">
        <v>3196</v>
      </c>
      <c r="G18" s="576">
        <v>8</v>
      </c>
      <c r="H18" s="576"/>
      <c r="I18" s="576">
        <f>SUM(F18+G18)</f>
        <v>3204</v>
      </c>
      <c r="J18" s="576">
        <f t="shared" si="1"/>
        <v>99</v>
      </c>
      <c r="K18" s="576">
        <f t="shared" si="2"/>
        <v>-99</v>
      </c>
      <c r="L18" s="577">
        <f>SUM(Q18:S18,N18,M18)</f>
        <v>-99</v>
      </c>
      <c r="M18" s="576">
        <v>-130</v>
      </c>
      <c r="N18" s="576">
        <f t="shared" si="3"/>
        <v>-21</v>
      </c>
      <c r="O18" s="576">
        <v>68</v>
      </c>
      <c r="P18" s="576">
        <v>89</v>
      </c>
      <c r="Q18" s="576"/>
      <c r="R18" s="576"/>
      <c r="S18" s="576">
        <v>52</v>
      </c>
    </row>
    <row r="19" spans="1:19" ht="12" customHeight="1">
      <c r="A19" s="765" t="s">
        <v>584</v>
      </c>
      <c r="B19" s="576">
        <v>6624</v>
      </c>
      <c r="C19" s="576">
        <v>888</v>
      </c>
      <c r="D19" s="576"/>
      <c r="E19" s="576">
        <f t="shared" si="0"/>
        <v>7512</v>
      </c>
      <c r="F19" s="576">
        <v>5183</v>
      </c>
      <c r="G19" s="576">
        <v>1474</v>
      </c>
      <c r="H19" s="576">
        <v>1474</v>
      </c>
      <c r="I19" s="576">
        <f>SUM(F19+G19)</f>
        <v>6657</v>
      </c>
      <c r="J19" s="576">
        <f t="shared" si="1"/>
        <v>855</v>
      </c>
      <c r="K19" s="576">
        <f t="shared" si="2"/>
        <v>-855</v>
      </c>
      <c r="L19" s="577">
        <f>SUM(Q19:S19,N19,M19)</f>
        <v>-855</v>
      </c>
      <c r="M19" s="576">
        <v>-1</v>
      </c>
      <c r="N19" s="576">
        <f t="shared" si="3"/>
        <v>-854</v>
      </c>
      <c r="O19" s="576">
        <v>1118</v>
      </c>
      <c r="P19" s="576">
        <v>1972</v>
      </c>
      <c r="Q19" s="576"/>
      <c r="R19" s="576"/>
      <c r="S19" s="576"/>
    </row>
    <row r="20" spans="1:19" ht="12" customHeight="1">
      <c r="A20" s="763" t="s">
        <v>585</v>
      </c>
      <c r="B20" s="576">
        <f>SUM(B12:B19)</f>
        <v>103244</v>
      </c>
      <c r="C20" s="576">
        <f>SUM(C12:C19)</f>
        <v>28115</v>
      </c>
      <c r="D20" s="576">
        <f aca="true" t="shared" si="4" ref="D20:J20">SUM(D13:D19)</f>
        <v>828</v>
      </c>
      <c r="E20" s="576">
        <f t="shared" si="4"/>
        <v>131359</v>
      </c>
      <c r="F20" s="576">
        <f t="shared" si="4"/>
        <v>130250</v>
      </c>
      <c r="G20" s="576">
        <f t="shared" si="4"/>
        <v>13399</v>
      </c>
      <c r="H20" s="576">
        <f t="shared" si="4"/>
        <v>13256</v>
      </c>
      <c r="I20" s="576">
        <f t="shared" si="4"/>
        <v>143649</v>
      </c>
      <c r="J20" s="576">
        <f t="shared" si="4"/>
        <v>-12290</v>
      </c>
      <c r="K20" s="576">
        <f t="shared" si="2"/>
        <v>12290</v>
      </c>
      <c r="L20" s="577">
        <f>SUM(Q20:S20,N20,M20)</f>
        <v>12290</v>
      </c>
      <c r="M20" s="576">
        <f aca="true" t="shared" si="5" ref="M20:S20">SUM(M13:M19)</f>
        <v>-171</v>
      </c>
      <c r="N20" s="576">
        <f t="shared" si="5"/>
        <v>-2846</v>
      </c>
      <c r="O20" s="576">
        <f t="shared" si="5"/>
        <v>6291</v>
      </c>
      <c r="P20" s="576">
        <f t="shared" si="5"/>
        <v>9137</v>
      </c>
      <c r="Q20" s="576">
        <f t="shared" si="5"/>
        <v>-50</v>
      </c>
      <c r="R20" s="576">
        <f t="shared" si="5"/>
        <v>16156</v>
      </c>
      <c r="S20" s="576">
        <f t="shared" si="5"/>
        <v>-799</v>
      </c>
    </row>
    <row r="21" spans="1:19" s="766" customFormat="1" ht="12" customHeight="1">
      <c r="A21" s="763" t="s">
        <v>586</v>
      </c>
      <c r="B21" s="577"/>
      <c r="C21" s="577"/>
      <c r="D21" s="577"/>
      <c r="E21" s="577"/>
      <c r="F21" s="577"/>
      <c r="G21" s="577"/>
      <c r="H21" s="577"/>
      <c r="I21" s="577"/>
      <c r="J21" s="577"/>
      <c r="K21" s="577"/>
      <c r="L21" s="577"/>
      <c r="M21" s="577"/>
      <c r="N21" s="577"/>
      <c r="O21" s="577"/>
      <c r="P21" s="577"/>
      <c r="Q21" s="577"/>
      <c r="R21" s="577"/>
      <c r="S21" s="577"/>
    </row>
    <row r="22" spans="1:19" ht="12" customHeight="1">
      <c r="A22" s="765" t="s">
        <v>587</v>
      </c>
      <c r="B22" s="576">
        <v>2423</v>
      </c>
      <c r="C22" s="576">
        <v>2474</v>
      </c>
      <c r="D22" s="576">
        <v>529</v>
      </c>
      <c r="E22" s="576">
        <f aca="true" t="shared" si="6" ref="E22:E47">SUM(B22:C22)</f>
        <v>4897</v>
      </c>
      <c r="F22" s="576">
        <v>4310</v>
      </c>
      <c r="G22" s="576">
        <v>294</v>
      </c>
      <c r="H22" s="576">
        <v>160</v>
      </c>
      <c r="I22" s="576">
        <f aca="true" t="shared" si="7" ref="I22:I27">SUM(F22:G22)</f>
        <v>4604</v>
      </c>
      <c r="J22" s="576">
        <f aca="true" t="shared" si="8" ref="J22:J47">E22-I22</f>
        <v>293</v>
      </c>
      <c r="K22" s="576">
        <f aca="true" t="shared" si="9" ref="K22:K47">-J22</f>
        <v>-293</v>
      </c>
      <c r="L22" s="577">
        <f aca="true" t="shared" si="10" ref="L22:L49">SUM(Q22:S22,N22,M22)</f>
        <v>-293</v>
      </c>
      <c r="M22" s="576">
        <v>-32</v>
      </c>
      <c r="N22" s="576">
        <f aca="true" t="shared" si="11" ref="N22:N47">O22-P22</f>
        <v>-228</v>
      </c>
      <c r="O22" s="576">
        <v>363</v>
      </c>
      <c r="P22" s="576">
        <v>591</v>
      </c>
      <c r="Q22" s="576">
        <v>-13</v>
      </c>
      <c r="R22" s="576">
        <v>-10</v>
      </c>
      <c r="S22" s="576">
        <v>-10</v>
      </c>
    </row>
    <row r="23" spans="1:19" ht="12" customHeight="1">
      <c r="A23" s="765" t="s">
        <v>588</v>
      </c>
      <c r="B23" s="576">
        <v>1221</v>
      </c>
      <c r="C23" s="576">
        <v>1655</v>
      </c>
      <c r="D23" s="576">
        <v>522</v>
      </c>
      <c r="E23" s="576">
        <f t="shared" si="6"/>
        <v>2876</v>
      </c>
      <c r="F23" s="576">
        <v>2727</v>
      </c>
      <c r="G23" s="576">
        <v>77</v>
      </c>
      <c r="H23" s="576"/>
      <c r="I23" s="576">
        <f t="shared" si="7"/>
        <v>2804</v>
      </c>
      <c r="J23" s="576">
        <f t="shared" si="8"/>
        <v>72</v>
      </c>
      <c r="K23" s="576">
        <f t="shared" si="9"/>
        <v>-72</v>
      </c>
      <c r="L23" s="822">
        <f t="shared" si="10"/>
        <v>-72</v>
      </c>
      <c r="M23" s="576">
        <v>19</v>
      </c>
      <c r="N23" s="576">
        <f t="shared" si="11"/>
        <v>-125</v>
      </c>
      <c r="O23" s="576">
        <v>85</v>
      </c>
      <c r="P23" s="576">
        <v>210</v>
      </c>
      <c r="Q23" s="576"/>
      <c r="R23" s="576">
        <v>-1</v>
      </c>
      <c r="S23" s="576">
        <v>35</v>
      </c>
    </row>
    <row r="24" spans="1:19" ht="12" customHeight="1">
      <c r="A24" s="765" t="s">
        <v>589</v>
      </c>
      <c r="B24" s="576">
        <v>1103</v>
      </c>
      <c r="C24" s="576">
        <v>2279</v>
      </c>
      <c r="D24" s="576">
        <v>818</v>
      </c>
      <c r="E24" s="576">
        <f t="shared" si="6"/>
        <v>3382</v>
      </c>
      <c r="F24" s="576">
        <v>3217</v>
      </c>
      <c r="G24" s="576">
        <v>110</v>
      </c>
      <c r="H24" s="576"/>
      <c r="I24" s="576">
        <f t="shared" si="7"/>
        <v>3327</v>
      </c>
      <c r="J24" s="576">
        <f t="shared" si="8"/>
        <v>55</v>
      </c>
      <c r="K24" s="576">
        <f t="shared" si="9"/>
        <v>-55</v>
      </c>
      <c r="L24" s="577">
        <f t="shared" si="10"/>
        <v>-55</v>
      </c>
      <c r="M24" s="576">
        <v>26</v>
      </c>
      <c r="N24" s="576">
        <f t="shared" si="11"/>
        <v>-164</v>
      </c>
      <c r="O24" s="576">
        <v>61</v>
      </c>
      <c r="P24" s="576">
        <v>225</v>
      </c>
      <c r="Q24" s="576"/>
      <c r="R24" s="576">
        <v>-3</v>
      </c>
      <c r="S24" s="576">
        <v>86</v>
      </c>
    </row>
    <row r="25" spans="1:19" ht="12" customHeight="1">
      <c r="A25" s="765" t="s">
        <v>590</v>
      </c>
      <c r="B25" s="576">
        <v>2417</v>
      </c>
      <c r="C25" s="576">
        <v>3214</v>
      </c>
      <c r="D25" s="576">
        <v>788</v>
      </c>
      <c r="E25" s="576">
        <f t="shared" si="6"/>
        <v>5631</v>
      </c>
      <c r="F25" s="576">
        <v>4945</v>
      </c>
      <c r="G25" s="576">
        <v>310</v>
      </c>
      <c r="H25" s="576"/>
      <c r="I25" s="576">
        <f t="shared" si="7"/>
        <v>5255</v>
      </c>
      <c r="J25" s="576">
        <f t="shared" si="8"/>
        <v>376</v>
      </c>
      <c r="K25" s="576">
        <f t="shared" si="9"/>
        <v>-376</v>
      </c>
      <c r="L25" s="577">
        <f t="shared" si="10"/>
        <v>-376</v>
      </c>
      <c r="M25" s="576">
        <v>-17</v>
      </c>
      <c r="N25" s="576">
        <f t="shared" si="11"/>
        <v>-407</v>
      </c>
      <c r="O25" s="576">
        <v>159</v>
      </c>
      <c r="P25" s="576">
        <v>566</v>
      </c>
      <c r="Q25" s="576">
        <v>-2</v>
      </c>
      <c r="R25" s="576">
        <v>1</v>
      </c>
      <c r="S25" s="576">
        <v>49</v>
      </c>
    </row>
    <row r="26" spans="1:19" ht="12" customHeight="1">
      <c r="A26" s="765" t="s">
        <v>591</v>
      </c>
      <c r="B26" s="576">
        <v>3820</v>
      </c>
      <c r="C26" s="576">
        <v>3608</v>
      </c>
      <c r="D26" s="576">
        <v>976</v>
      </c>
      <c r="E26" s="576">
        <f t="shared" si="6"/>
        <v>7428</v>
      </c>
      <c r="F26" s="576">
        <v>6751</v>
      </c>
      <c r="G26" s="576">
        <v>352</v>
      </c>
      <c r="H26" s="576">
        <v>81</v>
      </c>
      <c r="I26" s="576">
        <f t="shared" si="7"/>
        <v>7103</v>
      </c>
      <c r="J26" s="576">
        <f t="shared" si="8"/>
        <v>325</v>
      </c>
      <c r="K26" s="576">
        <f t="shared" si="9"/>
        <v>-325</v>
      </c>
      <c r="L26" s="577">
        <f t="shared" si="10"/>
        <v>-325</v>
      </c>
      <c r="M26" s="576">
        <v>11</v>
      </c>
      <c r="N26" s="576">
        <f t="shared" si="11"/>
        <v>-362</v>
      </c>
      <c r="O26" s="576">
        <v>159</v>
      </c>
      <c r="P26" s="576">
        <v>521</v>
      </c>
      <c r="Q26" s="576">
        <v>-8</v>
      </c>
      <c r="R26" s="576"/>
      <c r="S26" s="576">
        <v>34</v>
      </c>
    </row>
    <row r="27" spans="1:19" ht="12" customHeight="1">
      <c r="A27" s="765" t="s">
        <v>592</v>
      </c>
      <c r="B27" s="576">
        <v>1781</v>
      </c>
      <c r="C27" s="576">
        <v>2731</v>
      </c>
      <c r="D27" s="576">
        <v>1057</v>
      </c>
      <c r="E27" s="576">
        <f t="shared" si="6"/>
        <v>4512</v>
      </c>
      <c r="F27" s="576">
        <v>4203</v>
      </c>
      <c r="G27" s="576">
        <v>191</v>
      </c>
      <c r="H27" s="576">
        <v>38</v>
      </c>
      <c r="I27" s="576">
        <f t="shared" si="7"/>
        <v>4394</v>
      </c>
      <c r="J27" s="576">
        <f t="shared" si="8"/>
        <v>118</v>
      </c>
      <c r="K27" s="576">
        <f t="shared" si="9"/>
        <v>-118</v>
      </c>
      <c r="L27" s="577">
        <f t="shared" si="10"/>
        <v>-118</v>
      </c>
      <c r="M27" s="576">
        <v>167</v>
      </c>
      <c r="N27" s="576">
        <f t="shared" si="11"/>
        <v>-258</v>
      </c>
      <c r="O27" s="576">
        <v>114</v>
      </c>
      <c r="P27" s="576">
        <v>372</v>
      </c>
      <c r="Q27" s="576">
        <v>-1</v>
      </c>
      <c r="R27" s="576">
        <v>-120</v>
      </c>
      <c r="S27" s="576">
        <v>94</v>
      </c>
    </row>
    <row r="28" spans="1:19" ht="12" customHeight="1">
      <c r="A28" s="765" t="s">
        <v>593</v>
      </c>
      <c r="B28" s="576">
        <v>2068</v>
      </c>
      <c r="C28" s="576">
        <v>2212</v>
      </c>
      <c r="D28" s="576">
        <v>698</v>
      </c>
      <c r="E28" s="576">
        <f t="shared" si="6"/>
        <v>4280</v>
      </c>
      <c r="F28" s="576">
        <v>3956</v>
      </c>
      <c r="G28" s="576">
        <v>225</v>
      </c>
      <c r="H28" s="576">
        <v>73</v>
      </c>
      <c r="I28" s="576">
        <f aca="true" t="shared" si="12" ref="I28:I47">SUM(F28:H28)-H28</f>
        <v>4181</v>
      </c>
      <c r="J28" s="576">
        <f t="shared" si="8"/>
        <v>99</v>
      </c>
      <c r="K28" s="576">
        <f t="shared" si="9"/>
        <v>-99</v>
      </c>
      <c r="L28" s="577">
        <f t="shared" si="10"/>
        <v>-99</v>
      </c>
      <c r="M28" s="576">
        <v>-54</v>
      </c>
      <c r="N28" s="576">
        <f t="shared" si="11"/>
        <v>-135</v>
      </c>
      <c r="O28" s="576">
        <v>198</v>
      </c>
      <c r="P28" s="576">
        <v>333</v>
      </c>
      <c r="Q28" s="576"/>
      <c r="R28" s="576"/>
      <c r="S28" s="576">
        <v>90</v>
      </c>
    </row>
    <row r="29" spans="1:19" ht="12" customHeight="1">
      <c r="A29" s="765" t="s">
        <v>594</v>
      </c>
      <c r="B29" s="576">
        <v>1397</v>
      </c>
      <c r="C29" s="576">
        <v>1524</v>
      </c>
      <c r="D29" s="576">
        <v>421</v>
      </c>
      <c r="E29" s="576">
        <f t="shared" si="6"/>
        <v>2921</v>
      </c>
      <c r="F29" s="576">
        <v>2751</v>
      </c>
      <c r="G29" s="576">
        <v>82</v>
      </c>
      <c r="H29" s="576"/>
      <c r="I29" s="576">
        <f t="shared" si="12"/>
        <v>2833</v>
      </c>
      <c r="J29" s="576">
        <f t="shared" si="8"/>
        <v>88</v>
      </c>
      <c r="K29" s="576">
        <f t="shared" si="9"/>
        <v>-88</v>
      </c>
      <c r="L29" s="577">
        <f t="shared" si="10"/>
        <v>-88</v>
      </c>
      <c r="M29" s="576">
        <v>-11</v>
      </c>
      <c r="N29" s="576">
        <f t="shared" si="11"/>
        <v>-29</v>
      </c>
      <c r="O29" s="576">
        <v>270</v>
      </c>
      <c r="P29" s="576">
        <v>299</v>
      </c>
      <c r="Q29" s="576"/>
      <c r="R29" s="576"/>
      <c r="S29" s="576">
        <v>-48</v>
      </c>
    </row>
    <row r="30" spans="1:19" ht="12" customHeight="1">
      <c r="A30" s="765" t="s">
        <v>595</v>
      </c>
      <c r="B30" s="576">
        <v>1630</v>
      </c>
      <c r="C30" s="576">
        <v>2133</v>
      </c>
      <c r="D30" s="576">
        <v>702</v>
      </c>
      <c r="E30" s="576">
        <f t="shared" si="6"/>
        <v>3763</v>
      </c>
      <c r="F30" s="576">
        <v>3453</v>
      </c>
      <c r="G30" s="576">
        <v>192</v>
      </c>
      <c r="H30" s="576">
        <v>3</v>
      </c>
      <c r="I30" s="576">
        <f t="shared" si="12"/>
        <v>3645</v>
      </c>
      <c r="J30" s="576">
        <f t="shared" si="8"/>
        <v>118</v>
      </c>
      <c r="K30" s="576">
        <f t="shared" si="9"/>
        <v>-118</v>
      </c>
      <c r="L30" s="577">
        <f t="shared" si="10"/>
        <v>-118</v>
      </c>
      <c r="M30" s="576">
        <v>21</v>
      </c>
      <c r="N30" s="576">
        <f t="shared" si="11"/>
        <v>-175</v>
      </c>
      <c r="O30" s="576">
        <v>126</v>
      </c>
      <c r="P30" s="576">
        <v>301</v>
      </c>
      <c r="Q30" s="576"/>
      <c r="R30" s="576"/>
      <c r="S30" s="576">
        <v>36</v>
      </c>
    </row>
    <row r="31" spans="1:19" ht="12" customHeight="1">
      <c r="A31" s="765" t="s">
        <v>596</v>
      </c>
      <c r="B31" s="576">
        <v>2381</v>
      </c>
      <c r="C31" s="576">
        <v>3128</v>
      </c>
      <c r="D31" s="576">
        <v>1071</v>
      </c>
      <c r="E31" s="576">
        <f t="shared" si="6"/>
        <v>5509</v>
      </c>
      <c r="F31" s="576">
        <v>5478</v>
      </c>
      <c r="G31" s="576">
        <v>153</v>
      </c>
      <c r="H31" s="576"/>
      <c r="I31" s="576">
        <f t="shared" si="12"/>
        <v>5631</v>
      </c>
      <c r="J31" s="576">
        <f t="shared" si="8"/>
        <v>-122</v>
      </c>
      <c r="K31" s="576">
        <f t="shared" si="9"/>
        <v>122</v>
      </c>
      <c r="L31" s="577">
        <f t="shared" si="10"/>
        <v>122</v>
      </c>
      <c r="M31" s="576">
        <v>-113</v>
      </c>
      <c r="N31" s="576">
        <f t="shared" si="11"/>
        <v>-64</v>
      </c>
      <c r="O31" s="576">
        <v>272</v>
      </c>
      <c r="P31" s="576">
        <v>336</v>
      </c>
      <c r="Q31" s="576"/>
      <c r="R31" s="576">
        <v>1</v>
      </c>
      <c r="S31" s="576">
        <v>298</v>
      </c>
    </row>
    <row r="32" spans="1:19" ht="12" customHeight="1">
      <c r="A32" s="765" t="s">
        <v>597</v>
      </c>
      <c r="B32" s="576">
        <v>1166</v>
      </c>
      <c r="C32" s="576">
        <v>2162</v>
      </c>
      <c r="D32" s="576">
        <v>856</v>
      </c>
      <c r="E32" s="576">
        <f t="shared" si="6"/>
        <v>3328</v>
      </c>
      <c r="F32" s="576">
        <v>2901</v>
      </c>
      <c r="G32" s="576">
        <v>104</v>
      </c>
      <c r="H32" s="576"/>
      <c r="I32" s="576">
        <f t="shared" si="12"/>
        <v>3005</v>
      </c>
      <c r="J32" s="576">
        <f t="shared" si="8"/>
        <v>323</v>
      </c>
      <c r="K32" s="576">
        <f t="shared" si="9"/>
        <v>-323</v>
      </c>
      <c r="L32" s="577">
        <f t="shared" si="10"/>
        <v>-323</v>
      </c>
      <c r="M32" s="576">
        <v>-105</v>
      </c>
      <c r="N32" s="576">
        <f t="shared" si="11"/>
        <v>-231</v>
      </c>
      <c r="O32" s="576">
        <v>67</v>
      </c>
      <c r="P32" s="576">
        <v>298</v>
      </c>
      <c r="Q32" s="576"/>
      <c r="R32" s="576"/>
      <c r="S32" s="576">
        <v>13</v>
      </c>
    </row>
    <row r="33" spans="1:19" ht="12" customHeight="1">
      <c r="A33" s="765" t="s">
        <v>598</v>
      </c>
      <c r="B33" s="576">
        <v>2127</v>
      </c>
      <c r="C33" s="576">
        <v>2930</v>
      </c>
      <c r="D33" s="576">
        <v>578</v>
      </c>
      <c r="E33" s="576">
        <f t="shared" si="6"/>
        <v>5057</v>
      </c>
      <c r="F33" s="576">
        <v>4403</v>
      </c>
      <c r="G33" s="576">
        <v>144</v>
      </c>
      <c r="H33" s="576"/>
      <c r="I33" s="576">
        <f t="shared" si="12"/>
        <v>4547</v>
      </c>
      <c r="J33" s="576">
        <f t="shared" si="8"/>
        <v>510</v>
      </c>
      <c r="K33" s="576">
        <f t="shared" si="9"/>
        <v>-510</v>
      </c>
      <c r="L33" s="577">
        <f t="shared" si="10"/>
        <v>-510</v>
      </c>
      <c r="M33" s="576">
        <v>-12</v>
      </c>
      <c r="N33" s="576">
        <f t="shared" si="11"/>
        <v>-476</v>
      </c>
      <c r="O33" s="576">
        <v>462</v>
      </c>
      <c r="P33" s="576">
        <v>938</v>
      </c>
      <c r="Q33" s="576"/>
      <c r="R33" s="576"/>
      <c r="S33" s="576">
        <v>-22</v>
      </c>
    </row>
    <row r="34" spans="1:19" ht="12" customHeight="1">
      <c r="A34" s="765" t="s">
        <v>599</v>
      </c>
      <c r="B34" s="576">
        <v>2265</v>
      </c>
      <c r="C34" s="576">
        <v>2451</v>
      </c>
      <c r="D34" s="576">
        <v>703</v>
      </c>
      <c r="E34" s="576">
        <f t="shared" si="6"/>
        <v>4716</v>
      </c>
      <c r="F34" s="576">
        <v>4474</v>
      </c>
      <c r="G34" s="576">
        <v>121</v>
      </c>
      <c r="H34" s="576">
        <v>10</v>
      </c>
      <c r="I34" s="576">
        <f t="shared" si="12"/>
        <v>4595</v>
      </c>
      <c r="J34" s="576">
        <f t="shared" si="8"/>
        <v>121</v>
      </c>
      <c r="K34" s="576">
        <f t="shared" si="9"/>
        <v>-121</v>
      </c>
      <c r="L34" s="577">
        <f t="shared" si="10"/>
        <v>-121</v>
      </c>
      <c r="M34" s="576">
        <v>-10</v>
      </c>
      <c r="N34" s="576">
        <f t="shared" si="11"/>
        <v>-177</v>
      </c>
      <c r="O34" s="576">
        <v>136</v>
      </c>
      <c r="P34" s="576">
        <v>313</v>
      </c>
      <c r="Q34" s="576"/>
      <c r="R34" s="576">
        <v>-14</v>
      </c>
      <c r="S34" s="576">
        <v>80</v>
      </c>
    </row>
    <row r="35" spans="1:19" ht="12" customHeight="1">
      <c r="A35" s="765" t="s">
        <v>600</v>
      </c>
      <c r="B35" s="576">
        <v>2311</v>
      </c>
      <c r="C35" s="576">
        <v>2020</v>
      </c>
      <c r="D35" s="576">
        <v>667</v>
      </c>
      <c r="E35" s="576">
        <f t="shared" si="6"/>
        <v>4331</v>
      </c>
      <c r="F35" s="576">
        <v>3832</v>
      </c>
      <c r="G35" s="576">
        <v>336</v>
      </c>
      <c r="H35" s="576">
        <v>105</v>
      </c>
      <c r="I35" s="576">
        <f t="shared" si="12"/>
        <v>4168</v>
      </c>
      <c r="J35" s="576">
        <f t="shared" si="8"/>
        <v>163</v>
      </c>
      <c r="K35" s="576">
        <f t="shared" si="9"/>
        <v>-163</v>
      </c>
      <c r="L35" s="577">
        <f t="shared" si="10"/>
        <v>-163</v>
      </c>
      <c r="M35" s="576">
        <v>30</v>
      </c>
      <c r="N35" s="576">
        <f t="shared" si="11"/>
        <v>-182</v>
      </c>
      <c r="O35" s="576">
        <v>209</v>
      </c>
      <c r="P35" s="576">
        <v>391</v>
      </c>
      <c r="Q35" s="576">
        <v>-11</v>
      </c>
      <c r="R35" s="576"/>
      <c r="S35" s="576"/>
    </row>
    <row r="36" spans="1:19" ht="12" customHeight="1">
      <c r="A36" s="765" t="s">
        <v>601</v>
      </c>
      <c r="B36" s="576">
        <v>1199</v>
      </c>
      <c r="C36" s="576">
        <v>2144</v>
      </c>
      <c r="D36" s="576">
        <v>748</v>
      </c>
      <c r="E36" s="576">
        <f t="shared" si="6"/>
        <v>3343</v>
      </c>
      <c r="F36" s="576">
        <v>2971</v>
      </c>
      <c r="G36" s="576">
        <v>109</v>
      </c>
      <c r="H36" s="576"/>
      <c r="I36" s="576">
        <f t="shared" si="12"/>
        <v>3080</v>
      </c>
      <c r="J36" s="576">
        <f t="shared" si="8"/>
        <v>263</v>
      </c>
      <c r="K36" s="576">
        <f t="shared" si="9"/>
        <v>-263</v>
      </c>
      <c r="L36" s="577">
        <f t="shared" si="10"/>
        <v>-263</v>
      </c>
      <c r="M36" s="576">
        <v>-36</v>
      </c>
      <c r="N36" s="576">
        <f t="shared" si="11"/>
        <v>-264</v>
      </c>
      <c r="O36" s="576">
        <v>59</v>
      </c>
      <c r="P36" s="576">
        <v>323</v>
      </c>
      <c r="Q36" s="576">
        <v>-12</v>
      </c>
      <c r="R36" s="576"/>
      <c r="S36" s="576">
        <v>49</v>
      </c>
    </row>
    <row r="37" spans="1:19" ht="12" customHeight="1">
      <c r="A37" s="765" t="s">
        <v>602</v>
      </c>
      <c r="B37" s="576">
        <v>2164</v>
      </c>
      <c r="C37" s="576">
        <v>3135</v>
      </c>
      <c r="D37" s="576">
        <v>865</v>
      </c>
      <c r="E37" s="576">
        <f t="shared" si="6"/>
        <v>5299</v>
      </c>
      <c r="F37" s="576">
        <v>4792</v>
      </c>
      <c r="G37" s="576">
        <v>262</v>
      </c>
      <c r="H37" s="576">
        <v>32</v>
      </c>
      <c r="I37" s="576">
        <f t="shared" si="12"/>
        <v>5054</v>
      </c>
      <c r="J37" s="576">
        <f t="shared" si="8"/>
        <v>245</v>
      </c>
      <c r="K37" s="576">
        <f t="shared" si="9"/>
        <v>-245</v>
      </c>
      <c r="L37" s="577">
        <f t="shared" si="10"/>
        <v>-245</v>
      </c>
      <c r="M37" s="576">
        <v>32</v>
      </c>
      <c r="N37" s="576">
        <f t="shared" si="11"/>
        <v>-339</v>
      </c>
      <c r="O37" s="576">
        <v>190</v>
      </c>
      <c r="P37" s="576">
        <v>529</v>
      </c>
      <c r="Q37" s="576"/>
      <c r="R37" s="576">
        <v>62</v>
      </c>
      <c r="S37" s="576"/>
    </row>
    <row r="38" spans="1:19" ht="12" customHeight="1">
      <c r="A38" s="765" t="s">
        <v>603</v>
      </c>
      <c r="B38" s="576">
        <v>4010</v>
      </c>
      <c r="C38" s="576">
        <v>2749</v>
      </c>
      <c r="D38" s="576">
        <v>602</v>
      </c>
      <c r="E38" s="576">
        <f t="shared" si="6"/>
        <v>6759</v>
      </c>
      <c r="F38" s="576">
        <v>5897</v>
      </c>
      <c r="G38" s="576">
        <v>436</v>
      </c>
      <c r="H38" s="576">
        <v>294</v>
      </c>
      <c r="I38" s="576">
        <f t="shared" si="12"/>
        <v>6333</v>
      </c>
      <c r="J38" s="576">
        <f t="shared" si="8"/>
        <v>426</v>
      </c>
      <c r="K38" s="576">
        <f t="shared" si="9"/>
        <v>-426</v>
      </c>
      <c r="L38" s="577">
        <f t="shared" si="10"/>
        <v>-426</v>
      </c>
      <c r="M38" s="576">
        <v>-50</v>
      </c>
      <c r="N38" s="576">
        <f t="shared" si="11"/>
        <v>-438</v>
      </c>
      <c r="O38" s="576">
        <v>312</v>
      </c>
      <c r="P38" s="576">
        <v>750</v>
      </c>
      <c r="Q38" s="576">
        <v>-6</v>
      </c>
      <c r="R38" s="576">
        <v>-4</v>
      </c>
      <c r="S38" s="576">
        <v>72</v>
      </c>
    </row>
    <row r="39" spans="1:19" ht="12" customHeight="1">
      <c r="A39" s="765" t="s">
        <v>604</v>
      </c>
      <c r="B39" s="576">
        <v>1606</v>
      </c>
      <c r="C39" s="576">
        <v>2862</v>
      </c>
      <c r="D39" s="576">
        <v>961</v>
      </c>
      <c r="E39" s="576">
        <f t="shared" si="6"/>
        <v>4468</v>
      </c>
      <c r="F39" s="576">
        <v>4059</v>
      </c>
      <c r="G39" s="576">
        <v>77</v>
      </c>
      <c r="H39" s="576"/>
      <c r="I39" s="576">
        <f t="shared" si="12"/>
        <v>4136</v>
      </c>
      <c r="J39" s="576">
        <f t="shared" si="8"/>
        <v>332</v>
      </c>
      <c r="K39" s="576">
        <f t="shared" si="9"/>
        <v>-332</v>
      </c>
      <c r="L39" s="577">
        <f t="shared" si="10"/>
        <v>-332</v>
      </c>
      <c r="M39" s="576">
        <v>-151</v>
      </c>
      <c r="N39" s="576">
        <f t="shared" si="11"/>
        <v>-267</v>
      </c>
      <c r="O39" s="576">
        <v>148</v>
      </c>
      <c r="P39" s="576">
        <v>415</v>
      </c>
      <c r="Q39" s="576">
        <v>-18</v>
      </c>
      <c r="R39" s="576">
        <v>8</v>
      </c>
      <c r="S39" s="576">
        <v>96</v>
      </c>
    </row>
    <row r="40" spans="1:19" ht="12" customHeight="1">
      <c r="A40" s="765" t="s">
        <v>605</v>
      </c>
      <c r="B40" s="576">
        <v>1208</v>
      </c>
      <c r="C40" s="576">
        <v>3217</v>
      </c>
      <c r="D40" s="576">
        <v>1227</v>
      </c>
      <c r="E40" s="576">
        <f t="shared" si="6"/>
        <v>4425</v>
      </c>
      <c r="F40" s="576">
        <v>4076</v>
      </c>
      <c r="G40" s="576">
        <v>176</v>
      </c>
      <c r="H40" s="576"/>
      <c r="I40" s="576">
        <f t="shared" si="12"/>
        <v>4252</v>
      </c>
      <c r="J40" s="576">
        <f t="shared" si="8"/>
        <v>173</v>
      </c>
      <c r="K40" s="576">
        <f t="shared" si="9"/>
        <v>-173</v>
      </c>
      <c r="L40" s="577">
        <f t="shared" si="10"/>
        <v>-173</v>
      </c>
      <c r="M40" s="576">
        <v>1</v>
      </c>
      <c r="N40" s="576">
        <f t="shared" si="11"/>
        <v>-247</v>
      </c>
      <c r="O40" s="576">
        <v>105</v>
      </c>
      <c r="P40" s="576">
        <v>352</v>
      </c>
      <c r="Q40" s="576"/>
      <c r="R40" s="576"/>
      <c r="S40" s="576">
        <v>73</v>
      </c>
    </row>
    <row r="41" spans="1:19" ht="12" customHeight="1">
      <c r="A41" s="765" t="s">
        <v>606</v>
      </c>
      <c r="B41" s="576">
        <v>12055</v>
      </c>
      <c r="C41" s="576">
        <v>5566</v>
      </c>
      <c r="D41" s="576">
        <v>858</v>
      </c>
      <c r="E41" s="576">
        <f t="shared" si="6"/>
        <v>17621</v>
      </c>
      <c r="F41" s="576">
        <v>15365</v>
      </c>
      <c r="G41" s="576">
        <v>1984</v>
      </c>
      <c r="H41" s="576">
        <v>1374</v>
      </c>
      <c r="I41" s="576">
        <f t="shared" si="12"/>
        <v>17349</v>
      </c>
      <c r="J41" s="576">
        <f t="shared" si="8"/>
        <v>272</v>
      </c>
      <c r="K41" s="576">
        <f t="shared" si="9"/>
        <v>-272</v>
      </c>
      <c r="L41" s="577">
        <f t="shared" si="10"/>
        <v>-272</v>
      </c>
      <c r="M41" s="576">
        <v>178</v>
      </c>
      <c r="N41" s="576">
        <f t="shared" si="11"/>
        <v>-422</v>
      </c>
      <c r="O41" s="576">
        <v>1098</v>
      </c>
      <c r="P41" s="576">
        <v>1520</v>
      </c>
      <c r="Q41" s="576">
        <v>11</v>
      </c>
      <c r="R41" s="576"/>
      <c r="S41" s="576">
        <v>-39</v>
      </c>
    </row>
    <row r="42" spans="1:19" ht="12" customHeight="1">
      <c r="A42" s="765" t="s">
        <v>607</v>
      </c>
      <c r="B42" s="576">
        <v>2057</v>
      </c>
      <c r="C42" s="576">
        <v>2784</v>
      </c>
      <c r="D42" s="576">
        <v>626</v>
      </c>
      <c r="E42" s="576">
        <f t="shared" si="6"/>
        <v>4841</v>
      </c>
      <c r="F42" s="576">
        <v>4434</v>
      </c>
      <c r="G42" s="576">
        <v>126</v>
      </c>
      <c r="H42" s="576">
        <v>14</v>
      </c>
      <c r="I42" s="576">
        <f t="shared" si="12"/>
        <v>4560</v>
      </c>
      <c r="J42" s="576">
        <f t="shared" si="8"/>
        <v>281</v>
      </c>
      <c r="K42" s="576">
        <f t="shared" si="9"/>
        <v>-281</v>
      </c>
      <c r="L42" s="577">
        <f t="shared" si="10"/>
        <v>-281</v>
      </c>
      <c r="M42" s="576">
        <v>100</v>
      </c>
      <c r="N42" s="576">
        <f t="shared" si="11"/>
        <v>-338</v>
      </c>
      <c r="O42" s="576">
        <v>246</v>
      </c>
      <c r="P42" s="576">
        <v>584</v>
      </c>
      <c r="Q42" s="576"/>
      <c r="R42" s="576"/>
      <c r="S42" s="576">
        <v>-43</v>
      </c>
    </row>
    <row r="43" spans="1:19" ht="12" customHeight="1">
      <c r="A43" s="765" t="s">
        <v>608</v>
      </c>
      <c r="B43" s="576">
        <v>2619</v>
      </c>
      <c r="C43" s="576">
        <v>2508</v>
      </c>
      <c r="D43" s="576">
        <v>753</v>
      </c>
      <c r="E43" s="576">
        <f t="shared" si="6"/>
        <v>5127</v>
      </c>
      <c r="F43" s="576">
        <v>5071</v>
      </c>
      <c r="G43" s="576">
        <v>97</v>
      </c>
      <c r="H43" s="576">
        <v>14</v>
      </c>
      <c r="I43" s="576">
        <f t="shared" si="12"/>
        <v>5168</v>
      </c>
      <c r="J43" s="576">
        <f t="shared" si="8"/>
        <v>-41</v>
      </c>
      <c r="K43" s="576">
        <f t="shared" si="9"/>
        <v>41</v>
      </c>
      <c r="L43" s="577">
        <f t="shared" si="10"/>
        <v>41</v>
      </c>
      <c r="M43" s="576">
        <v>101</v>
      </c>
      <c r="N43" s="576">
        <f t="shared" si="11"/>
        <v>-102</v>
      </c>
      <c r="O43" s="576">
        <v>207</v>
      </c>
      <c r="P43" s="576">
        <v>309</v>
      </c>
      <c r="Q43" s="576"/>
      <c r="R43" s="576">
        <v>-15</v>
      </c>
      <c r="S43" s="576">
        <v>57</v>
      </c>
    </row>
    <row r="44" spans="1:19" ht="12" customHeight="1">
      <c r="A44" s="765" t="s">
        <v>609</v>
      </c>
      <c r="B44" s="576">
        <v>3233</v>
      </c>
      <c r="C44" s="576">
        <v>4052</v>
      </c>
      <c r="D44" s="576">
        <v>885</v>
      </c>
      <c r="E44" s="576">
        <f t="shared" si="6"/>
        <v>7285</v>
      </c>
      <c r="F44" s="576">
        <v>6339</v>
      </c>
      <c r="G44" s="576">
        <v>658</v>
      </c>
      <c r="H44" s="576">
        <v>14</v>
      </c>
      <c r="I44" s="576">
        <f t="shared" si="12"/>
        <v>6997</v>
      </c>
      <c r="J44" s="576">
        <f t="shared" si="8"/>
        <v>288</v>
      </c>
      <c r="K44" s="576">
        <f t="shared" si="9"/>
        <v>-288</v>
      </c>
      <c r="L44" s="577">
        <f t="shared" si="10"/>
        <v>-288</v>
      </c>
      <c r="M44" s="576">
        <v>27</v>
      </c>
      <c r="N44" s="576">
        <f t="shared" si="11"/>
        <v>-345</v>
      </c>
      <c r="O44" s="576">
        <v>365</v>
      </c>
      <c r="P44" s="576">
        <v>710</v>
      </c>
      <c r="Q44" s="576">
        <v>-4</v>
      </c>
      <c r="R44" s="576">
        <v>-4</v>
      </c>
      <c r="S44" s="576">
        <v>38</v>
      </c>
    </row>
    <row r="45" spans="1:19" ht="12" customHeight="1">
      <c r="A45" s="765" t="s">
        <v>610</v>
      </c>
      <c r="B45" s="576">
        <v>1991</v>
      </c>
      <c r="C45" s="576">
        <v>1663</v>
      </c>
      <c r="D45" s="576">
        <v>451</v>
      </c>
      <c r="E45" s="576">
        <f t="shared" si="6"/>
        <v>3654</v>
      </c>
      <c r="F45" s="576">
        <v>3221</v>
      </c>
      <c r="G45" s="576">
        <v>211</v>
      </c>
      <c r="H45" s="576">
        <v>42</v>
      </c>
      <c r="I45" s="576">
        <f t="shared" si="12"/>
        <v>3432</v>
      </c>
      <c r="J45" s="576">
        <f t="shared" si="8"/>
        <v>222</v>
      </c>
      <c r="K45" s="576">
        <f t="shared" si="9"/>
        <v>-222</v>
      </c>
      <c r="L45" s="577">
        <f t="shared" si="10"/>
        <v>-222</v>
      </c>
      <c r="M45" s="576">
        <v>-56</v>
      </c>
      <c r="N45" s="576">
        <f t="shared" si="11"/>
        <v>-150</v>
      </c>
      <c r="O45" s="576">
        <v>75</v>
      </c>
      <c r="P45" s="576">
        <v>225</v>
      </c>
      <c r="Q45" s="576">
        <v>-2</v>
      </c>
      <c r="R45" s="576"/>
      <c r="S45" s="576">
        <v>-14</v>
      </c>
    </row>
    <row r="46" spans="1:19" ht="12" customHeight="1">
      <c r="A46" s="765" t="s">
        <v>611</v>
      </c>
      <c r="B46" s="576">
        <v>5445</v>
      </c>
      <c r="C46" s="576">
        <v>3444</v>
      </c>
      <c r="D46" s="576">
        <v>745</v>
      </c>
      <c r="E46" s="576">
        <f t="shared" si="6"/>
        <v>8889</v>
      </c>
      <c r="F46" s="576">
        <v>8118</v>
      </c>
      <c r="G46" s="576">
        <v>532</v>
      </c>
      <c r="H46" s="576">
        <v>200</v>
      </c>
      <c r="I46" s="576">
        <f t="shared" si="12"/>
        <v>8650</v>
      </c>
      <c r="J46" s="576">
        <f t="shared" si="8"/>
        <v>239</v>
      </c>
      <c r="K46" s="576">
        <f t="shared" si="9"/>
        <v>-239</v>
      </c>
      <c r="L46" s="577">
        <f t="shared" si="10"/>
        <v>-239</v>
      </c>
      <c r="M46" s="576">
        <v>-179</v>
      </c>
      <c r="N46" s="576">
        <f t="shared" si="11"/>
        <v>-295</v>
      </c>
      <c r="O46" s="576">
        <v>292</v>
      </c>
      <c r="P46" s="576">
        <v>587</v>
      </c>
      <c r="Q46" s="576">
        <v>-38</v>
      </c>
      <c r="R46" s="576">
        <v>-1</v>
      </c>
      <c r="S46" s="576">
        <v>274</v>
      </c>
    </row>
    <row r="47" spans="1:19" ht="12" customHeight="1">
      <c r="A47" s="765" t="s">
        <v>612</v>
      </c>
      <c r="B47" s="576">
        <v>902</v>
      </c>
      <c r="C47" s="576">
        <v>700</v>
      </c>
      <c r="D47" s="576">
        <v>110</v>
      </c>
      <c r="E47" s="767">
        <f t="shared" si="6"/>
        <v>1602</v>
      </c>
      <c r="F47" s="576">
        <v>1728</v>
      </c>
      <c r="G47" s="576">
        <v>72</v>
      </c>
      <c r="H47" s="576">
        <v>17</v>
      </c>
      <c r="I47" s="576">
        <f t="shared" si="12"/>
        <v>1800</v>
      </c>
      <c r="J47" s="576">
        <f t="shared" si="8"/>
        <v>-198</v>
      </c>
      <c r="K47" s="576">
        <f t="shared" si="9"/>
        <v>198</v>
      </c>
      <c r="L47" s="577">
        <f t="shared" si="10"/>
        <v>198</v>
      </c>
      <c r="M47" s="576">
        <v>267</v>
      </c>
      <c r="N47" s="576">
        <f t="shared" si="11"/>
        <v>-91</v>
      </c>
      <c r="O47" s="576">
        <v>60</v>
      </c>
      <c r="P47" s="576">
        <v>151</v>
      </c>
      <c r="Q47" s="576"/>
      <c r="R47" s="576"/>
      <c r="S47" s="576">
        <v>22</v>
      </c>
    </row>
    <row r="48" spans="1:19" ht="12" customHeight="1">
      <c r="A48" s="763" t="s">
        <v>613</v>
      </c>
      <c r="B48" s="576">
        <f aca="true" t="shared" si="13" ref="B48:K48">SUM(B22:B47)</f>
        <v>66599</v>
      </c>
      <c r="C48" s="576">
        <f t="shared" si="13"/>
        <v>69345</v>
      </c>
      <c r="D48" s="576">
        <f t="shared" si="13"/>
        <v>19217</v>
      </c>
      <c r="E48" s="767">
        <f t="shared" si="13"/>
        <v>135944</v>
      </c>
      <c r="F48" s="576">
        <f t="shared" si="13"/>
        <v>123472</v>
      </c>
      <c r="G48" s="576">
        <f t="shared" si="13"/>
        <v>7431</v>
      </c>
      <c r="H48" s="576">
        <f t="shared" si="13"/>
        <v>2471</v>
      </c>
      <c r="I48" s="576">
        <f t="shared" si="13"/>
        <v>130903</v>
      </c>
      <c r="J48" s="576">
        <f t="shared" si="13"/>
        <v>5041</v>
      </c>
      <c r="K48" s="576">
        <f t="shared" si="13"/>
        <v>-5041</v>
      </c>
      <c r="L48" s="577">
        <f t="shared" si="10"/>
        <v>-5041</v>
      </c>
      <c r="M48" s="576">
        <f aca="true" t="shared" si="14" ref="M48:S48">SUM(M22:M47)</f>
        <v>154</v>
      </c>
      <c r="N48" s="576">
        <f t="shared" si="14"/>
        <v>-6311</v>
      </c>
      <c r="O48" s="576">
        <f t="shared" si="14"/>
        <v>5838</v>
      </c>
      <c r="P48" s="576">
        <f t="shared" si="14"/>
        <v>12149</v>
      </c>
      <c r="Q48" s="576">
        <f t="shared" si="14"/>
        <v>-104</v>
      </c>
      <c r="R48" s="576">
        <f t="shared" si="14"/>
        <v>-100</v>
      </c>
      <c r="S48" s="576">
        <f t="shared" si="14"/>
        <v>1320</v>
      </c>
    </row>
    <row r="49" spans="1:19" ht="12" customHeight="1">
      <c r="A49" s="768" t="s">
        <v>614</v>
      </c>
      <c r="B49" s="576">
        <f aca="true" t="shared" si="15" ref="B49:K49">B48+B20</f>
        <v>169843</v>
      </c>
      <c r="C49" s="576">
        <f t="shared" si="15"/>
        <v>97460</v>
      </c>
      <c r="D49" s="576">
        <f t="shared" si="15"/>
        <v>20045</v>
      </c>
      <c r="E49" s="576">
        <f t="shared" si="15"/>
        <v>267303</v>
      </c>
      <c r="F49" s="576">
        <f t="shared" si="15"/>
        <v>253722</v>
      </c>
      <c r="G49" s="576">
        <f t="shared" si="15"/>
        <v>20830</v>
      </c>
      <c r="H49" s="576">
        <f t="shared" si="15"/>
        <v>15727</v>
      </c>
      <c r="I49" s="576">
        <f t="shared" si="15"/>
        <v>274552</v>
      </c>
      <c r="J49" s="576">
        <f t="shared" si="15"/>
        <v>-7249</v>
      </c>
      <c r="K49" s="576">
        <f t="shared" si="15"/>
        <v>7249</v>
      </c>
      <c r="L49" s="577">
        <f t="shared" si="10"/>
        <v>7249</v>
      </c>
      <c r="M49" s="576">
        <f>M48+M20</f>
        <v>-17</v>
      </c>
      <c r="N49" s="576">
        <f>O49-P49</f>
        <v>-9157</v>
      </c>
      <c r="O49" s="576">
        <f>O48+O20</f>
        <v>12129</v>
      </c>
      <c r="P49" s="576">
        <f>P48+P20</f>
        <v>21286</v>
      </c>
      <c r="Q49" s="576">
        <f>Q48+Q20</f>
        <v>-154</v>
      </c>
      <c r="R49" s="576">
        <f>R48+R20</f>
        <v>16056</v>
      </c>
      <c r="S49" s="576">
        <f>S48+S20</f>
        <v>521</v>
      </c>
    </row>
    <row r="50" s="769" customFormat="1" ht="12" customHeight="1"/>
    <row r="51" spans="1:9" s="771" customFormat="1" ht="17.25" customHeight="1">
      <c r="A51" s="770" t="s">
        <v>615</v>
      </c>
      <c r="I51" s="771" t="s">
        <v>616</v>
      </c>
    </row>
    <row r="52" s="771" customFormat="1" ht="17.25" customHeight="1">
      <c r="A52" s="770"/>
    </row>
    <row r="54" spans="1:10" ht="17.25" customHeight="1">
      <c r="A54" s="772" t="s">
        <v>900</v>
      </c>
      <c r="B54" s="773"/>
      <c r="C54" s="773"/>
      <c r="D54" s="774"/>
      <c r="E54" s="775"/>
      <c r="F54" s="774"/>
      <c r="G54" s="773"/>
      <c r="H54" s="774"/>
      <c r="J54" s="737" t="s">
        <v>862</v>
      </c>
    </row>
    <row r="55" ht="17.25" customHeight="1">
      <c r="A55" s="776"/>
    </row>
    <row r="58" spans="1:5" ht="17.25" customHeight="1">
      <c r="A58" s="902" t="s">
        <v>617</v>
      </c>
      <c r="B58" s="902"/>
      <c r="C58" s="902"/>
      <c r="D58" s="902"/>
      <c r="E58" s="902"/>
    </row>
    <row r="59" spans="1:3" ht="17.25" customHeight="1">
      <c r="A59" s="902" t="s">
        <v>847</v>
      </c>
      <c r="B59" s="902"/>
      <c r="C59" s="902"/>
    </row>
    <row r="68" s="749" customFormat="1" ht="17.25" customHeight="1">
      <c r="A68" s="776"/>
    </row>
  </sheetData>
  <mergeCells count="16">
    <mergeCell ref="A58:E58"/>
    <mergeCell ref="A59:C59"/>
    <mergeCell ref="F9:F10"/>
    <mergeCell ref="G9:G10"/>
    <mergeCell ref="D9:D10"/>
    <mergeCell ref="E9:E10"/>
    <mergeCell ref="H9:H10"/>
    <mergeCell ref="I9:I10"/>
    <mergeCell ref="A4:S4"/>
    <mergeCell ref="A5:S5"/>
    <mergeCell ref="A8:A10"/>
    <mergeCell ref="J8:J10"/>
    <mergeCell ref="K8:K10"/>
    <mergeCell ref="S8:S10"/>
    <mergeCell ref="B9:B10"/>
    <mergeCell ref="C9:C10"/>
  </mergeCells>
  <printOptions/>
  <pageMargins left="0.47" right="0.17" top="0.64" bottom="0.58" header="0.17" footer="0.28"/>
  <pageSetup firstPageNumber="38" useFirstPageNumber="1" horizontalDpi="300" verticalDpi="300" orientation="landscape" paperSize="9" scale="93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18.57421875" style="502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8.00390625" style="38" customWidth="1"/>
    <col min="9" max="9" width="9.00390625" style="38" customWidth="1"/>
    <col min="10" max="10" width="6.140625" style="38" customWidth="1"/>
    <col min="11" max="11" width="8.421875" style="831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7"/>
      <c r="C1" s="87"/>
      <c r="D1" s="87"/>
      <c r="E1" s="87"/>
      <c r="F1" s="87"/>
      <c r="G1" s="87"/>
      <c r="H1" s="87"/>
      <c r="I1" s="87"/>
      <c r="J1" s="87"/>
      <c r="K1" s="569"/>
      <c r="L1" s="87"/>
      <c r="M1" s="87"/>
      <c r="N1" s="87"/>
      <c r="O1" s="87"/>
      <c r="P1" s="87"/>
      <c r="Q1" s="261" t="s">
        <v>618</v>
      </c>
    </row>
    <row r="2" spans="1:18" ht="17.25" customHeight="1">
      <c r="A2" s="51" t="s">
        <v>619</v>
      </c>
      <c r="B2" s="87"/>
      <c r="C2" s="87"/>
      <c r="D2" s="87"/>
      <c r="E2" s="87"/>
      <c r="F2" s="87"/>
      <c r="G2" s="87"/>
      <c r="H2" s="87"/>
      <c r="I2" s="87"/>
      <c r="J2" s="87"/>
      <c r="K2" s="569"/>
      <c r="L2" s="87"/>
      <c r="M2" s="87"/>
      <c r="N2" s="87"/>
      <c r="O2" s="87"/>
      <c r="P2" s="87"/>
      <c r="Q2" s="87"/>
      <c r="R2" s="261"/>
    </row>
    <row r="3" spans="1:18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569"/>
      <c r="L3" s="87"/>
      <c r="M3" s="87"/>
      <c r="N3" s="87"/>
      <c r="O3" s="87"/>
      <c r="P3" s="87"/>
      <c r="Q3" s="87"/>
      <c r="R3" s="261"/>
    </row>
    <row r="4" spans="1:18" ht="16.5" customHeight="1">
      <c r="A4" s="579" t="s">
        <v>620</v>
      </c>
      <c r="B4" s="569"/>
      <c r="C4" s="569"/>
      <c r="D4" s="569"/>
      <c r="E4" s="569"/>
      <c r="F4" s="569"/>
      <c r="G4" s="569"/>
      <c r="H4" s="87"/>
      <c r="I4" s="87"/>
      <c r="J4" s="569"/>
      <c r="K4" s="569"/>
      <c r="L4" s="569"/>
      <c r="M4" s="569"/>
      <c r="N4" s="569"/>
      <c r="O4" s="569"/>
      <c r="P4" s="569"/>
      <c r="Q4" s="569"/>
      <c r="R4" s="569"/>
    </row>
    <row r="5" spans="1:18" ht="15" customHeight="1">
      <c r="A5" s="507" t="s">
        <v>865</v>
      </c>
      <c r="B5" s="569"/>
      <c r="C5" s="569"/>
      <c r="D5" s="569"/>
      <c r="E5" s="569"/>
      <c r="F5" s="569"/>
      <c r="G5" s="569"/>
      <c r="H5" s="569"/>
      <c r="I5" s="569"/>
      <c r="J5" s="569"/>
      <c r="K5" s="569"/>
      <c r="L5" s="569"/>
      <c r="M5" s="569"/>
      <c r="N5" s="569"/>
      <c r="O5" s="569"/>
      <c r="P5" s="569"/>
      <c r="Q5" s="569"/>
      <c r="R5" s="569"/>
    </row>
    <row r="6" spans="1:18" ht="12.75" customHeight="1">
      <c r="A6" s="570"/>
      <c r="B6" s="87"/>
      <c r="C6" s="87"/>
      <c r="D6" s="87"/>
      <c r="E6" s="87"/>
      <c r="F6" s="87"/>
      <c r="G6" s="87"/>
      <c r="H6" s="87"/>
      <c r="I6" s="87"/>
      <c r="J6" s="87"/>
      <c r="K6" s="569"/>
      <c r="L6" s="87"/>
      <c r="M6" s="87"/>
      <c r="N6" s="87"/>
      <c r="O6" s="87"/>
      <c r="P6" s="87"/>
      <c r="R6" s="2" t="s">
        <v>176</v>
      </c>
    </row>
    <row r="7" spans="1:18" ht="17.25" customHeight="1">
      <c r="A7" s="903" t="s">
        <v>621</v>
      </c>
      <c r="B7" s="903" t="s">
        <v>45</v>
      </c>
      <c r="C7" s="906" t="s">
        <v>568</v>
      </c>
      <c r="D7" s="906"/>
      <c r="E7" s="906"/>
      <c r="F7" s="906"/>
      <c r="G7" s="906" t="s">
        <v>622</v>
      </c>
      <c r="H7" s="906" t="s">
        <v>623</v>
      </c>
      <c r="I7" s="903" t="s">
        <v>624</v>
      </c>
      <c r="J7" s="903" t="s">
        <v>625</v>
      </c>
      <c r="K7" s="823"/>
      <c r="L7" s="572" t="s">
        <v>626</v>
      </c>
      <c r="M7" s="571"/>
      <c r="N7" s="571"/>
      <c r="O7" s="573"/>
      <c r="P7" s="571"/>
      <c r="Q7" s="571"/>
      <c r="R7" s="903" t="s">
        <v>627</v>
      </c>
    </row>
    <row r="8" spans="1:18" ht="17.25" customHeight="1">
      <c r="A8" s="904"/>
      <c r="B8" s="904"/>
      <c r="C8" s="907"/>
      <c r="D8" s="907"/>
      <c r="E8" s="907"/>
      <c r="F8" s="907"/>
      <c r="G8" s="906"/>
      <c r="H8" s="906"/>
      <c r="I8" s="904"/>
      <c r="J8" s="904"/>
      <c r="K8" s="824"/>
      <c r="L8" s="910" t="s">
        <v>572</v>
      </c>
      <c r="M8" s="911"/>
      <c r="N8" s="911"/>
      <c r="O8" s="911"/>
      <c r="P8" s="911"/>
      <c r="Q8" s="912"/>
      <c r="R8" s="908"/>
    </row>
    <row r="9" spans="1:18" ht="45">
      <c r="A9" s="905"/>
      <c r="B9" s="905"/>
      <c r="C9" s="9" t="s">
        <v>628</v>
      </c>
      <c r="D9" s="8" t="s">
        <v>629</v>
      </c>
      <c r="E9" s="9" t="s">
        <v>630</v>
      </c>
      <c r="F9" s="8" t="s">
        <v>631</v>
      </c>
      <c r="G9" s="906"/>
      <c r="H9" s="906"/>
      <c r="I9" s="905"/>
      <c r="J9" s="905"/>
      <c r="K9" s="825" t="s">
        <v>759</v>
      </c>
      <c r="L9" s="581" t="s">
        <v>815</v>
      </c>
      <c r="M9" s="581" t="s">
        <v>632</v>
      </c>
      <c r="N9" s="581" t="s">
        <v>574</v>
      </c>
      <c r="O9" s="581" t="s">
        <v>575</v>
      </c>
      <c r="P9" s="9" t="s">
        <v>633</v>
      </c>
      <c r="Q9" s="9" t="s">
        <v>827</v>
      </c>
      <c r="R9" s="909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827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82" t="s">
        <v>578</v>
      </c>
      <c r="B11" s="575">
        <v>8511</v>
      </c>
      <c r="C11" s="734">
        <v>3900</v>
      </c>
      <c r="D11" s="734">
        <v>1381</v>
      </c>
      <c r="E11" s="734"/>
      <c r="F11" s="735">
        <f aca="true" t="shared" si="0" ref="F11:F17">SUM(C11:E11)</f>
        <v>5281</v>
      </c>
      <c r="G11" s="735">
        <f aca="true" t="shared" si="1" ref="G11:G45">B11-F11</f>
        <v>3230</v>
      </c>
      <c r="H11" s="735"/>
      <c r="I11" s="735">
        <f>G11-H11</f>
        <v>3230</v>
      </c>
      <c r="J11" s="735">
        <f aca="true" t="shared" si="2" ref="J11:J46">-I11</f>
        <v>-3230</v>
      </c>
      <c r="K11" s="828">
        <f aca="true" t="shared" si="3" ref="K11:K44">L11+M11+P11+Q11+R11</f>
        <v>-3230</v>
      </c>
      <c r="L11" s="735"/>
      <c r="M11" s="735">
        <f aca="true" t="shared" si="4" ref="M11:M44">N11-O11</f>
        <v>-3230</v>
      </c>
      <c r="N11" s="735">
        <v>10514</v>
      </c>
      <c r="O11" s="735">
        <v>13744</v>
      </c>
      <c r="P11" s="575"/>
      <c r="Q11" s="575"/>
      <c r="R11" s="575"/>
    </row>
    <row r="12" spans="1:18" ht="12" customHeight="1">
      <c r="A12" s="582" t="s">
        <v>579</v>
      </c>
      <c r="B12" s="575">
        <v>663</v>
      </c>
      <c r="C12" s="734">
        <v>370</v>
      </c>
      <c r="D12" s="734">
        <v>249</v>
      </c>
      <c r="E12" s="734"/>
      <c r="F12" s="735">
        <f t="shared" si="0"/>
        <v>619</v>
      </c>
      <c r="G12" s="735">
        <f t="shared" si="1"/>
        <v>44</v>
      </c>
      <c r="H12" s="735">
        <v>4</v>
      </c>
      <c r="I12" s="735">
        <f>G12-H12</f>
        <v>40</v>
      </c>
      <c r="J12" s="735">
        <f t="shared" si="2"/>
        <v>-40</v>
      </c>
      <c r="K12" s="828">
        <f t="shared" si="3"/>
        <v>-40</v>
      </c>
      <c r="L12" s="735"/>
      <c r="M12" s="735">
        <f t="shared" si="4"/>
        <v>-40</v>
      </c>
      <c r="N12" s="735">
        <v>98</v>
      </c>
      <c r="O12" s="735">
        <v>138</v>
      </c>
      <c r="P12" s="575"/>
      <c r="Q12" s="575"/>
      <c r="R12" s="575"/>
    </row>
    <row r="13" spans="1:18" ht="12" customHeight="1">
      <c r="A13" s="582" t="s">
        <v>580</v>
      </c>
      <c r="B13" s="575">
        <v>434</v>
      </c>
      <c r="C13" s="734">
        <v>348</v>
      </c>
      <c r="D13" s="734">
        <v>56</v>
      </c>
      <c r="E13" s="734"/>
      <c r="F13" s="735">
        <f t="shared" si="0"/>
        <v>404</v>
      </c>
      <c r="G13" s="735">
        <f t="shared" si="1"/>
        <v>30</v>
      </c>
      <c r="H13" s="735">
        <v>53</v>
      </c>
      <c r="I13" s="735">
        <f>G13-H13</f>
        <v>-23</v>
      </c>
      <c r="J13" s="735">
        <f t="shared" si="2"/>
        <v>23</v>
      </c>
      <c r="K13" s="828">
        <f t="shared" si="3"/>
        <v>23</v>
      </c>
      <c r="L13" s="735"/>
      <c r="M13" s="735">
        <f t="shared" si="4"/>
        <v>23</v>
      </c>
      <c r="N13" s="735">
        <v>165</v>
      </c>
      <c r="O13" s="735">
        <v>142</v>
      </c>
      <c r="P13" s="575"/>
      <c r="Q13" s="575"/>
      <c r="R13" s="575"/>
    </row>
    <row r="14" spans="1:18" ht="12" customHeight="1">
      <c r="A14" s="582" t="s">
        <v>581</v>
      </c>
      <c r="B14" s="575">
        <v>1166</v>
      </c>
      <c r="C14" s="734">
        <v>670</v>
      </c>
      <c r="D14" s="734">
        <v>409</v>
      </c>
      <c r="E14" s="734"/>
      <c r="F14" s="735">
        <f t="shared" si="0"/>
        <v>1079</v>
      </c>
      <c r="G14" s="735">
        <f t="shared" si="1"/>
        <v>87</v>
      </c>
      <c r="H14" s="735"/>
      <c r="I14" s="735">
        <f>G14-H14</f>
        <v>87</v>
      </c>
      <c r="J14" s="735">
        <f t="shared" si="2"/>
        <v>-87</v>
      </c>
      <c r="K14" s="828">
        <f t="shared" si="3"/>
        <v>-87</v>
      </c>
      <c r="L14" s="735"/>
      <c r="M14" s="735">
        <f t="shared" si="4"/>
        <v>-87</v>
      </c>
      <c r="N14" s="735">
        <v>74</v>
      </c>
      <c r="O14" s="735">
        <v>161</v>
      </c>
      <c r="P14" s="575"/>
      <c r="Q14" s="575"/>
      <c r="R14" s="575"/>
    </row>
    <row r="15" spans="1:18" ht="12" customHeight="1">
      <c r="A15" s="582" t="s">
        <v>582</v>
      </c>
      <c r="B15" s="575">
        <v>657</v>
      </c>
      <c r="C15" s="65">
        <v>258</v>
      </c>
      <c r="D15" s="65">
        <v>352</v>
      </c>
      <c r="E15" s="65"/>
      <c r="F15" s="575">
        <f t="shared" si="0"/>
        <v>610</v>
      </c>
      <c r="G15" s="575">
        <f t="shared" si="1"/>
        <v>47</v>
      </c>
      <c r="H15" s="575">
        <v>68</v>
      </c>
      <c r="I15" s="575">
        <f>G15-H15</f>
        <v>-21</v>
      </c>
      <c r="J15" s="575">
        <f t="shared" si="2"/>
        <v>21</v>
      </c>
      <c r="K15" s="444">
        <f t="shared" si="3"/>
        <v>21</v>
      </c>
      <c r="L15" s="575"/>
      <c r="M15" s="575">
        <f t="shared" si="4"/>
        <v>21</v>
      </c>
      <c r="N15" s="575">
        <v>646</v>
      </c>
      <c r="O15" s="575">
        <v>625</v>
      </c>
      <c r="P15" s="575"/>
      <c r="Q15" s="575"/>
      <c r="R15" s="575"/>
    </row>
    <row r="16" spans="1:18" ht="12" customHeight="1">
      <c r="A16" s="582" t="s">
        <v>583</v>
      </c>
      <c r="B16" s="575">
        <v>179</v>
      </c>
      <c r="C16" s="65">
        <v>162</v>
      </c>
      <c r="D16" s="65">
        <v>33</v>
      </c>
      <c r="E16" s="65"/>
      <c r="F16" s="575">
        <f t="shared" si="0"/>
        <v>195</v>
      </c>
      <c r="G16" s="575">
        <f t="shared" si="1"/>
        <v>-16</v>
      </c>
      <c r="H16" s="575"/>
      <c r="I16" s="575">
        <f>G16+H16</f>
        <v>-16</v>
      </c>
      <c r="J16" s="575">
        <f t="shared" si="2"/>
        <v>16</v>
      </c>
      <c r="K16" s="444">
        <f t="shared" si="3"/>
        <v>16</v>
      </c>
      <c r="L16" s="575"/>
      <c r="M16" s="575">
        <f t="shared" si="4"/>
        <v>16</v>
      </c>
      <c r="N16" s="575">
        <v>73</v>
      </c>
      <c r="O16" s="575">
        <v>57</v>
      </c>
      <c r="P16" s="575"/>
      <c r="Q16" s="575"/>
      <c r="R16" s="575"/>
    </row>
    <row r="17" spans="1:18" ht="12" customHeight="1">
      <c r="A17" s="583" t="s">
        <v>584</v>
      </c>
      <c r="B17" s="575">
        <v>1373</v>
      </c>
      <c r="C17" s="65">
        <v>515</v>
      </c>
      <c r="D17" s="65">
        <v>1223</v>
      </c>
      <c r="E17" s="65"/>
      <c r="F17" s="575">
        <f t="shared" si="0"/>
        <v>1738</v>
      </c>
      <c r="G17" s="575">
        <f t="shared" si="1"/>
        <v>-365</v>
      </c>
      <c r="H17" s="575">
        <v>-1891</v>
      </c>
      <c r="I17" s="575">
        <f>G17-H17</f>
        <v>1526</v>
      </c>
      <c r="J17" s="575">
        <f t="shared" si="2"/>
        <v>-1526</v>
      </c>
      <c r="K17" s="444">
        <f t="shared" si="3"/>
        <v>-1526</v>
      </c>
      <c r="L17" s="575"/>
      <c r="M17" s="575">
        <f t="shared" si="4"/>
        <v>-1526</v>
      </c>
      <c r="N17" s="575">
        <v>1125</v>
      </c>
      <c r="O17" s="575">
        <v>2651</v>
      </c>
      <c r="P17" s="575"/>
      <c r="Q17" s="575"/>
      <c r="R17" s="575"/>
    </row>
    <row r="18" spans="1:18" ht="12" customHeight="1">
      <c r="A18" s="584" t="s">
        <v>585</v>
      </c>
      <c r="B18" s="735">
        <f>SUM(B11:B17)</f>
        <v>12983</v>
      </c>
      <c r="C18" s="735">
        <f>SUM(C11:C17)</f>
        <v>6223</v>
      </c>
      <c r="D18" s="735">
        <f>SUM(D11:D17)</f>
        <v>3703</v>
      </c>
      <c r="E18" s="735">
        <f>SUM(E11:E17)</f>
        <v>0</v>
      </c>
      <c r="F18" s="735">
        <f>SUM(F11:F17)</f>
        <v>9926</v>
      </c>
      <c r="G18" s="735">
        <f t="shared" si="1"/>
        <v>3057</v>
      </c>
      <c r="H18" s="735">
        <f>SUM(H11:H17)</f>
        <v>-1766</v>
      </c>
      <c r="I18" s="735">
        <f>SUM(I11:I17)</f>
        <v>4823</v>
      </c>
      <c r="J18" s="735">
        <f t="shared" si="2"/>
        <v>-4823</v>
      </c>
      <c r="K18" s="828">
        <f t="shared" si="3"/>
        <v>-4823</v>
      </c>
      <c r="L18" s="735">
        <f>SUM(L11:L17)</f>
        <v>0</v>
      </c>
      <c r="M18" s="735">
        <f t="shared" si="4"/>
        <v>-4823</v>
      </c>
      <c r="N18" s="735">
        <f>SUM(N11:N17)</f>
        <v>12695</v>
      </c>
      <c r="O18" s="735">
        <f>SUM(O11:O17)</f>
        <v>17518</v>
      </c>
      <c r="P18" s="575">
        <f>SUM(P11:P17)</f>
        <v>0</v>
      </c>
      <c r="Q18" s="575">
        <f>SUM(Q11:Q17)</f>
        <v>0</v>
      </c>
      <c r="R18" s="575">
        <f>SUM(R11:R17)</f>
        <v>0</v>
      </c>
    </row>
    <row r="19" spans="1:18" ht="12.75">
      <c r="A19" s="585" t="s">
        <v>587</v>
      </c>
      <c r="B19" s="735">
        <v>285</v>
      </c>
      <c r="C19" s="734">
        <v>249</v>
      </c>
      <c r="D19" s="734">
        <v>14</v>
      </c>
      <c r="E19" s="734"/>
      <c r="F19" s="735">
        <f aca="true" t="shared" si="5" ref="F19:F44">SUM(C19:E19)</f>
        <v>263</v>
      </c>
      <c r="G19" s="735">
        <f t="shared" si="1"/>
        <v>22</v>
      </c>
      <c r="H19" s="735">
        <v>1</v>
      </c>
      <c r="I19" s="735">
        <f aca="true" t="shared" si="6" ref="I19:I44">G19-H19</f>
        <v>21</v>
      </c>
      <c r="J19" s="735">
        <f t="shared" si="2"/>
        <v>-21</v>
      </c>
      <c r="K19" s="828">
        <f t="shared" si="3"/>
        <v>-21</v>
      </c>
      <c r="L19" s="735"/>
      <c r="M19" s="735">
        <f t="shared" si="4"/>
        <v>-21</v>
      </c>
      <c r="N19" s="735">
        <v>134</v>
      </c>
      <c r="O19" s="735">
        <v>155</v>
      </c>
      <c r="P19" s="575"/>
      <c r="Q19" s="575"/>
      <c r="R19" s="575"/>
    </row>
    <row r="20" spans="1:18" ht="12" customHeight="1">
      <c r="A20" s="582" t="s">
        <v>588</v>
      </c>
      <c r="B20" s="735">
        <v>227</v>
      </c>
      <c r="C20" s="734">
        <v>206</v>
      </c>
      <c r="D20" s="734">
        <v>3</v>
      </c>
      <c r="E20" s="734"/>
      <c r="F20" s="735">
        <f t="shared" si="5"/>
        <v>209</v>
      </c>
      <c r="G20" s="735">
        <f t="shared" si="1"/>
        <v>18</v>
      </c>
      <c r="H20" s="735">
        <v>-8</v>
      </c>
      <c r="I20" s="735">
        <f t="shared" si="6"/>
        <v>26</v>
      </c>
      <c r="J20" s="735">
        <f t="shared" si="2"/>
        <v>-26</v>
      </c>
      <c r="K20" s="828">
        <f t="shared" si="3"/>
        <v>-26</v>
      </c>
      <c r="L20" s="735">
        <v>-6</v>
      </c>
      <c r="M20" s="735">
        <f t="shared" si="4"/>
        <v>-18</v>
      </c>
      <c r="N20" s="735">
        <v>121</v>
      </c>
      <c r="O20" s="735">
        <v>139</v>
      </c>
      <c r="P20" s="575"/>
      <c r="Q20" s="575">
        <v>-2</v>
      </c>
      <c r="R20" s="575"/>
    </row>
    <row r="21" spans="1:18" ht="12" customHeight="1">
      <c r="A21" s="582" t="s">
        <v>589</v>
      </c>
      <c r="B21" s="735">
        <v>256</v>
      </c>
      <c r="C21" s="734">
        <v>232</v>
      </c>
      <c r="D21" s="734">
        <v>1</v>
      </c>
      <c r="E21" s="734"/>
      <c r="F21" s="735">
        <f t="shared" si="5"/>
        <v>233</v>
      </c>
      <c r="G21" s="735">
        <f t="shared" si="1"/>
        <v>23</v>
      </c>
      <c r="H21" s="735">
        <v>4</v>
      </c>
      <c r="I21" s="735">
        <f t="shared" si="6"/>
        <v>19</v>
      </c>
      <c r="J21" s="735">
        <f t="shared" si="2"/>
        <v>-19</v>
      </c>
      <c r="K21" s="828">
        <f t="shared" si="3"/>
        <v>-19</v>
      </c>
      <c r="L21" s="735"/>
      <c r="M21" s="735">
        <f t="shared" si="4"/>
        <v>-19</v>
      </c>
      <c r="N21" s="735">
        <v>86</v>
      </c>
      <c r="O21" s="735">
        <v>105</v>
      </c>
      <c r="P21" s="575"/>
      <c r="Q21" s="575"/>
      <c r="R21" s="575"/>
    </row>
    <row r="22" spans="1:18" ht="12" customHeight="1">
      <c r="A22" s="582" t="s">
        <v>590</v>
      </c>
      <c r="B22" s="735">
        <v>352</v>
      </c>
      <c r="C22" s="734">
        <v>318</v>
      </c>
      <c r="D22" s="734">
        <v>12</v>
      </c>
      <c r="E22" s="734"/>
      <c r="F22" s="735">
        <f t="shared" si="5"/>
        <v>330</v>
      </c>
      <c r="G22" s="735">
        <f t="shared" si="1"/>
        <v>22</v>
      </c>
      <c r="H22" s="735">
        <v>-6</v>
      </c>
      <c r="I22" s="735">
        <f t="shared" si="6"/>
        <v>28</v>
      </c>
      <c r="J22" s="735">
        <f t="shared" si="2"/>
        <v>-28</v>
      </c>
      <c r="K22" s="828">
        <f t="shared" si="3"/>
        <v>-28</v>
      </c>
      <c r="L22" s="735"/>
      <c r="M22" s="735">
        <f t="shared" si="4"/>
        <v>-28</v>
      </c>
      <c r="N22" s="735">
        <v>174</v>
      </c>
      <c r="O22" s="735">
        <v>202</v>
      </c>
      <c r="P22" s="575"/>
      <c r="Q22" s="575"/>
      <c r="R22" s="575"/>
    </row>
    <row r="23" spans="1:18" ht="12" customHeight="1">
      <c r="A23" s="582" t="s">
        <v>591</v>
      </c>
      <c r="B23" s="735">
        <v>605</v>
      </c>
      <c r="C23" s="734">
        <v>521</v>
      </c>
      <c r="D23" s="734">
        <v>87</v>
      </c>
      <c r="E23" s="734"/>
      <c r="F23" s="735">
        <f t="shared" si="5"/>
        <v>608</v>
      </c>
      <c r="G23" s="735">
        <f t="shared" si="1"/>
        <v>-3</v>
      </c>
      <c r="H23" s="735">
        <v>-14</v>
      </c>
      <c r="I23" s="735">
        <f t="shared" si="6"/>
        <v>11</v>
      </c>
      <c r="J23" s="735">
        <f t="shared" si="2"/>
        <v>-11</v>
      </c>
      <c r="K23" s="828">
        <f t="shared" si="3"/>
        <v>-11</v>
      </c>
      <c r="L23" s="735">
        <v>2</v>
      </c>
      <c r="M23" s="735">
        <f t="shared" si="4"/>
        <v>-13</v>
      </c>
      <c r="N23" s="735">
        <v>144</v>
      </c>
      <c r="O23" s="735">
        <v>157</v>
      </c>
      <c r="P23" s="575"/>
      <c r="Q23" s="575"/>
      <c r="R23" s="575"/>
    </row>
    <row r="24" spans="1:18" ht="12.75">
      <c r="A24" s="582" t="s">
        <v>592</v>
      </c>
      <c r="B24" s="735">
        <v>432</v>
      </c>
      <c r="C24" s="734">
        <v>305</v>
      </c>
      <c r="D24" s="734">
        <v>110</v>
      </c>
      <c r="E24" s="734"/>
      <c r="F24" s="735">
        <f t="shared" si="5"/>
        <v>415</v>
      </c>
      <c r="G24" s="735">
        <f t="shared" si="1"/>
        <v>17</v>
      </c>
      <c r="H24" s="735"/>
      <c r="I24" s="735">
        <f t="shared" si="6"/>
        <v>17</v>
      </c>
      <c r="J24" s="735">
        <f t="shared" si="2"/>
        <v>-17</v>
      </c>
      <c r="K24" s="828">
        <f t="shared" si="3"/>
        <v>-17</v>
      </c>
      <c r="L24" s="735"/>
      <c r="M24" s="735">
        <f t="shared" si="4"/>
        <v>-17</v>
      </c>
      <c r="N24" s="735">
        <v>99</v>
      </c>
      <c r="O24" s="735">
        <v>116</v>
      </c>
      <c r="P24" s="575"/>
      <c r="Q24" s="575"/>
      <c r="R24" s="575"/>
    </row>
    <row r="25" spans="1:18" ht="12" customHeight="1">
      <c r="A25" s="582" t="s">
        <v>593</v>
      </c>
      <c r="B25" s="735">
        <v>257</v>
      </c>
      <c r="C25" s="734">
        <v>243</v>
      </c>
      <c r="D25" s="734">
        <v>126</v>
      </c>
      <c r="E25" s="734"/>
      <c r="F25" s="735">
        <f t="shared" si="5"/>
        <v>369</v>
      </c>
      <c r="G25" s="735">
        <f t="shared" si="1"/>
        <v>-112</v>
      </c>
      <c r="H25" s="735">
        <v>3</v>
      </c>
      <c r="I25" s="735">
        <f t="shared" si="6"/>
        <v>-115</v>
      </c>
      <c r="J25" s="735">
        <f t="shared" si="2"/>
        <v>115</v>
      </c>
      <c r="K25" s="828">
        <f t="shared" si="3"/>
        <v>115</v>
      </c>
      <c r="L25" s="735"/>
      <c r="M25" s="735">
        <f t="shared" si="4"/>
        <v>115</v>
      </c>
      <c r="N25" s="735">
        <v>227</v>
      </c>
      <c r="O25" s="735">
        <v>112</v>
      </c>
      <c r="P25" s="575"/>
      <c r="Q25" s="575"/>
      <c r="R25" s="575"/>
    </row>
    <row r="26" spans="1:18" ht="12" customHeight="1">
      <c r="A26" s="582" t="s">
        <v>594</v>
      </c>
      <c r="B26" s="735">
        <v>227</v>
      </c>
      <c r="C26" s="734">
        <v>273</v>
      </c>
      <c r="D26" s="734">
        <v>10</v>
      </c>
      <c r="E26" s="734"/>
      <c r="F26" s="735">
        <f t="shared" si="5"/>
        <v>283</v>
      </c>
      <c r="G26" s="735">
        <f t="shared" si="1"/>
        <v>-56</v>
      </c>
      <c r="H26" s="735">
        <v>-4</v>
      </c>
      <c r="I26" s="735">
        <f t="shared" si="6"/>
        <v>-52</v>
      </c>
      <c r="J26" s="735">
        <f t="shared" si="2"/>
        <v>52</v>
      </c>
      <c r="K26" s="828">
        <f t="shared" si="3"/>
        <v>52</v>
      </c>
      <c r="L26" s="735">
        <v>-1</v>
      </c>
      <c r="M26" s="735">
        <f t="shared" si="4"/>
        <v>53</v>
      </c>
      <c r="N26" s="735">
        <v>135</v>
      </c>
      <c r="O26" s="735">
        <v>82</v>
      </c>
      <c r="P26" s="575"/>
      <c r="Q26" s="575"/>
      <c r="R26" s="575"/>
    </row>
    <row r="27" spans="1:18" ht="12" customHeight="1">
      <c r="A27" s="582" t="s">
        <v>595</v>
      </c>
      <c r="B27" s="735">
        <v>266</v>
      </c>
      <c r="C27" s="734">
        <v>235</v>
      </c>
      <c r="D27" s="734">
        <v>6</v>
      </c>
      <c r="E27" s="734"/>
      <c r="F27" s="735">
        <f t="shared" si="5"/>
        <v>241</v>
      </c>
      <c r="G27" s="735">
        <f t="shared" si="1"/>
        <v>25</v>
      </c>
      <c r="H27" s="735">
        <v>-12</v>
      </c>
      <c r="I27" s="735">
        <f t="shared" si="6"/>
        <v>37</v>
      </c>
      <c r="J27" s="735">
        <f t="shared" si="2"/>
        <v>-37</v>
      </c>
      <c r="K27" s="828">
        <f t="shared" si="3"/>
        <v>-37</v>
      </c>
      <c r="L27" s="735"/>
      <c r="M27" s="735">
        <f t="shared" si="4"/>
        <v>-17</v>
      </c>
      <c r="N27" s="735">
        <v>112</v>
      </c>
      <c r="O27" s="735">
        <v>129</v>
      </c>
      <c r="P27" s="575">
        <v>-20</v>
      </c>
      <c r="Q27" s="575"/>
      <c r="R27" s="575"/>
    </row>
    <row r="28" spans="1:18" ht="12" customHeight="1">
      <c r="A28" s="582" t="s">
        <v>596</v>
      </c>
      <c r="B28" s="735">
        <v>436</v>
      </c>
      <c r="C28" s="734">
        <v>300</v>
      </c>
      <c r="D28" s="734">
        <v>89</v>
      </c>
      <c r="E28" s="734"/>
      <c r="F28" s="735">
        <f t="shared" si="5"/>
        <v>389</v>
      </c>
      <c r="G28" s="735">
        <f t="shared" si="1"/>
        <v>47</v>
      </c>
      <c r="H28" s="735">
        <v>-20</v>
      </c>
      <c r="I28" s="735">
        <f t="shared" si="6"/>
        <v>67</v>
      </c>
      <c r="J28" s="735">
        <f t="shared" si="2"/>
        <v>-67</v>
      </c>
      <c r="K28" s="828">
        <f t="shared" si="3"/>
        <v>-67</v>
      </c>
      <c r="L28" s="735"/>
      <c r="M28" s="735">
        <f t="shared" si="4"/>
        <v>-60</v>
      </c>
      <c r="N28" s="735">
        <v>112</v>
      </c>
      <c r="O28" s="735">
        <v>172</v>
      </c>
      <c r="P28" s="575"/>
      <c r="Q28" s="575">
        <v>-7</v>
      </c>
      <c r="R28" s="575"/>
    </row>
    <row r="29" spans="1:18" ht="12.75">
      <c r="A29" s="582" t="s">
        <v>597</v>
      </c>
      <c r="B29" s="735">
        <v>368</v>
      </c>
      <c r="C29" s="734">
        <v>363</v>
      </c>
      <c r="D29" s="734">
        <v>3</v>
      </c>
      <c r="E29" s="734"/>
      <c r="F29" s="735">
        <f t="shared" si="5"/>
        <v>366</v>
      </c>
      <c r="G29" s="735">
        <f t="shared" si="1"/>
        <v>2</v>
      </c>
      <c r="H29" s="735">
        <v>2</v>
      </c>
      <c r="I29" s="735">
        <f t="shared" si="6"/>
        <v>0</v>
      </c>
      <c r="J29" s="735">
        <f t="shared" si="2"/>
        <v>0</v>
      </c>
      <c r="K29" s="828">
        <f t="shared" si="3"/>
        <v>0</v>
      </c>
      <c r="L29" s="735">
        <v>-1</v>
      </c>
      <c r="M29" s="735">
        <f t="shared" si="4"/>
        <v>1</v>
      </c>
      <c r="N29" s="735">
        <v>134</v>
      </c>
      <c r="O29" s="735">
        <v>133</v>
      </c>
      <c r="P29" s="575"/>
      <c r="Q29" s="575"/>
      <c r="R29" s="575"/>
    </row>
    <row r="30" spans="1:18" ht="12" customHeight="1">
      <c r="A30" s="582" t="s">
        <v>598</v>
      </c>
      <c r="B30" s="735">
        <v>349</v>
      </c>
      <c r="C30" s="734">
        <v>330</v>
      </c>
      <c r="D30" s="734">
        <v>91</v>
      </c>
      <c r="E30" s="734"/>
      <c r="F30" s="735">
        <f t="shared" si="5"/>
        <v>421</v>
      </c>
      <c r="G30" s="735">
        <f t="shared" si="1"/>
        <v>-72</v>
      </c>
      <c r="H30" s="735">
        <v>21</v>
      </c>
      <c r="I30" s="735">
        <f t="shared" si="6"/>
        <v>-93</v>
      </c>
      <c r="J30" s="735">
        <f t="shared" si="2"/>
        <v>93</v>
      </c>
      <c r="K30" s="828">
        <f t="shared" si="3"/>
        <v>93</v>
      </c>
      <c r="L30" s="735">
        <v>-19</v>
      </c>
      <c r="M30" s="735">
        <f t="shared" si="4"/>
        <v>152</v>
      </c>
      <c r="N30" s="735">
        <v>287</v>
      </c>
      <c r="O30" s="735">
        <v>135</v>
      </c>
      <c r="P30" s="575"/>
      <c r="Q30" s="575">
        <v>-40</v>
      </c>
      <c r="R30" s="575"/>
    </row>
    <row r="31" spans="1:18" ht="12" customHeight="1">
      <c r="A31" s="582" t="s">
        <v>599</v>
      </c>
      <c r="B31" s="735">
        <v>411</v>
      </c>
      <c r="C31" s="734">
        <v>410</v>
      </c>
      <c r="D31" s="734">
        <v>31</v>
      </c>
      <c r="E31" s="734"/>
      <c r="F31" s="735">
        <f t="shared" si="5"/>
        <v>441</v>
      </c>
      <c r="G31" s="735">
        <f t="shared" si="1"/>
        <v>-30</v>
      </c>
      <c r="H31" s="735">
        <v>59</v>
      </c>
      <c r="I31" s="735">
        <f t="shared" si="6"/>
        <v>-89</v>
      </c>
      <c r="J31" s="735">
        <f t="shared" si="2"/>
        <v>89</v>
      </c>
      <c r="K31" s="828">
        <f t="shared" si="3"/>
        <v>89</v>
      </c>
      <c r="L31" s="735">
        <v>5</v>
      </c>
      <c r="M31" s="735">
        <f t="shared" si="4"/>
        <v>84</v>
      </c>
      <c r="N31" s="735">
        <v>228</v>
      </c>
      <c r="O31" s="735">
        <v>144</v>
      </c>
      <c r="P31" s="575"/>
      <c r="Q31" s="575"/>
      <c r="R31" s="575"/>
    </row>
    <row r="32" spans="1:18" ht="12" customHeight="1">
      <c r="A32" s="582" t="s">
        <v>600</v>
      </c>
      <c r="B32" s="735">
        <v>506</v>
      </c>
      <c r="C32" s="734">
        <v>437</v>
      </c>
      <c r="D32" s="734">
        <v>25</v>
      </c>
      <c r="E32" s="734"/>
      <c r="F32" s="735">
        <f t="shared" si="5"/>
        <v>462</v>
      </c>
      <c r="G32" s="735">
        <f t="shared" si="1"/>
        <v>44</v>
      </c>
      <c r="H32" s="735">
        <v>10</v>
      </c>
      <c r="I32" s="735">
        <f t="shared" si="6"/>
        <v>34</v>
      </c>
      <c r="J32" s="735">
        <f t="shared" si="2"/>
        <v>-34</v>
      </c>
      <c r="K32" s="828">
        <f t="shared" si="3"/>
        <v>-34</v>
      </c>
      <c r="L32" s="735">
        <v>1</v>
      </c>
      <c r="M32" s="735">
        <f t="shared" si="4"/>
        <v>-35</v>
      </c>
      <c r="N32" s="735">
        <v>145</v>
      </c>
      <c r="O32" s="735">
        <v>180</v>
      </c>
      <c r="P32" s="575"/>
      <c r="Q32" s="575"/>
      <c r="R32" s="575"/>
    </row>
    <row r="33" spans="1:18" ht="12" customHeight="1">
      <c r="A33" s="582" t="s">
        <v>601</v>
      </c>
      <c r="B33" s="735">
        <v>328</v>
      </c>
      <c r="C33" s="734">
        <v>316</v>
      </c>
      <c r="D33" s="734">
        <v>5</v>
      </c>
      <c r="E33" s="734"/>
      <c r="F33" s="735">
        <f t="shared" si="5"/>
        <v>321</v>
      </c>
      <c r="G33" s="735">
        <f t="shared" si="1"/>
        <v>7</v>
      </c>
      <c r="H33" s="735">
        <v>3</v>
      </c>
      <c r="I33" s="735">
        <f t="shared" si="6"/>
        <v>4</v>
      </c>
      <c r="J33" s="735">
        <f t="shared" si="2"/>
        <v>-4</v>
      </c>
      <c r="K33" s="828">
        <f t="shared" si="3"/>
        <v>-4</v>
      </c>
      <c r="L33" s="735">
        <v>1</v>
      </c>
      <c r="M33" s="735">
        <f t="shared" si="4"/>
        <v>-5</v>
      </c>
      <c r="N33" s="735">
        <v>134</v>
      </c>
      <c r="O33" s="735">
        <v>139</v>
      </c>
      <c r="P33" s="575"/>
      <c r="Q33" s="575"/>
      <c r="R33" s="575"/>
    </row>
    <row r="34" spans="1:18" ht="12" customHeight="1">
      <c r="A34" s="582" t="s">
        <v>602</v>
      </c>
      <c r="B34" s="575">
        <v>459</v>
      </c>
      <c r="C34" s="734">
        <v>384</v>
      </c>
      <c r="D34" s="734">
        <v>11</v>
      </c>
      <c r="E34" s="734"/>
      <c r="F34" s="735">
        <f t="shared" si="5"/>
        <v>395</v>
      </c>
      <c r="G34" s="735">
        <f t="shared" si="1"/>
        <v>64</v>
      </c>
      <c r="H34" s="735">
        <v>3</v>
      </c>
      <c r="I34" s="735">
        <f t="shared" si="6"/>
        <v>61</v>
      </c>
      <c r="J34" s="735">
        <f t="shared" si="2"/>
        <v>-61</v>
      </c>
      <c r="K34" s="828">
        <f t="shared" si="3"/>
        <v>-61</v>
      </c>
      <c r="L34" s="735"/>
      <c r="M34" s="735">
        <f t="shared" si="4"/>
        <v>-61</v>
      </c>
      <c r="N34" s="735">
        <v>130</v>
      </c>
      <c r="O34" s="735">
        <v>191</v>
      </c>
      <c r="P34" s="575"/>
      <c r="Q34" s="575"/>
      <c r="R34" s="575"/>
    </row>
    <row r="35" spans="1:18" ht="12" customHeight="1">
      <c r="A35" s="582" t="s">
        <v>603</v>
      </c>
      <c r="B35" s="575">
        <v>267</v>
      </c>
      <c r="C35" s="734">
        <v>251</v>
      </c>
      <c r="D35" s="734">
        <v>18</v>
      </c>
      <c r="E35" s="734"/>
      <c r="F35" s="735">
        <f t="shared" si="5"/>
        <v>269</v>
      </c>
      <c r="G35" s="735">
        <f t="shared" si="1"/>
        <v>-2</v>
      </c>
      <c r="H35" s="735"/>
      <c r="I35" s="735">
        <f t="shared" si="6"/>
        <v>-2</v>
      </c>
      <c r="J35" s="735">
        <f t="shared" si="2"/>
        <v>2</v>
      </c>
      <c r="K35" s="828">
        <f t="shared" si="3"/>
        <v>2</v>
      </c>
      <c r="L35" s="735"/>
      <c r="M35" s="735">
        <f t="shared" si="4"/>
        <v>-2</v>
      </c>
      <c r="N35" s="735">
        <v>160</v>
      </c>
      <c r="O35" s="735">
        <v>162</v>
      </c>
      <c r="P35" s="575"/>
      <c r="Q35" s="575">
        <v>4</v>
      </c>
      <c r="R35" s="575"/>
    </row>
    <row r="36" spans="1:18" ht="12" customHeight="1">
      <c r="A36" s="582" t="s">
        <v>604</v>
      </c>
      <c r="B36" s="575">
        <v>608</v>
      </c>
      <c r="C36" s="734">
        <v>569</v>
      </c>
      <c r="D36" s="734">
        <v>118</v>
      </c>
      <c r="E36" s="734"/>
      <c r="F36" s="735">
        <f t="shared" si="5"/>
        <v>687</v>
      </c>
      <c r="G36" s="735">
        <f t="shared" si="1"/>
        <v>-79</v>
      </c>
      <c r="H36" s="735">
        <v>-3</v>
      </c>
      <c r="I36" s="735">
        <f t="shared" si="6"/>
        <v>-76</v>
      </c>
      <c r="J36" s="735">
        <f t="shared" si="2"/>
        <v>76</v>
      </c>
      <c r="K36" s="828">
        <f t="shared" si="3"/>
        <v>76</v>
      </c>
      <c r="L36" s="735">
        <v>-12</v>
      </c>
      <c r="M36" s="735">
        <f t="shared" si="4"/>
        <v>88</v>
      </c>
      <c r="N36" s="735">
        <v>191</v>
      </c>
      <c r="O36" s="735">
        <v>103</v>
      </c>
      <c r="P36" s="575"/>
      <c r="Q36" s="575"/>
      <c r="R36" s="575"/>
    </row>
    <row r="37" spans="1:18" ht="12" customHeight="1">
      <c r="A37" s="582" t="s">
        <v>605</v>
      </c>
      <c r="B37" s="575">
        <v>343</v>
      </c>
      <c r="C37" s="734">
        <v>323</v>
      </c>
      <c r="D37" s="734">
        <v>22</v>
      </c>
      <c r="E37" s="734"/>
      <c r="F37" s="735">
        <f t="shared" si="5"/>
        <v>345</v>
      </c>
      <c r="G37" s="735">
        <f t="shared" si="1"/>
        <v>-2</v>
      </c>
      <c r="H37" s="735"/>
      <c r="I37" s="735">
        <f t="shared" si="6"/>
        <v>-2</v>
      </c>
      <c r="J37" s="735">
        <f t="shared" si="2"/>
        <v>2</v>
      </c>
      <c r="K37" s="828">
        <f t="shared" si="3"/>
        <v>2</v>
      </c>
      <c r="L37" s="735"/>
      <c r="M37" s="735">
        <f t="shared" si="4"/>
        <v>2</v>
      </c>
      <c r="N37" s="735">
        <v>128</v>
      </c>
      <c r="O37" s="735">
        <v>126</v>
      </c>
      <c r="P37" s="575"/>
      <c r="Q37" s="575"/>
      <c r="R37" s="575"/>
    </row>
    <row r="38" spans="1:18" ht="12" customHeight="1">
      <c r="A38" s="582" t="s">
        <v>606</v>
      </c>
      <c r="B38" s="575">
        <v>1140</v>
      </c>
      <c r="C38" s="734">
        <v>958</v>
      </c>
      <c r="D38" s="734">
        <v>55</v>
      </c>
      <c r="E38" s="734"/>
      <c r="F38" s="735">
        <f t="shared" si="5"/>
        <v>1013</v>
      </c>
      <c r="G38" s="735">
        <f t="shared" si="1"/>
        <v>127</v>
      </c>
      <c r="H38" s="735">
        <v>-16</v>
      </c>
      <c r="I38" s="735">
        <f t="shared" si="6"/>
        <v>143</v>
      </c>
      <c r="J38" s="735">
        <f t="shared" si="2"/>
        <v>-143</v>
      </c>
      <c r="K38" s="828">
        <f t="shared" si="3"/>
        <v>-143</v>
      </c>
      <c r="L38" s="735"/>
      <c r="M38" s="735">
        <f t="shared" si="4"/>
        <v>-143</v>
      </c>
      <c r="N38" s="735">
        <v>368</v>
      </c>
      <c r="O38" s="735">
        <v>511</v>
      </c>
      <c r="P38" s="575"/>
      <c r="Q38" s="575"/>
      <c r="R38" s="575"/>
    </row>
    <row r="39" spans="1:18" ht="12" customHeight="1">
      <c r="A39" s="582" t="s">
        <v>607</v>
      </c>
      <c r="B39" s="575">
        <v>212</v>
      </c>
      <c r="C39" s="734">
        <v>165</v>
      </c>
      <c r="D39" s="734">
        <v>40</v>
      </c>
      <c r="E39" s="734"/>
      <c r="F39" s="735">
        <f t="shared" si="5"/>
        <v>205</v>
      </c>
      <c r="G39" s="735">
        <f t="shared" si="1"/>
        <v>7</v>
      </c>
      <c r="H39" s="735">
        <v>15</v>
      </c>
      <c r="I39" s="735">
        <f t="shared" si="6"/>
        <v>-8</v>
      </c>
      <c r="J39" s="735">
        <f t="shared" si="2"/>
        <v>8</v>
      </c>
      <c r="K39" s="828">
        <f t="shared" si="3"/>
        <v>8</v>
      </c>
      <c r="L39" s="735">
        <v>1</v>
      </c>
      <c r="M39" s="735">
        <f t="shared" si="4"/>
        <v>7</v>
      </c>
      <c r="N39" s="735">
        <v>154</v>
      </c>
      <c r="O39" s="735">
        <v>147</v>
      </c>
      <c r="P39" s="575"/>
      <c r="Q39" s="575"/>
      <c r="R39" s="575"/>
    </row>
    <row r="40" spans="1:18" ht="12" customHeight="1">
      <c r="A40" s="582" t="s">
        <v>608</v>
      </c>
      <c r="B40" s="575">
        <v>309</v>
      </c>
      <c r="C40" s="734">
        <v>262</v>
      </c>
      <c r="D40" s="734">
        <v>48</v>
      </c>
      <c r="E40" s="734"/>
      <c r="F40" s="735">
        <f t="shared" si="5"/>
        <v>310</v>
      </c>
      <c r="G40" s="735">
        <f t="shared" si="1"/>
        <v>-1</v>
      </c>
      <c r="H40" s="735">
        <v>20</v>
      </c>
      <c r="I40" s="735">
        <f t="shared" si="6"/>
        <v>-21</v>
      </c>
      <c r="J40" s="735">
        <f t="shared" si="2"/>
        <v>21</v>
      </c>
      <c r="K40" s="828">
        <f t="shared" si="3"/>
        <v>21</v>
      </c>
      <c r="L40" s="735">
        <v>-1</v>
      </c>
      <c r="M40" s="735">
        <f t="shared" si="4"/>
        <v>22</v>
      </c>
      <c r="N40" s="735">
        <v>350</v>
      </c>
      <c r="O40" s="735">
        <v>328</v>
      </c>
      <c r="P40" s="575"/>
      <c r="Q40" s="575"/>
      <c r="R40" s="575"/>
    </row>
    <row r="41" spans="1:18" ht="12" customHeight="1">
      <c r="A41" s="582" t="s">
        <v>609</v>
      </c>
      <c r="B41" s="575">
        <v>335</v>
      </c>
      <c r="C41" s="65">
        <v>472</v>
      </c>
      <c r="D41" s="65">
        <v>73</v>
      </c>
      <c r="E41" s="65"/>
      <c r="F41" s="575">
        <f t="shared" si="5"/>
        <v>545</v>
      </c>
      <c r="G41" s="575">
        <f t="shared" si="1"/>
        <v>-210</v>
      </c>
      <c r="H41" s="575">
        <v>4</v>
      </c>
      <c r="I41" s="575">
        <f t="shared" si="6"/>
        <v>-214</v>
      </c>
      <c r="J41" s="575">
        <f t="shared" si="2"/>
        <v>214</v>
      </c>
      <c r="K41" s="444">
        <f t="shared" si="3"/>
        <v>214</v>
      </c>
      <c r="L41" s="575">
        <v>1</v>
      </c>
      <c r="M41" s="575">
        <f t="shared" si="4"/>
        <v>208</v>
      </c>
      <c r="N41" s="575">
        <v>448</v>
      </c>
      <c r="O41" s="575">
        <v>240</v>
      </c>
      <c r="P41" s="575"/>
      <c r="Q41" s="575">
        <v>5</v>
      </c>
      <c r="R41" s="575"/>
    </row>
    <row r="42" spans="1:18" ht="12" customHeight="1">
      <c r="A42" s="582" t="s">
        <v>610</v>
      </c>
      <c r="B42" s="575">
        <v>236</v>
      </c>
      <c r="C42" s="65">
        <v>200</v>
      </c>
      <c r="D42" s="65">
        <v>6</v>
      </c>
      <c r="E42" s="65"/>
      <c r="F42" s="575">
        <f t="shared" si="5"/>
        <v>206</v>
      </c>
      <c r="G42" s="575">
        <f t="shared" si="1"/>
        <v>30</v>
      </c>
      <c r="H42" s="575">
        <v>2</v>
      </c>
      <c r="I42" s="575">
        <f t="shared" si="6"/>
        <v>28</v>
      </c>
      <c r="J42" s="575">
        <f t="shared" si="2"/>
        <v>-28</v>
      </c>
      <c r="K42" s="444">
        <f t="shared" si="3"/>
        <v>-28</v>
      </c>
      <c r="L42" s="575"/>
      <c r="M42" s="575">
        <f t="shared" si="4"/>
        <v>-28</v>
      </c>
      <c r="N42" s="575">
        <v>82</v>
      </c>
      <c r="O42" s="575">
        <v>110</v>
      </c>
      <c r="P42" s="575"/>
      <c r="Q42" s="575"/>
      <c r="R42" s="575"/>
    </row>
    <row r="43" spans="1:18" ht="12" customHeight="1">
      <c r="A43" s="582" t="s">
        <v>611</v>
      </c>
      <c r="B43" s="575">
        <v>386</v>
      </c>
      <c r="C43" s="65">
        <v>202</v>
      </c>
      <c r="D43" s="65">
        <v>30</v>
      </c>
      <c r="E43" s="65"/>
      <c r="F43" s="575">
        <f t="shared" si="5"/>
        <v>232</v>
      </c>
      <c r="G43" s="575">
        <f t="shared" si="1"/>
        <v>154</v>
      </c>
      <c r="H43" s="575">
        <v>-3</v>
      </c>
      <c r="I43" s="575">
        <f t="shared" si="6"/>
        <v>157</v>
      </c>
      <c r="J43" s="575">
        <f t="shared" si="2"/>
        <v>-157</v>
      </c>
      <c r="K43" s="444">
        <f t="shared" si="3"/>
        <v>-157</v>
      </c>
      <c r="L43" s="575"/>
      <c r="M43" s="575">
        <f t="shared" si="4"/>
        <v>-157</v>
      </c>
      <c r="N43" s="575">
        <v>239</v>
      </c>
      <c r="O43" s="575">
        <v>396</v>
      </c>
      <c r="P43" s="575"/>
      <c r="Q43" s="575"/>
      <c r="R43" s="575"/>
    </row>
    <row r="44" spans="1:18" ht="12" customHeight="1">
      <c r="A44" s="582" t="s">
        <v>612</v>
      </c>
      <c r="B44" s="575">
        <v>231</v>
      </c>
      <c r="C44" s="65">
        <v>226</v>
      </c>
      <c r="D44" s="65">
        <v>18</v>
      </c>
      <c r="E44" s="65"/>
      <c r="F44" s="575">
        <f t="shared" si="5"/>
        <v>244</v>
      </c>
      <c r="G44" s="575">
        <f t="shared" si="1"/>
        <v>-13</v>
      </c>
      <c r="H44" s="575">
        <v>6</v>
      </c>
      <c r="I44" s="575">
        <f t="shared" si="6"/>
        <v>-19</v>
      </c>
      <c r="J44" s="575">
        <f t="shared" si="2"/>
        <v>19</v>
      </c>
      <c r="K44" s="444">
        <f t="shared" si="3"/>
        <v>19</v>
      </c>
      <c r="L44" s="575"/>
      <c r="M44" s="575">
        <f t="shared" si="4"/>
        <v>19</v>
      </c>
      <c r="N44" s="735">
        <v>150</v>
      </c>
      <c r="O44" s="575">
        <v>131</v>
      </c>
      <c r="P44" s="575"/>
      <c r="Q44" s="575"/>
      <c r="R44" s="575"/>
    </row>
    <row r="45" spans="1:18" ht="12" customHeight="1">
      <c r="A45" s="584" t="s">
        <v>613</v>
      </c>
      <c r="B45" s="575">
        <f>SUM(B19:B44)</f>
        <v>9831</v>
      </c>
      <c r="C45" s="575">
        <f>SUM(C19:C44)</f>
        <v>8750</v>
      </c>
      <c r="D45" s="575">
        <f>SUM(D19:D44)</f>
        <v>1052</v>
      </c>
      <c r="E45" s="575">
        <f>SUM(E19:E44)</f>
        <v>0</v>
      </c>
      <c r="F45" s="575">
        <f>SUM(C45:D45)</f>
        <v>9802</v>
      </c>
      <c r="G45" s="575">
        <f t="shared" si="1"/>
        <v>29</v>
      </c>
      <c r="H45" s="575">
        <f>SUM(H19:H44)</f>
        <v>67</v>
      </c>
      <c r="I45" s="575">
        <f>SUM(I19:I44)</f>
        <v>-38</v>
      </c>
      <c r="J45" s="575">
        <f t="shared" si="2"/>
        <v>38</v>
      </c>
      <c r="K45" s="444">
        <f aca="true" t="shared" si="7" ref="K45:R45">SUM(K19:K44)</f>
        <v>38</v>
      </c>
      <c r="L45" s="575">
        <f t="shared" si="7"/>
        <v>-29</v>
      </c>
      <c r="M45" s="575">
        <f t="shared" si="7"/>
        <v>127</v>
      </c>
      <c r="N45" s="575">
        <f t="shared" si="7"/>
        <v>4672</v>
      </c>
      <c r="O45" s="575">
        <f t="shared" si="7"/>
        <v>4545</v>
      </c>
      <c r="P45" s="575">
        <f t="shared" si="7"/>
        <v>-20</v>
      </c>
      <c r="Q45" s="575">
        <f t="shared" si="7"/>
        <v>-40</v>
      </c>
      <c r="R45" s="575">
        <f t="shared" si="7"/>
        <v>0</v>
      </c>
    </row>
    <row r="46" spans="1:18" ht="12" customHeight="1">
      <c r="A46" s="584" t="s">
        <v>614</v>
      </c>
      <c r="B46" s="575">
        <f aca="true" t="shared" si="8" ref="B46:H46">SUM(B18,B45)</f>
        <v>22814</v>
      </c>
      <c r="C46" s="575">
        <f t="shared" si="8"/>
        <v>14973</v>
      </c>
      <c r="D46" s="575">
        <f t="shared" si="8"/>
        <v>4755</v>
      </c>
      <c r="E46" s="575">
        <f t="shared" si="8"/>
        <v>0</v>
      </c>
      <c r="F46" s="575">
        <f t="shared" si="8"/>
        <v>19728</v>
      </c>
      <c r="G46" s="575">
        <f t="shared" si="8"/>
        <v>3086</v>
      </c>
      <c r="H46" s="575">
        <f t="shared" si="8"/>
        <v>-1699</v>
      </c>
      <c r="I46" s="575">
        <f>G46-H46</f>
        <v>4785</v>
      </c>
      <c r="J46" s="575">
        <f t="shared" si="2"/>
        <v>-4785</v>
      </c>
      <c r="K46" s="444">
        <f>SUM(K18,K45)</f>
        <v>-4785</v>
      </c>
      <c r="L46" s="575">
        <f>SUM(L18,L45)</f>
        <v>-29</v>
      </c>
      <c r="M46" s="575">
        <f>N46-O46</f>
        <v>-4696</v>
      </c>
      <c r="N46" s="575">
        <f>SUM(N18,N45)</f>
        <v>17367</v>
      </c>
      <c r="O46" s="575">
        <f>SUM(O18,O45)</f>
        <v>22063</v>
      </c>
      <c r="P46" s="575">
        <f>SUM(P18,P45)</f>
        <v>-20</v>
      </c>
      <c r="Q46" s="575">
        <f>SUM(Q18,Q45)</f>
        <v>-40</v>
      </c>
      <c r="R46" s="575">
        <f>SUM(R18,R45)</f>
        <v>0</v>
      </c>
    </row>
    <row r="47" spans="1:18" ht="17.25" customHeight="1">
      <c r="A47" s="586"/>
      <c r="B47" s="587"/>
      <c r="C47" s="587"/>
      <c r="D47" s="587"/>
      <c r="E47" s="587"/>
      <c r="F47" s="587"/>
      <c r="G47" s="587"/>
      <c r="H47" s="587"/>
      <c r="I47" s="587"/>
      <c r="J47" s="587"/>
      <c r="K47" s="829"/>
      <c r="L47" s="587"/>
      <c r="M47" s="587"/>
      <c r="N47" s="587"/>
      <c r="O47" s="587"/>
      <c r="P47" s="587"/>
      <c r="Q47" s="587"/>
      <c r="R47" s="587"/>
    </row>
    <row r="48" spans="1:18" ht="17.25" customHeight="1">
      <c r="A48" s="578"/>
      <c r="B48" s="487"/>
      <c r="C48" s="487"/>
      <c r="D48" s="487"/>
      <c r="E48" s="487"/>
      <c r="F48" s="487"/>
      <c r="G48" s="487"/>
      <c r="H48" s="487"/>
      <c r="I48" s="487"/>
      <c r="J48" s="487"/>
      <c r="K48" s="830"/>
      <c r="L48" s="487"/>
      <c r="M48" s="487"/>
      <c r="N48" s="487"/>
      <c r="O48" s="487"/>
      <c r="P48" s="487"/>
      <c r="Q48" s="487"/>
      <c r="R48" s="487"/>
    </row>
    <row r="50" spans="1:12" ht="17.25" customHeight="1">
      <c r="A50" s="41" t="s">
        <v>900</v>
      </c>
      <c r="B50" s="3"/>
      <c r="C50" s="3"/>
      <c r="F50" s="588"/>
      <c r="H50" s="487"/>
      <c r="J50" s="487"/>
      <c r="K50" s="830"/>
      <c r="L50" s="39" t="s">
        <v>862</v>
      </c>
    </row>
    <row r="53" spans="1:18" ht="17.25" customHeight="1">
      <c r="A53" s="589"/>
      <c r="B53" s="487"/>
      <c r="C53" s="487"/>
      <c r="D53" s="487"/>
      <c r="E53" s="487"/>
      <c r="F53" s="487"/>
      <c r="G53" s="487"/>
      <c r="H53" s="487"/>
      <c r="I53" s="487"/>
      <c r="J53" s="487"/>
      <c r="K53" s="830"/>
      <c r="L53" s="487"/>
      <c r="M53" s="487"/>
      <c r="N53" s="487"/>
      <c r="O53" s="487"/>
      <c r="P53" s="487"/>
      <c r="Q53" s="487"/>
      <c r="R53" s="487"/>
    </row>
    <row r="54" spans="2:18" ht="17.25" customHeight="1">
      <c r="B54" s="590"/>
      <c r="H54" s="590"/>
      <c r="I54" s="590"/>
      <c r="J54" s="590"/>
      <c r="K54" s="832"/>
      <c r="L54" s="590"/>
      <c r="N54" s="591"/>
      <c r="O54" s="590"/>
      <c r="P54" s="590"/>
      <c r="Q54" s="590"/>
      <c r="R54" s="590"/>
    </row>
    <row r="55" spans="1:18" ht="17.25" customHeight="1">
      <c r="A55" s="512"/>
      <c r="B55" s="592"/>
      <c r="H55" s="591"/>
      <c r="I55" s="591"/>
      <c r="L55" s="591"/>
      <c r="M55" s="591"/>
      <c r="O55" s="487"/>
      <c r="P55" s="487"/>
      <c r="Q55" s="487"/>
      <c r="R55" s="487"/>
    </row>
    <row r="56" spans="1:18" ht="17.25" customHeight="1">
      <c r="A56" s="578"/>
      <c r="B56" s="592"/>
      <c r="H56" s="487"/>
      <c r="I56" s="487"/>
      <c r="J56" s="487"/>
      <c r="K56" s="830"/>
      <c r="L56" s="487"/>
      <c r="M56" s="590"/>
      <c r="N56" s="487"/>
      <c r="O56" s="487"/>
      <c r="P56" s="487"/>
      <c r="Q56" s="487"/>
      <c r="R56" s="487"/>
    </row>
    <row r="57" spans="1:18" ht="12.75">
      <c r="A57" s="261" t="s">
        <v>272</v>
      </c>
      <c r="B57" s="593"/>
      <c r="C57" s="593"/>
      <c r="D57" s="593"/>
      <c r="E57" s="487"/>
      <c r="F57" s="487"/>
      <c r="G57" s="487"/>
      <c r="H57" s="487"/>
      <c r="I57" s="487"/>
      <c r="J57" s="487"/>
      <c r="K57" s="830"/>
      <c r="L57" s="487"/>
      <c r="M57" s="487"/>
      <c r="N57" s="487"/>
      <c r="O57" s="487"/>
      <c r="P57" s="487"/>
      <c r="Q57" s="487"/>
      <c r="R57" s="487"/>
    </row>
    <row r="58" spans="1:18" ht="12.75">
      <c r="A58" s="261" t="s">
        <v>847</v>
      </c>
      <c r="M58" s="487"/>
      <c r="N58" s="487"/>
      <c r="O58" s="487"/>
      <c r="P58" s="487"/>
      <c r="Q58" s="487"/>
      <c r="R58" s="487"/>
    </row>
    <row r="60" ht="17.25" customHeight="1">
      <c r="E60" s="593"/>
    </row>
    <row r="67" spans="2:18" ht="17.25" customHeight="1">
      <c r="B67" s="261"/>
      <c r="C67" s="261"/>
      <c r="D67" s="261"/>
      <c r="E67" s="261"/>
      <c r="F67" s="261"/>
      <c r="G67" s="261"/>
      <c r="H67" s="261"/>
      <c r="I67" s="261"/>
      <c r="J67" s="261"/>
      <c r="K67" s="833"/>
      <c r="L67" s="261"/>
      <c r="M67" s="261"/>
      <c r="N67" s="261"/>
      <c r="O67" s="261"/>
      <c r="P67" s="261"/>
      <c r="Q67" s="261"/>
      <c r="R67" s="261"/>
    </row>
  </sheetData>
  <mergeCells count="9">
    <mergeCell ref="H7:H9"/>
    <mergeCell ref="I7:I9"/>
    <mergeCell ref="J7:J9"/>
    <mergeCell ref="R7:R9"/>
    <mergeCell ref="L8:Q8"/>
    <mergeCell ref="A7:A9"/>
    <mergeCell ref="B7:B9"/>
    <mergeCell ref="C7:F8"/>
    <mergeCell ref="G7:G9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A59" sqref="A59"/>
    </sheetView>
  </sheetViews>
  <sheetFormatPr defaultColWidth="9.140625" defaultRowHeight="17.25" customHeight="1"/>
  <cols>
    <col min="1" max="1" width="18.421875" style="504" customWidth="1"/>
    <col min="2" max="2" width="7.28125" style="483" customWidth="1"/>
    <col min="3" max="3" width="10.00390625" style="483" customWidth="1"/>
    <col min="4" max="4" width="6.7109375" style="483" customWidth="1"/>
    <col min="5" max="5" width="6.140625" style="483" customWidth="1"/>
    <col min="6" max="6" width="13.57421875" style="483" customWidth="1"/>
    <col min="7" max="7" width="7.8515625" style="483" customWidth="1"/>
    <col min="8" max="8" width="9.00390625" style="483" customWidth="1"/>
    <col min="9" max="9" width="7.00390625" style="483" customWidth="1"/>
    <col min="10" max="10" width="10.57421875" style="483" customWidth="1"/>
    <col min="11" max="11" width="7.57421875" style="483" customWidth="1"/>
    <col min="12" max="13" width="7.28125" style="483" customWidth="1"/>
    <col min="14" max="14" width="8.00390625" style="483" customWidth="1"/>
    <col min="15" max="15" width="7.28125" style="483" customWidth="1"/>
    <col min="16" max="16" width="9.28125" style="483" customWidth="1"/>
    <col min="17" max="16384" width="9.140625" style="483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7"/>
      <c r="O1" s="256" t="s">
        <v>634</v>
      </c>
    </row>
    <row r="2" spans="1:16" s="38" customFormat="1" ht="17.25" customHeight="1">
      <c r="A2" s="865" t="s">
        <v>619</v>
      </c>
      <c r="B2" s="865"/>
      <c r="C2" s="865"/>
      <c r="D2" s="865"/>
      <c r="E2" s="865"/>
      <c r="F2" s="865"/>
      <c r="G2" s="865"/>
      <c r="H2" s="865"/>
      <c r="I2" s="865"/>
      <c r="J2" s="865"/>
      <c r="K2" s="865"/>
      <c r="L2" s="865"/>
      <c r="M2" s="865"/>
      <c r="N2" s="865"/>
      <c r="O2" s="865"/>
      <c r="P2" s="865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56"/>
    </row>
    <row r="4" spans="1:16" s="568" customFormat="1" ht="17.25" customHeight="1">
      <c r="A4" s="866" t="s">
        <v>635</v>
      </c>
      <c r="B4" s="866"/>
      <c r="C4" s="866"/>
      <c r="D4" s="866"/>
      <c r="E4" s="866"/>
      <c r="F4" s="866"/>
      <c r="G4" s="866"/>
      <c r="H4" s="866"/>
      <c r="I4" s="866"/>
      <c r="J4" s="866"/>
      <c r="K4" s="866"/>
      <c r="L4" s="866"/>
      <c r="M4" s="866"/>
      <c r="N4" s="866"/>
      <c r="O4" s="866"/>
      <c r="P4" s="866"/>
    </row>
    <row r="5" spans="1:16" s="568" customFormat="1" ht="14.25" customHeight="1">
      <c r="A5" s="890" t="s">
        <v>865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</row>
    <row r="6" spans="1:16" ht="17.25" customHeight="1">
      <c r="A6" s="594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 t="s">
        <v>271</v>
      </c>
    </row>
    <row r="7" spans="1:16" s="38" customFormat="1" ht="17.25" customHeight="1">
      <c r="A7" s="903" t="s">
        <v>621</v>
      </c>
      <c r="B7" s="903" t="s">
        <v>45</v>
      </c>
      <c r="C7" s="906" t="s">
        <v>568</v>
      </c>
      <c r="D7" s="907"/>
      <c r="E7" s="907"/>
      <c r="F7" s="903" t="s">
        <v>636</v>
      </c>
      <c r="G7" s="903" t="s">
        <v>637</v>
      </c>
      <c r="H7" s="903" t="s">
        <v>638</v>
      </c>
      <c r="I7" s="903" t="s">
        <v>639</v>
      </c>
      <c r="J7" s="595" t="s">
        <v>626</v>
      </c>
      <c r="K7" s="574"/>
      <c r="L7" s="574"/>
      <c r="M7" s="596"/>
      <c r="N7" s="574"/>
      <c r="O7" s="574"/>
      <c r="P7" s="903" t="s">
        <v>627</v>
      </c>
    </row>
    <row r="8" spans="1:16" s="49" customFormat="1" ht="17.25" customHeight="1">
      <c r="A8" s="913"/>
      <c r="B8" s="913"/>
      <c r="C8" s="907"/>
      <c r="D8" s="907"/>
      <c r="E8" s="907"/>
      <c r="F8" s="913"/>
      <c r="G8" s="913"/>
      <c r="H8" s="913"/>
      <c r="I8" s="913"/>
      <c r="J8" s="910" t="s">
        <v>572</v>
      </c>
      <c r="K8" s="911"/>
      <c r="L8" s="911"/>
      <c r="M8" s="911"/>
      <c r="N8" s="911"/>
      <c r="O8" s="912"/>
      <c r="P8" s="915"/>
    </row>
    <row r="9" spans="1:16" s="534" customFormat="1" ht="45">
      <c r="A9" s="914"/>
      <c r="B9" s="914"/>
      <c r="C9" s="9" t="s">
        <v>640</v>
      </c>
      <c r="D9" s="9" t="s">
        <v>629</v>
      </c>
      <c r="E9" s="9" t="s">
        <v>631</v>
      </c>
      <c r="F9" s="914"/>
      <c r="G9" s="914"/>
      <c r="H9" s="914"/>
      <c r="I9" s="914"/>
      <c r="J9" s="581" t="s">
        <v>815</v>
      </c>
      <c r="K9" s="581" t="s">
        <v>632</v>
      </c>
      <c r="L9" s="581" t="s">
        <v>574</v>
      </c>
      <c r="M9" s="581" t="s">
        <v>575</v>
      </c>
      <c r="N9" s="9" t="s">
        <v>641</v>
      </c>
      <c r="O9" s="9" t="s">
        <v>827</v>
      </c>
      <c r="P9" s="916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82" t="s">
        <v>578</v>
      </c>
      <c r="B11" s="186">
        <v>633</v>
      </c>
      <c r="C11" s="186">
        <v>567</v>
      </c>
      <c r="D11" s="186">
        <v>25</v>
      </c>
      <c r="E11" s="186">
        <f aca="true" t="shared" si="0" ref="E11:E17">C11+D11</f>
        <v>592</v>
      </c>
      <c r="F11" s="186">
        <f aca="true" t="shared" si="1" ref="F11:F44">B11-E11</f>
        <v>41</v>
      </c>
      <c r="G11" s="186">
        <v>0</v>
      </c>
      <c r="H11" s="186">
        <f aca="true" t="shared" si="2" ref="H11:H45">F11-G11</f>
        <v>41</v>
      </c>
      <c r="I11" s="186">
        <f aca="true" t="shared" si="3" ref="I11:I45">J11+K11+N11+O11</f>
        <v>-41</v>
      </c>
      <c r="J11" s="186">
        <v>0</v>
      </c>
      <c r="K11" s="186">
        <f aca="true" t="shared" si="4" ref="K11:K17">L11-M11</f>
        <v>-41</v>
      </c>
      <c r="L11" s="186">
        <v>277</v>
      </c>
      <c r="M11" s="186">
        <v>318</v>
      </c>
      <c r="N11" s="186"/>
      <c r="O11" s="186"/>
      <c r="P11" s="186"/>
    </row>
    <row r="12" spans="1:16" ht="12" customHeight="1">
      <c r="A12" s="582" t="s">
        <v>579</v>
      </c>
      <c r="B12" s="186">
        <v>19</v>
      </c>
      <c r="C12" s="186">
        <v>24</v>
      </c>
      <c r="D12" s="186">
        <v>6</v>
      </c>
      <c r="E12" s="186">
        <f t="shared" si="0"/>
        <v>30</v>
      </c>
      <c r="F12" s="186">
        <f t="shared" si="1"/>
        <v>-11</v>
      </c>
      <c r="G12" s="186"/>
      <c r="H12" s="186">
        <f t="shared" si="2"/>
        <v>-11</v>
      </c>
      <c r="I12" s="186">
        <f t="shared" si="3"/>
        <v>11</v>
      </c>
      <c r="J12" s="186"/>
      <c r="K12" s="186">
        <f t="shared" si="4"/>
        <v>11</v>
      </c>
      <c r="L12" s="186">
        <v>16</v>
      </c>
      <c r="M12" s="186">
        <v>5</v>
      </c>
      <c r="N12" s="186"/>
      <c r="O12" s="186"/>
      <c r="P12" s="186"/>
    </row>
    <row r="13" spans="1:16" ht="12" customHeight="1">
      <c r="A13" s="582" t="s">
        <v>580</v>
      </c>
      <c r="B13" s="186">
        <v>39</v>
      </c>
      <c r="C13" s="186">
        <v>11</v>
      </c>
      <c r="D13" s="186">
        <v>33</v>
      </c>
      <c r="E13" s="186">
        <f t="shared" si="0"/>
        <v>44</v>
      </c>
      <c r="F13" s="186">
        <f t="shared" si="1"/>
        <v>-5</v>
      </c>
      <c r="G13" s="186"/>
      <c r="H13" s="186">
        <f t="shared" si="2"/>
        <v>-5</v>
      </c>
      <c r="I13" s="186">
        <f t="shared" si="3"/>
        <v>5</v>
      </c>
      <c r="J13" s="186"/>
      <c r="K13" s="186">
        <f t="shared" si="4"/>
        <v>5</v>
      </c>
      <c r="L13" s="186">
        <v>53</v>
      </c>
      <c r="M13" s="186">
        <v>48</v>
      </c>
      <c r="N13" s="186"/>
      <c r="O13" s="186"/>
      <c r="P13" s="186"/>
    </row>
    <row r="14" spans="1:16" ht="12" customHeight="1">
      <c r="A14" s="582" t="s">
        <v>581</v>
      </c>
      <c r="B14" s="186">
        <v>117</v>
      </c>
      <c r="C14" s="186">
        <v>26</v>
      </c>
      <c r="D14" s="186">
        <v>32</v>
      </c>
      <c r="E14" s="186">
        <f t="shared" si="0"/>
        <v>58</v>
      </c>
      <c r="F14" s="186">
        <f t="shared" si="1"/>
        <v>59</v>
      </c>
      <c r="G14" s="186"/>
      <c r="H14" s="186">
        <f t="shared" si="2"/>
        <v>59</v>
      </c>
      <c r="I14" s="186">
        <f t="shared" si="3"/>
        <v>-59</v>
      </c>
      <c r="J14" s="186"/>
      <c r="K14" s="186">
        <f t="shared" si="4"/>
        <v>-59</v>
      </c>
      <c r="L14" s="186">
        <v>65</v>
      </c>
      <c r="M14" s="186">
        <v>124</v>
      </c>
      <c r="N14" s="186"/>
      <c r="O14" s="186"/>
      <c r="P14" s="186"/>
    </row>
    <row r="15" spans="1:16" ht="12" customHeight="1">
      <c r="A15" s="582" t="s">
        <v>582</v>
      </c>
      <c r="B15" s="186">
        <v>26</v>
      </c>
      <c r="C15" s="186">
        <v>22</v>
      </c>
      <c r="D15" s="186">
        <v>2</v>
      </c>
      <c r="E15" s="186">
        <f t="shared" si="0"/>
        <v>24</v>
      </c>
      <c r="F15" s="186">
        <f t="shared" si="1"/>
        <v>2</v>
      </c>
      <c r="G15" s="186"/>
      <c r="H15" s="186">
        <f t="shared" si="2"/>
        <v>2</v>
      </c>
      <c r="I15" s="186">
        <f t="shared" si="3"/>
        <v>-2</v>
      </c>
      <c r="J15" s="186"/>
      <c r="K15" s="186">
        <f t="shared" si="4"/>
        <v>-2</v>
      </c>
      <c r="L15" s="186">
        <v>30</v>
      </c>
      <c r="M15" s="186">
        <v>32</v>
      </c>
      <c r="N15" s="186"/>
      <c r="O15" s="186"/>
      <c r="P15" s="186"/>
    </row>
    <row r="16" spans="1:16" ht="12" customHeight="1">
      <c r="A16" s="583" t="s">
        <v>583</v>
      </c>
      <c r="B16" s="186">
        <v>5</v>
      </c>
      <c r="C16" s="186">
        <v>5</v>
      </c>
      <c r="D16" s="186">
        <v>1</v>
      </c>
      <c r="E16" s="186">
        <f t="shared" si="0"/>
        <v>6</v>
      </c>
      <c r="F16" s="186">
        <f t="shared" si="1"/>
        <v>-1</v>
      </c>
      <c r="G16" s="186"/>
      <c r="H16" s="186">
        <f t="shared" si="2"/>
        <v>-1</v>
      </c>
      <c r="I16" s="186">
        <f t="shared" si="3"/>
        <v>1</v>
      </c>
      <c r="J16" s="186"/>
      <c r="K16" s="186">
        <f t="shared" si="4"/>
        <v>1</v>
      </c>
      <c r="L16" s="186">
        <v>4</v>
      </c>
      <c r="M16" s="186">
        <v>3</v>
      </c>
      <c r="N16" s="186"/>
      <c r="O16" s="186"/>
      <c r="P16" s="186"/>
    </row>
    <row r="17" spans="1:16" ht="12" customHeight="1">
      <c r="A17" s="582" t="s">
        <v>584</v>
      </c>
      <c r="B17" s="186">
        <v>1430</v>
      </c>
      <c r="C17" s="186">
        <v>617</v>
      </c>
      <c r="D17" s="186">
        <v>1181</v>
      </c>
      <c r="E17" s="186">
        <f t="shared" si="0"/>
        <v>1798</v>
      </c>
      <c r="F17" s="186">
        <f t="shared" si="1"/>
        <v>-368</v>
      </c>
      <c r="G17" s="186">
        <v>-846</v>
      </c>
      <c r="H17" s="186">
        <f t="shared" si="2"/>
        <v>478</v>
      </c>
      <c r="I17" s="186">
        <f t="shared" si="3"/>
        <v>-478</v>
      </c>
      <c r="J17" s="186"/>
      <c r="K17" s="186">
        <f t="shared" si="4"/>
        <v>-478</v>
      </c>
      <c r="L17" s="186">
        <v>1169</v>
      </c>
      <c r="M17" s="186">
        <v>1647</v>
      </c>
      <c r="N17" s="186"/>
      <c r="O17" s="186"/>
      <c r="P17" s="186"/>
    </row>
    <row r="18" spans="1:16" ht="12" customHeight="1">
      <c r="A18" s="413" t="s">
        <v>585</v>
      </c>
      <c r="B18" s="186">
        <f>SUM(B11:B17)</f>
        <v>2269</v>
      </c>
      <c r="C18" s="186">
        <f>SUM(C11:C17)</f>
        <v>1272</v>
      </c>
      <c r="D18" s="186">
        <f>SUM(D11:D17)</f>
        <v>1280</v>
      </c>
      <c r="E18" s="186">
        <f>SUM(E11:E17)</f>
        <v>2552</v>
      </c>
      <c r="F18" s="186">
        <f t="shared" si="1"/>
        <v>-283</v>
      </c>
      <c r="G18" s="186">
        <f>SUM(G11:G17)</f>
        <v>-846</v>
      </c>
      <c r="H18" s="186">
        <f t="shared" si="2"/>
        <v>563</v>
      </c>
      <c r="I18" s="186">
        <f t="shared" si="3"/>
        <v>-563</v>
      </c>
      <c r="J18" s="186">
        <f aca="true" t="shared" si="5" ref="J18:P18">SUM(J11:J17)</f>
        <v>0</v>
      </c>
      <c r="K18" s="186">
        <f t="shared" si="5"/>
        <v>-563</v>
      </c>
      <c r="L18" s="186">
        <f t="shared" si="5"/>
        <v>1614</v>
      </c>
      <c r="M18" s="186">
        <f t="shared" si="5"/>
        <v>2177</v>
      </c>
      <c r="N18" s="186">
        <f t="shared" si="5"/>
        <v>0</v>
      </c>
      <c r="O18" s="186">
        <f t="shared" si="5"/>
        <v>0</v>
      </c>
      <c r="P18" s="186">
        <f t="shared" si="5"/>
        <v>0</v>
      </c>
    </row>
    <row r="19" spans="1:16" s="597" customFormat="1" ht="12" customHeight="1">
      <c r="A19" s="582" t="s">
        <v>587</v>
      </c>
      <c r="B19" s="186">
        <v>10</v>
      </c>
      <c r="C19" s="186">
        <v>13</v>
      </c>
      <c r="D19" s="186">
        <v>7</v>
      </c>
      <c r="E19" s="186">
        <f aca="true" t="shared" si="6" ref="E19:E44">C19+D19</f>
        <v>20</v>
      </c>
      <c r="F19" s="186">
        <f t="shared" si="1"/>
        <v>-10</v>
      </c>
      <c r="G19" s="186"/>
      <c r="H19" s="186">
        <f t="shared" si="2"/>
        <v>-10</v>
      </c>
      <c r="I19" s="186">
        <f t="shared" si="3"/>
        <v>10</v>
      </c>
      <c r="J19" s="186"/>
      <c r="K19" s="186">
        <f aca="true" t="shared" si="7" ref="K19:K44">L19-M19</f>
        <v>10</v>
      </c>
      <c r="L19" s="186">
        <v>15</v>
      </c>
      <c r="M19" s="186">
        <v>5</v>
      </c>
      <c r="N19" s="186"/>
      <c r="O19" s="186"/>
      <c r="P19" s="186"/>
    </row>
    <row r="20" spans="1:16" ht="12" customHeight="1">
      <c r="A20" s="582" t="s">
        <v>588</v>
      </c>
      <c r="B20" s="186">
        <v>8</v>
      </c>
      <c r="C20" s="186">
        <v>12</v>
      </c>
      <c r="D20" s="186">
        <v>6</v>
      </c>
      <c r="E20" s="186">
        <f t="shared" si="6"/>
        <v>18</v>
      </c>
      <c r="F20" s="186">
        <f t="shared" si="1"/>
        <v>-10</v>
      </c>
      <c r="G20" s="186"/>
      <c r="H20" s="186">
        <f t="shared" si="2"/>
        <v>-10</v>
      </c>
      <c r="I20" s="186">
        <f t="shared" si="3"/>
        <v>10</v>
      </c>
      <c r="J20" s="186"/>
      <c r="K20" s="186">
        <f t="shared" si="7"/>
        <v>10</v>
      </c>
      <c r="L20" s="186">
        <v>24</v>
      </c>
      <c r="M20" s="186">
        <v>14</v>
      </c>
      <c r="N20" s="186"/>
      <c r="O20" s="186"/>
      <c r="P20" s="186"/>
    </row>
    <row r="21" spans="1:16" ht="12" customHeight="1">
      <c r="A21" s="582" t="s">
        <v>589</v>
      </c>
      <c r="B21" s="186">
        <v>2</v>
      </c>
      <c r="C21" s="186">
        <v>1</v>
      </c>
      <c r="D21" s="186"/>
      <c r="E21" s="186">
        <f t="shared" si="6"/>
        <v>1</v>
      </c>
      <c r="F21" s="186">
        <f t="shared" si="1"/>
        <v>1</v>
      </c>
      <c r="G21" s="186"/>
      <c r="H21" s="186">
        <f t="shared" si="2"/>
        <v>1</v>
      </c>
      <c r="I21" s="186">
        <f t="shared" si="3"/>
        <v>-1</v>
      </c>
      <c r="J21" s="186"/>
      <c r="K21" s="186">
        <f t="shared" si="7"/>
        <v>-1</v>
      </c>
      <c r="L21" s="186">
        <v>0</v>
      </c>
      <c r="M21" s="186">
        <v>1</v>
      </c>
      <c r="N21" s="186"/>
      <c r="O21" s="186"/>
      <c r="P21" s="186"/>
    </row>
    <row r="22" spans="1:16" ht="12" customHeight="1">
      <c r="A22" s="582" t="s">
        <v>590</v>
      </c>
      <c r="B22" s="186">
        <v>3</v>
      </c>
      <c r="C22" s="186">
        <v>3</v>
      </c>
      <c r="D22" s="186">
        <v>3</v>
      </c>
      <c r="E22" s="186">
        <f t="shared" si="6"/>
        <v>6</v>
      </c>
      <c r="F22" s="186">
        <f t="shared" si="1"/>
        <v>-3</v>
      </c>
      <c r="G22" s="186"/>
      <c r="H22" s="186">
        <f t="shared" si="2"/>
        <v>-3</v>
      </c>
      <c r="I22" s="186">
        <f t="shared" si="3"/>
        <v>3</v>
      </c>
      <c r="J22" s="186"/>
      <c r="K22" s="186">
        <f t="shared" si="7"/>
        <v>3</v>
      </c>
      <c r="L22" s="186">
        <v>21</v>
      </c>
      <c r="M22" s="186">
        <v>18</v>
      </c>
      <c r="N22" s="186"/>
      <c r="O22" s="186"/>
      <c r="P22" s="186"/>
    </row>
    <row r="23" spans="1:16" ht="12" customHeight="1">
      <c r="A23" s="582" t="s">
        <v>591</v>
      </c>
      <c r="B23" s="186">
        <v>106</v>
      </c>
      <c r="C23" s="186">
        <v>87</v>
      </c>
      <c r="D23" s="186">
        <v>8</v>
      </c>
      <c r="E23" s="186">
        <f t="shared" si="6"/>
        <v>95</v>
      </c>
      <c r="F23" s="186">
        <f t="shared" si="1"/>
        <v>11</v>
      </c>
      <c r="G23" s="186"/>
      <c r="H23" s="186">
        <f t="shared" si="2"/>
        <v>11</v>
      </c>
      <c r="I23" s="186">
        <f t="shared" si="3"/>
        <v>-11</v>
      </c>
      <c r="J23" s="186"/>
      <c r="K23" s="186">
        <f t="shared" si="7"/>
        <v>-11</v>
      </c>
      <c r="L23" s="186">
        <v>31</v>
      </c>
      <c r="M23" s="186">
        <v>42</v>
      </c>
      <c r="N23" s="186"/>
      <c r="O23" s="186"/>
      <c r="P23" s="186"/>
    </row>
    <row r="24" spans="1:16" ht="12" customHeight="1">
      <c r="A24" s="582" t="s">
        <v>592</v>
      </c>
      <c r="B24" s="186">
        <v>11</v>
      </c>
      <c r="C24" s="186">
        <v>9</v>
      </c>
      <c r="D24" s="186">
        <v>2</v>
      </c>
      <c r="E24" s="186">
        <f t="shared" si="6"/>
        <v>11</v>
      </c>
      <c r="F24" s="186">
        <f t="shared" si="1"/>
        <v>0</v>
      </c>
      <c r="G24" s="186"/>
      <c r="H24" s="186">
        <f t="shared" si="2"/>
        <v>0</v>
      </c>
      <c r="I24" s="186">
        <f t="shared" si="3"/>
        <v>0</v>
      </c>
      <c r="J24" s="186"/>
      <c r="K24" s="186">
        <f t="shared" si="7"/>
        <v>0</v>
      </c>
      <c r="L24" s="186">
        <v>4</v>
      </c>
      <c r="M24" s="186">
        <v>4</v>
      </c>
      <c r="N24" s="186"/>
      <c r="O24" s="186"/>
      <c r="P24" s="186"/>
    </row>
    <row r="25" spans="1:16" ht="12" customHeight="1">
      <c r="A25" s="582" t="s">
        <v>593</v>
      </c>
      <c r="B25" s="186">
        <v>35</v>
      </c>
      <c r="C25" s="186">
        <v>34</v>
      </c>
      <c r="D25" s="186">
        <v>1</v>
      </c>
      <c r="E25" s="186">
        <f t="shared" si="6"/>
        <v>35</v>
      </c>
      <c r="F25" s="186">
        <f t="shared" si="1"/>
        <v>0</v>
      </c>
      <c r="G25" s="186"/>
      <c r="H25" s="186">
        <f t="shared" si="2"/>
        <v>0</v>
      </c>
      <c r="I25" s="186">
        <f t="shared" si="3"/>
        <v>0</v>
      </c>
      <c r="J25" s="186"/>
      <c r="K25" s="186">
        <f t="shared" si="7"/>
        <v>0</v>
      </c>
      <c r="L25" s="186">
        <v>7</v>
      </c>
      <c r="M25" s="186">
        <v>7</v>
      </c>
      <c r="N25" s="186"/>
      <c r="O25" s="186"/>
      <c r="P25" s="186"/>
    </row>
    <row r="26" spans="1:16" ht="12" customHeight="1">
      <c r="A26" s="582" t="s">
        <v>594</v>
      </c>
      <c r="B26" s="186">
        <v>6</v>
      </c>
      <c r="C26" s="186">
        <v>3</v>
      </c>
      <c r="D26" s="186"/>
      <c r="E26" s="186">
        <f t="shared" si="6"/>
        <v>3</v>
      </c>
      <c r="F26" s="186">
        <f t="shared" si="1"/>
        <v>3</v>
      </c>
      <c r="G26" s="186"/>
      <c r="H26" s="186">
        <f t="shared" si="2"/>
        <v>3</v>
      </c>
      <c r="I26" s="186">
        <f t="shared" si="3"/>
        <v>-3</v>
      </c>
      <c r="J26" s="186"/>
      <c r="K26" s="186">
        <f t="shared" si="7"/>
        <v>-3</v>
      </c>
      <c r="L26" s="186">
        <v>1</v>
      </c>
      <c r="M26" s="186">
        <v>4</v>
      </c>
      <c r="N26" s="186"/>
      <c r="O26" s="186"/>
      <c r="P26" s="186"/>
    </row>
    <row r="27" spans="1:16" ht="12" customHeight="1">
      <c r="A27" s="582" t="s">
        <v>595</v>
      </c>
      <c r="B27" s="186">
        <v>15</v>
      </c>
      <c r="C27" s="186">
        <v>5</v>
      </c>
      <c r="D27" s="186">
        <v>3</v>
      </c>
      <c r="E27" s="186">
        <f t="shared" si="6"/>
        <v>8</v>
      </c>
      <c r="F27" s="186">
        <f t="shared" si="1"/>
        <v>7</v>
      </c>
      <c r="G27" s="186"/>
      <c r="H27" s="186">
        <f t="shared" si="2"/>
        <v>7</v>
      </c>
      <c r="I27" s="186">
        <f t="shared" si="3"/>
        <v>-7</v>
      </c>
      <c r="J27" s="186"/>
      <c r="K27" s="186">
        <f t="shared" si="7"/>
        <v>-7</v>
      </c>
      <c r="L27" s="186">
        <v>1</v>
      </c>
      <c r="M27" s="186">
        <v>8</v>
      </c>
      <c r="N27" s="186"/>
      <c r="O27" s="186"/>
      <c r="P27" s="186"/>
    </row>
    <row r="28" spans="1:16" ht="12" customHeight="1">
      <c r="A28" s="582" t="s">
        <v>596</v>
      </c>
      <c r="B28" s="186">
        <v>26</v>
      </c>
      <c r="C28" s="186">
        <v>10</v>
      </c>
      <c r="D28" s="186">
        <v>5</v>
      </c>
      <c r="E28" s="186">
        <f t="shared" si="6"/>
        <v>15</v>
      </c>
      <c r="F28" s="186">
        <f t="shared" si="1"/>
        <v>11</v>
      </c>
      <c r="G28" s="186"/>
      <c r="H28" s="186">
        <f t="shared" si="2"/>
        <v>11</v>
      </c>
      <c r="I28" s="186">
        <f t="shared" si="3"/>
        <v>-11</v>
      </c>
      <c r="J28" s="186"/>
      <c r="K28" s="186">
        <f t="shared" si="7"/>
        <v>-11</v>
      </c>
      <c r="L28" s="186">
        <v>17</v>
      </c>
      <c r="M28" s="186">
        <v>28</v>
      </c>
      <c r="N28" s="186"/>
      <c r="O28" s="186"/>
      <c r="P28" s="186"/>
    </row>
    <row r="29" spans="1:16" ht="12" customHeight="1">
      <c r="A29" s="582" t="s">
        <v>597</v>
      </c>
      <c r="B29" s="186">
        <v>24</v>
      </c>
      <c r="C29" s="186">
        <v>21</v>
      </c>
      <c r="D29" s="186">
        <v>3</v>
      </c>
      <c r="E29" s="186">
        <f t="shared" si="6"/>
        <v>24</v>
      </c>
      <c r="F29" s="186">
        <f t="shared" si="1"/>
        <v>0</v>
      </c>
      <c r="G29" s="186"/>
      <c r="H29" s="186">
        <f t="shared" si="2"/>
        <v>0</v>
      </c>
      <c r="I29" s="186">
        <f t="shared" si="3"/>
        <v>0</v>
      </c>
      <c r="J29" s="186"/>
      <c r="K29" s="186">
        <f t="shared" si="7"/>
        <v>0</v>
      </c>
      <c r="L29" s="186">
        <v>1</v>
      </c>
      <c r="M29" s="186">
        <v>1</v>
      </c>
      <c r="N29" s="186"/>
      <c r="O29" s="186"/>
      <c r="P29" s="186"/>
    </row>
    <row r="30" spans="1:16" ht="12" customHeight="1">
      <c r="A30" s="582" t="s">
        <v>598</v>
      </c>
      <c r="B30" s="186">
        <v>10</v>
      </c>
      <c r="C30" s="186">
        <v>10</v>
      </c>
      <c r="D30" s="186"/>
      <c r="E30" s="186">
        <f t="shared" si="6"/>
        <v>10</v>
      </c>
      <c r="F30" s="186">
        <f t="shared" si="1"/>
        <v>0</v>
      </c>
      <c r="G30" s="186"/>
      <c r="H30" s="186">
        <f t="shared" si="2"/>
        <v>0</v>
      </c>
      <c r="I30" s="186">
        <f t="shared" si="3"/>
        <v>0</v>
      </c>
      <c r="J30" s="186"/>
      <c r="K30" s="186">
        <f t="shared" si="7"/>
        <v>4</v>
      </c>
      <c r="L30" s="186">
        <v>8</v>
      </c>
      <c r="M30" s="186">
        <v>4</v>
      </c>
      <c r="N30" s="186"/>
      <c r="O30" s="186">
        <v>-4</v>
      </c>
      <c r="P30" s="186"/>
    </row>
    <row r="31" spans="1:16" ht="12" customHeight="1">
      <c r="A31" s="582" t="s">
        <v>599</v>
      </c>
      <c r="B31" s="186">
        <v>5</v>
      </c>
      <c r="C31" s="186">
        <v>2</v>
      </c>
      <c r="D31" s="186">
        <v>1</v>
      </c>
      <c r="E31" s="186">
        <f t="shared" si="6"/>
        <v>3</v>
      </c>
      <c r="F31" s="186">
        <f t="shared" si="1"/>
        <v>2</v>
      </c>
      <c r="G31" s="186"/>
      <c r="H31" s="186">
        <f t="shared" si="2"/>
        <v>2</v>
      </c>
      <c r="I31" s="186">
        <f t="shared" si="3"/>
        <v>-2</v>
      </c>
      <c r="J31" s="186"/>
      <c r="K31" s="186">
        <f t="shared" si="7"/>
        <v>-2</v>
      </c>
      <c r="L31" s="186">
        <v>2</v>
      </c>
      <c r="M31" s="186">
        <v>4</v>
      </c>
      <c r="N31" s="186"/>
      <c r="O31" s="186"/>
      <c r="P31" s="186"/>
    </row>
    <row r="32" spans="1:16" ht="12" customHeight="1">
      <c r="A32" s="582" t="s">
        <v>600</v>
      </c>
      <c r="B32" s="186">
        <v>9</v>
      </c>
      <c r="C32" s="186">
        <v>4</v>
      </c>
      <c r="D32" s="186">
        <v>2</v>
      </c>
      <c r="E32" s="186">
        <f t="shared" si="6"/>
        <v>6</v>
      </c>
      <c r="F32" s="186">
        <f t="shared" si="1"/>
        <v>3</v>
      </c>
      <c r="G32" s="186"/>
      <c r="H32" s="186">
        <f t="shared" si="2"/>
        <v>3</v>
      </c>
      <c r="I32" s="186">
        <f t="shared" si="3"/>
        <v>-3</v>
      </c>
      <c r="J32" s="186"/>
      <c r="K32" s="186">
        <f t="shared" si="7"/>
        <v>-3</v>
      </c>
      <c r="L32" s="186">
        <v>4</v>
      </c>
      <c r="M32" s="186">
        <v>7</v>
      </c>
      <c r="N32" s="186"/>
      <c r="O32" s="186"/>
      <c r="P32" s="186"/>
    </row>
    <row r="33" spans="1:16" ht="12" customHeight="1">
      <c r="A33" s="582" t="s">
        <v>601</v>
      </c>
      <c r="B33" s="186"/>
      <c r="C33" s="186">
        <v>2</v>
      </c>
      <c r="D33" s="186"/>
      <c r="E33" s="186">
        <f t="shared" si="6"/>
        <v>2</v>
      </c>
      <c r="F33" s="186">
        <f t="shared" si="1"/>
        <v>-2</v>
      </c>
      <c r="G33" s="186"/>
      <c r="H33" s="186">
        <f t="shared" si="2"/>
        <v>-2</v>
      </c>
      <c r="I33" s="186">
        <f t="shared" si="3"/>
        <v>2</v>
      </c>
      <c r="J33" s="186"/>
      <c r="K33" s="186">
        <f t="shared" si="7"/>
        <v>2</v>
      </c>
      <c r="L33" s="186">
        <v>3</v>
      </c>
      <c r="M33" s="186">
        <v>1</v>
      </c>
      <c r="N33" s="186"/>
      <c r="O33" s="186"/>
      <c r="P33" s="186"/>
    </row>
    <row r="34" spans="1:16" ht="12" customHeight="1">
      <c r="A34" s="582" t="s">
        <v>602</v>
      </c>
      <c r="B34" s="186">
        <v>16</v>
      </c>
      <c r="C34" s="186">
        <v>13</v>
      </c>
      <c r="D34" s="186">
        <v>2</v>
      </c>
      <c r="E34" s="186">
        <f t="shared" si="6"/>
        <v>15</v>
      </c>
      <c r="F34" s="186">
        <f t="shared" si="1"/>
        <v>1</v>
      </c>
      <c r="G34" s="186"/>
      <c r="H34" s="186">
        <f t="shared" si="2"/>
        <v>1</v>
      </c>
      <c r="I34" s="186">
        <f t="shared" si="3"/>
        <v>-1</v>
      </c>
      <c r="J34" s="186"/>
      <c r="K34" s="186">
        <f t="shared" si="7"/>
        <v>-1</v>
      </c>
      <c r="L34" s="186">
        <v>4</v>
      </c>
      <c r="M34" s="186">
        <v>5</v>
      </c>
      <c r="N34" s="186"/>
      <c r="O34" s="186"/>
      <c r="P34" s="186"/>
    </row>
    <row r="35" spans="1:16" ht="12" customHeight="1">
      <c r="A35" s="582" t="s">
        <v>603</v>
      </c>
      <c r="B35" s="186">
        <v>5</v>
      </c>
      <c r="C35" s="186">
        <v>5</v>
      </c>
      <c r="D35" s="186"/>
      <c r="E35" s="186">
        <f t="shared" si="6"/>
        <v>5</v>
      </c>
      <c r="F35" s="186">
        <f t="shared" si="1"/>
        <v>0</v>
      </c>
      <c r="G35" s="186"/>
      <c r="H35" s="186">
        <f t="shared" si="2"/>
        <v>0</v>
      </c>
      <c r="I35" s="186">
        <f t="shared" si="3"/>
        <v>0</v>
      </c>
      <c r="J35" s="186"/>
      <c r="K35" s="186">
        <f t="shared" si="7"/>
        <v>0</v>
      </c>
      <c r="L35" s="186">
        <v>2</v>
      </c>
      <c r="M35" s="186">
        <v>2</v>
      </c>
      <c r="N35" s="186"/>
      <c r="O35" s="186"/>
      <c r="P35" s="186"/>
    </row>
    <row r="36" spans="1:16" ht="12" customHeight="1">
      <c r="A36" s="582" t="s">
        <v>604</v>
      </c>
      <c r="B36" s="186">
        <v>15</v>
      </c>
      <c r="C36" s="186">
        <v>15</v>
      </c>
      <c r="D36" s="186">
        <v>7</v>
      </c>
      <c r="E36" s="186">
        <f t="shared" si="6"/>
        <v>22</v>
      </c>
      <c r="F36" s="186">
        <f t="shared" si="1"/>
        <v>-7</v>
      </c>
      <c r="G36" s="186"/>
      <c r="H36" s="186">
        <f t="shared" si="2"/>
        <v>-7</v>
      </c>
      <c r="I36" s="186">
        <f t="shared" si="3"/>
        <v>7</v>
      </c>
      <c r="J36" s="186"/>
      <c r="K36" s="186">
        <f t="shared" si="7"/>
        <v>7</v>
      </c>
      <c r="L36" s="186">
        <v>15</v>
      </c>
      <c r="M36" s="186">
        <v>8</v>
      </c>
      <c r="N36" s="186"/>
      <c r="O36" s="186"/>
      <c r="P36" s="186"/>
    </row>
    <row r="37" spans="1:16" ht="12" customHeight="1">
      <c r="A37" s="582" t="s">
        <v>605</v>
      </c>
      <c r="B37" s="186">
        <v>7</v>
      </c>
      <c r="C37" s="186">
        <v>4</v>
      </c>
      <c r="D37" s="186">
        <v>1</v>
      </c>
      <c r="E37" s="186">
        <f t="shared" si="6"/>
        <v>5</v>
      </c>
      <c r="F37" s="186">
        <f t="shared" si="1"/>
        <v>2</v>
      </c>
      <c r="G37" s="186"/>
      <c r="H37" s="186">
        <f t="shared" si="2"/>
        <v>2</v>
      </c>
      <c r="I37" s="186">
        <f t="shared" si="3"/>
        <v>-2</v>
      </c>
      <c r="J37" s="186"/>
      <c r="K37" s="186">
        <f t="shared" si="7"/>
        <v>-2</v>
      </c>
      <c r="L37" s="186">
        <v>1</v>
      </c>
      <c r="M37" s="186">
        <v>3</v>
      </c>
      <c r="N37" s="186"/>
      <c r="O37" s="186"/>
      <c r="P37" s="186"/>
    </row>
    <row r="38" spans="1:16" ht="12" customHeight="1">
      <c r="A38" s="582" t="s">
        <v>606</v>
      </c>
      <c r="B38" s="186">
        <v>51</v>
      </c>
      <c r="C38" s="186">
        <v>27</v>
      </c>
      <c r="D38" s="186">
        <v>11</v>
      </c>
      <c r="E38" s="186">
        <f t="shared" si="6"/>
        <v>38</v>
      </c>
      <c r="F38" s="186">
        <f t="shared" si="1"/>
        <v>13</v>
      </c>
      <c r="G38" s="186"/>
      <c r="H38" s="186">
        <f t="shared" si="2"/>
        <v>13</v>
      </c>
      <c r="I38" s="186">
        <f t="shared" si="3"/>
        <v>-13</v>
      </c>
      <c r="J38" s="186"/>
      <c r="K38" s="186">
        <f t="shared" si="7"/>
        <v>-13</v>
      </c>
      <c r="L38" s="186">
        <v>17</v>
      </c>
      <c r="M38" s="186">
        <v>30</v>
      </c>
      <c r="N38" s="186"/>
      <c r="O38" s="186"/>
      <c r="P38" s="186"/>
    </row>
    <row r="39" spans="1:16" ht="12" customHeight="1">
      <c r="A39" s="582" t="s">
        <v>607</v>
      </c>
      <c r="B39" s="186">
        <v>16</v>
      </c>
      <c r="C39" s="186">
        <v>11</v>
      </c>
      <c r="D39" s="186">
        <v>1</v>
      </c>
      <c r="E39" s="186">
        <f t="shared" si="6"/>
        <v>12</v>
      </c>
      <c r="F39" s="186">
        <f t="shared" si="1"/>
        <v>4</v>
      </c>
      <c r="G39" s="186"/>
      <c r="H39" s="186">
        <f t="shared" si="2"/>
        <v>4</v>
      </c>
      <c r="I39" s="186">
        <f t="shared" si="3"/>
        <v>-4</v>
      </c>
      <c r="J39" s="186"/>
      <c r="K39" s="186">
        <f t="shared" si="7"/>
        <v>-4</v>
      </c>
      <c r="L39" s="186">
        <v>2</v>
      </c>
      <c r="M39" s="186">
        <v>6</v>
      </c>
      <c r="N39" s="186"/>
      <c r="O39" s="186"/>
      <c r="P39" s="186"/>
    </row>
    <row r="40" spans="1:16" ht="12" customHeight="1">
      <c r="A40" s="582" t="s">
        <v>608</v>
      </c>
      <c r="B40" s="186">
        <v>68</v>
      </c>
      <c r="C40" s="186">
        <v>33</v>
      </c>
      <c r="D40" s="186">
        <v>8</v>
      </c>
      <c r="E40" s="186">
        <f t="shared" si="6"/>
        <v>41</v>
      </c>
      <c r="F40" s="186">
        <f t="shared" si="1"/>
        <v>27</v>
      </c>
      <c r="G40" s="186"/>
      <c r="H40" s="186">
        <f t="shared" si="2"/>
        <v>27</v>
      </c>
      <c r="I40" s="186">
        <f t="shared" si="3"/>
        <v>-27</v>
      </c>
      <c r="J40" s="186">
        <v>-3</v>
      </c>
      <c r="K40" s="186">
        <f t="shared" si="7"/>
        <v>-24</v>
      </c>
      <c r="L40" s="186">
        <v>20</v>
      </c>
      <c r="M40" s="186">
        <v>44</v>
      </c>
      <c r="N40" s="186"/>
      <c r="O40" s="186"/>
      <c r="P40" s="186"/>
    </row>
    <row r="41" spans="1:16" ht="12" customHeight="1">
      <c r="A41" s="582" t="s">
        <v>609</v>
      </c>
      <c r="B41" s="186">
        <v>11</v>
      </c>
      <c r="C41" s="186">
        <v>17</v>
      </c>
      <c r="D41" s="186">
        <v>2</v>
      </c>
      <c r="E41" s="186">
        <f t="shared" si="6"/>
        <v>19</v>
      </c>
      <c r="F41" s="186">
        <f t="shared" si="1"/>
        <v>-8</v>
      </c>
      <c r="G41" s="186"/>
      <c r="H41" s="186">
        <f t="shared" si="2"/>
        <v>-8</v>
      </c>
      <c r="I41" s="186">
        <f t="shared" si="3"/>
        <v>8</v>
      </c>
      <c r="J41" s="186"/>
      <c r="K41" s="186">
        <f t="shared" si="7"/>
        <v>5</v>
      </c>
      <c r="L41" s="186">
        <v>12</v>
      </c>
      <c r="M41" s="186">
        <v>7</v>
      </c>
      <c r="N41" s="186"/>
      <c r="O41" s="186">
        <v>3</v>
      </c>
      <c r="P41" s="186"/>
    </row>
    <row r="42" spans="1:16" ht="12" customHeight="1">
      <c r="A42" s="582" t="s">
        <v>610</v>
      </c>
      <c r="B42" s="186">
        <v>4</v>
      </c>
      <c r="C42" s="186">
        <v>3</v>
      </c>
      <c r="D42" s="186">
        <v>2</v>
      </c>
      <c r="E42" s="186">
        <f t="shared" si="6"/>
        <v>5</v>
      </c>
      <c r="F42" s="186">
        <f t="shared" si="1"/>
        <v>-1</v>
      </c>
      <c r="G42" s="186"/>
      <c r="H42" s="186">
        <f t="shared" si="2"/>
        <v>-1</v>
      </c>
      <c r="I42" s="186">
        <f t="shared" si="3"/>
        <v>1</v>
      </c>
      <c r="J42" s="186"/>
      <c r="K42" s="186">
        <f t="shared" si="7"/>
        <v>1</v>
      </c>
      <c r="L42" s="186">
        <v>7</v>
      </c>
      <c r="M42" s="186">
        <v>6</v>
      </c>
      <c r="N42" s="186"/>
      <c r="O42" s="186"/>
      <c r="P42" s="186"/>
    </row>
    <row r="43" spans="1:16" ht="12" customHeight="1">
      <c r="A43" s="582" t="s">
        <v>611</v>
      </c>
      <c r="B43" s="186">
        <v>43</v>
      </c>
      <c r="C43" s="186">
        <v>29</v>
      </c>
      <c r="D43" s="186">
        <v>4</v>
      </c>
      <c r="E43" s="186">
        <f t="shared" si="6"/>
        <v>33</v>
      </c>
      <c r="F43" s="186">
        <f t="shared" si="1"/>
        <v>10</v>
      </c>
      <c r="G43" s="186"/>
      <c r="H43" s="186">
        <f t="shared" si="2"/>
        <v>10</v>
      </c>
      <c r="I43" s="186">
        <f t="shared" si="3"/>
        <v>-10</v>
      </c>
      <c r="J43" s="186"/>
      <c r="K43" s="186">
        <f t="shared" si="7"/>
        <v>-10</v>
      </c>
      <c r="L43" s="186">
        <v>6</v>
      </c>
      <c r="M43" s="186">
        <v>16</v>
      </c>
      <c r="N43" s="186"/>
      <c r="O43" s="186"/>
      <c r="P43" s="186"/>
    </row>
    <row r="44" spans="1:16" ht="12" customHeight="1">
      <c r="A44" s="582" t="s">
        <v>612</v>
      </c>
      <c r="B44" s="186">
        <v>4</v>
      </c>
      <c r="C44" s="186">
        <v>2</v>
      </c>
      <c r="D44" s="186"/>
      <c r="E44" s="186">
        <f t="shared" si="6"/>
        <v>2</v>
      </c>
      <c r="F44" s="186">
        <f t="shared" si="1"/>
        <v>2</v>
      </c>
      <c r="G44" s="186"/>
      <c r="H44" s="186">
        <f t="shared" si="2"/>
        <v>2</v>
      </c>
      <c r="I44" s="186">
        <f t="shared" si="3"/>
        <v>-2</v>
      </c>
      <c r="J44" s="186"/>
      <c r="K44" s="186">
        <f t="shared" si="7"/>
        <v>-2</v>
      </c>
      <c r="L44" s="186">
        <v>3</v>
      </c>
      <c r="M44" s="186">
        <v>5</v>
      </c>
      <c r="N44" s="186"/>
      <c r="O44" s="186"/>
      <c r="P44" s="186"/>
    </row>
    <row r="45" spans="1:16" ht="12" customHeight="1">
      <c r="A45" s="413" t="s">
        <v>613</v>
      </c>
      <c r="B45" s="186">
        <f aca="true" t="shared" si="8" ref="B45:G45">SUM(B19:B44)</f>
        <v>510</v>
      </c>
      <c r="C45" s="186">
        <f t="shared" si="8"/>
        <v>375</v>
      </c>
      <c r="D45" s="186">
        <f t="shared" si="8"/>
        <v>79</v>
      </c>
      <c r="E45" s="186">
        <f t="shared" si="8"/>
        <v>454</v>
      </c>
      <c r="F45" s="186">
        <f t="shared" si="8"/>
        <v>56</v>
      </c>
      <c r="G45" s="186">
        <f t="shared" si="8"/>
        <v>0</v>
      </c>
      <c r="H45" s="186">
        <f t="shared" si="2"/>
        <v>56</v>
      </c>
      <c r="I45" s="186">
        <f t="shared" si="3"/>
        <v>-56</v>
      </c>
      <c r="J45" s="186">
        <f aca="true" t="shared" si="9" ref="J45:P45">SUM(J19:J44)</f>
        <v>-3</v>
      </c>
      <c r="K45" s="186">
        <f t="shared" si="9"/>
        <v>-52</v>
      </c>
      <c r="L45" s="186">
        <f t="shared" si="9"/>
        <v>228</v>
      </c>
      <c r="M45" s="186">
        <f t="shared" si="9"/>
        <v>280</v>
      </c>
      <c r="N45" s="186">
        <f t="shared" si="9"/>
        <v>0</v>
      </c>
      <c r="O45" s="186">
        <f t="shared" si="9"/>
        <v>-1</v>
      </c>
      <c r="P45" s="186">
        <f t="shared" si="9"/>
        <v>0</v>
      </c>
    </row>
    <row r="46" spans="1:16" ht="12" customHeight="1">
      <c r="A46" s="413" t="s">
        <v>614</v>
      </c>
      <c r="B46" s="186">
        <f aca="true" t="shared" si="10" ref="B46:P46">SUM(B18,B45)</f>
        <v>2779</v>
      </c>
      <c r="C46" s="186">
        <f t="shared" si="10"/>
        <v>1647</v>
      </c>
      <c r="D46" s="186">
        <f t="shared" si="10"/>
        <v>1359</v>
      </c>
      <c r="E46" s="186">
        <f t="shared" si="10"/>
        <v>3006</v>
      </c>
      <c r="F46" s="186">
        <f t="shared" si="10"/>
        <v>-227</v>
      </c>
      <c r="G46" s="186">
        <f t="shared" si="10"/>
        <v>-846</v>
      </c>
      <c r="H46" s="186">
        <f t="shared" si="10"/>
        <v>619</v>
      </c>
      <c r="I46" s="186">
        <f t="shared" si="10"/>
        <v>-619</v>
      </c>
      <c r="J46" s="186">
        <f t="shared" si="10"/>
        <v>-3</v>
      </c>
      <c r="K46" s="186">
        <f t="shared" si="10"/>
        <v>-615</v>
      </c>
      <c r="L46" s="186">
        <f t="shared" si="10"/>
        <v>1842</v>
      </c>
      <c r="M46" s="186">
        <f t="shared" si="10"/>
        <v>2457</v>
      </c>
      <c r="N46" s="186">
        <f t="shared" si="10"/>
        <v>0</v>
      </c>
      <c r="O46" s="186">
        <f t="shared" si="10"/>
        <v>-1</v>
      </c>
      <c r="P46" s="186">
        <f t="shared" si="10"/>
        <v>0</v>
      </c>
    </row>
    <row r="47" ht="17.25" customHeight="1"/>
    <row r="48" ht="17.25" customHeight="1"/>
    <row r="49" s="488" customFormat="1" ht="17.25" customHeight="1">
      <c r="A49" s="578"/>
    </row>
    <row r="54" spans="1:11" s="598" customFormat="1" ht="17.25" customHeight="1">
      <c r="A54" s="41" t="s">
        <v>900</v>
      </c>
      <c r="B54" s="39"/>
      <c r="C54" s="39"/>
      <c r="D54" s="483"/>
      <c r="E54" s="567"/>
      <c r="F54" s="483"/>
      <c r="H54" s="483"/>
      <c r="I54" s="488"/>
      <c r="K54" s="39" t="s">
        <v>862</v>
      </c>
    </row>
    <row r="56" spans="1:8" s="487" customFormat="1" ht="17.25" customHeight="1">
      <c r="A56" s="512"/>
      <c r="B56" s="592"/>
      <c r="C56" s="483"/>
      <c r="D56" s="591"/>
      <c r="E56" s="483"/>
      <c r="F56" s="591"/>
      <c r="G56" s="591"/>
      <c r="H56" s="483"/>
    </row>
    <row r="58" spans="1:16" s="488" customFormat="1" ht="17.25" customHeight="1">
      <c r="A58" s="534" t="s">
        <v>272</v>
      </c>
      <c r="B58" s="134"/>
      <c r="C58" s="1"/>
      <c r="D58" s="134"/>
      <c r="E58" s="134"/>
      <c r="F58" s="134"/>
      <c r="G58" s="1"/>
      <c r="H58" s="599"/>
      <c r="I58" s="134"/>
      <c r="J58" s="134"/>
      <c r="K58" s="134"/>
      <c r="L58" s="134"/>
      <c r="M58" s="134"/>
      <c r="N58" s="134"/>
      <c r="O58" s="134"/>
      <c r="P58" s="134"/>
    </row>
    <row r="59" s="598" customFormat="1" ht="17.25" customHeight="1">
      <c r="A59" s="504" t="s">
        <v>847</v>
      </c>
    </row>
    <row r="60" spans="1:6" s="598" customFormat="1" ht="17.25" customHeight="1">
      <c r="A60" s="600"/>
      <c r="B60" s="483"/>
      <c r="C60" s="483"/>
      <c r="D60" s="483"/>
      <c r="E60" s="483"/>
      <c r="F60" s="483"/>
    </row>
    <row r="61" ht="24" customHeight="1"/>
    <row r="67" ht="17.25" customHeight="1">
      <c r="A67" s="261"/>
    </row>
    <row r="68" s="261" customFormat="1" ht="17.25" customHeight="1">
      <c r="A68" s="502"/>
    </row>
    <row r="69" ht="17.25" customHeight="1">
      <c r="A69" s="502"/>
    </row>
  </sheetData>
  <mergeCells count="12">
    <mergeCell ref="A2:P2"/>
    <mergeCell ref="A4:P4"/>
    <mergeCell ref="A5:P5"/>
    <mergeCell ref="A7:A9"/>
    <mergeCell ref="B7:B9"/>
    <mergeCell ref="C7:E8"/>
    <mergeCell ref="F7:F9"/>
    <mergeCell ref="G7:G9"/>
    <mergeCell ref="H7:H9"/>
    <mergeCell ref="I7:I9"/>
    <mergeCell ref="P7:P9"/>
    <mergeCell ref="J8:O8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36.28125" style="256" customWidth="1"/>
    <col min="2" max="2" width="14.421875" style="256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407"/>
      <c r="E1" s="406" t="s">
        <v>642</v>
      </c>
    </row>
    <row r="2" ht="17.25" customHeight="1">
      <c r="A2" s="256" t="s">
        <v>335</v>
      </c>
    </row>
    <row r="4" spans="1:5" ht="30" customHeight="1">
      <c r="A4" s="880" t="s">
        <v>643</v>
      </c>
      <c r="B4" s="880"/>
      <c r="C4" s="880"/>
      <c r="D4" s="880"/>
      <c r="E4" s="880"/>
    </row>
    <row r="5" spans="1:5" ht="17.25" customHeight="1">
      <c r="A5" s="917" t="s">
        <v>865</v>
      </c>
      <c r="B5" s="917"/>
      <c r="C5" s="917"/>
      <c r="D5" s="917"/>
      <c r="E5" s="917"/>
    </row>
    <row r="6" ht="17.25" customHeight="1">
      <c r="E6" s="406" t="s">
        <v>957</v>
      </c>
    </row>
    <row r="7" spans="1:5" ht="38.25">
      <c r="A7" s="304" t="s">
        <v>791</v>
      </c>
      <c r="B7" s="539" t="s">
        <v>401</v>
      </c>
      <c r="C7" s="305" t="s">
        <v>337</v>
      </c>
      <c r="D7" s="304" t="s">
        <v>644</v>
      </c>
      <c r="E7" s="9" t="s">
        <v>850</v>
      </c>
    </row>
    <row r="8" spans="1:5" ht="17.25" customHeight="1">
      <c r="A8" s="267">
        <v>1</v>
      </c>
      <c r="B8" s="267">
        <v>2</v>
      </c>
      <c r="C8" s="353">
        <v>3</v>
      </c>
      <c r="D8" s="267">
        <v>4</v>
      </c>
      <c r="E8" s="353">
        <v>5</v>
      </c>
    </row>
    <row r="9" spans="1:5" ht="25.5">
      <c r="A9" s="92" t="s">
        <v>339</v>
      </c>
      <c r="B9" s="267" t="s">
        <v>797</v>
      </c>
      <c r="C9" s="411">
        <f>SUM(C10:C11)</f>
        <v>2779</v>
      </c>
      <c r="D9" s="267" t="s">
        <v>797</v>
      </c>
      <c r="E9" s="411">
        <f>C9-'[23]Junijs'!C9</f>
        <v>230</v>
      </c>
    </row>
    <row r="10" spans="1:5" ht="25.5">
      <c r="A10" s="69" t="s">
        <v>340</v>
      </c>
      <c r="B10" s="267" t="s">
        <v>797</v>
      </c>
      <c r="C10" s="410">
        <f>2165+3</f>
        <v>2168</v>
      </c>
      <c r="D10" s="267" t="s">
        <v>797</v>
      </c>
      <c r="E10" s="410">
        <f>C10-'[23]Junijs'!C10</f>
        <v>211</v>
      </c>
    </row>
    <row r="11" spans="1:5" ht="25.5">
      <c r="A11" s="69" t="s">
        <v>341</v>
      </c>
      <c r="B11" s="267" t="s">
        <v>797</v>
      </c>
      <c r="C11" s="410">
        <v>611</v>
      </c>
      <c r="D11" s="267" t="s">
        <v>797</v>
      </c>
      <c r="E11" s="410">
        <f>C11-'[23]Junijs'!C11</f>
        <v>19</v>
      </c>
    </row>
    <row r="12" spans="1:5" ht="25.5">
      <c r="A12" s="69" t="s">
        <v>342</v>
      </c>
      <c r="B12" s="267" t="s">
        <v>797</v>
      </c>
      <c r="C12" s="410">
        <v>0</v>
      </c>
      <c r="D12" s="267" t="s">
        <v>797</v>
      </c>
      <c r="E12" s="410">
        <v>0</v>
      </c>
    </row>
    <row r="13" spans="1:5" ht="17.25" customHeight="1">
      <c r="A13" s="92" t="s">
        <v>343</v>
      </c>
      <c r="B13" s="96">
        <f>SUM(B14,B31,)</f>
        <v>7006</v>
      </c>
      <c r="C13" s="96">
        <f>SUM(C14,C31,)</f>
        <v>3006</v>
      </c>
      <c r="D13" s="729">
        <f>C13/B13*100</f>
        <v>42.90608050242649</v>
      </c>
      <c r="E13" s="96">
        <f>C13-'[23]Junijs'!C13</f>
        <v>352</v>
      </c>
    </row>
    <row r="14" spans="1:5" ht="17.25" customHeight="1">
      <c r="A14" s="98" t="s">
        <v>281</v>
      </c>
      <c r="B14" s="96">
        <v>3764</v>
      </c>
      <c r="C14" s="96">
        <f>SUM(C15,C25)</f>
        <v>1647</v>
      </c>
      <c r="D14" s="729">
        <f>C14/B14*100</f>
        <v>43.75664187035069</v>
      </c>
      <c r="E14" s="96">
        <f>C14-'[23]Junijs'!C14</f>
        <v>219</v>
      </c>
    </row>
    <row r="15" spans="1:5" ht="17.25" customHeight="1">
      <c r="A15" s="98" t="s">
        <v>132</v>
      </c>
      <c r="B15" s="370">
        <v>3256</v>
      </c>
      <c r="C15" s="370">
        <f>SUM(C17,C16,C18)</f>
        <v>1498</v>
      </c>
      <c r="D15" s="730">
        <f>C15/B15*100</f>
        <v>46.007371007371006</v>
      </c>
      <c r="E15" s="370">
        <f>C15-'[23]Junijs'!C15</f>
        <v>211</v>
      </c>
    </row>
    <row r="16" spans="1:5" ht="17.25" customHeight="1">
      <c r="A16" s="242" t="s">
        <v>133</v>
      </c>
      <c r="B16" s="416">
        <v>340</v>
      </c>
      <c r="C16" s="410">
        <v>188</v>
      </c>
      <c r="D16" s="731">
        <f>C16/B16*100</f>
        <v>55.294117647058826</v>
      </c>
      <c r="E16" s="410">
        <f>C16-'[23]Junijs'!C16</f>
        <v>23</v>
      </c>
    </row>
    <row r="17" spans="1:5" ht="25.5">
      <c r="A17" s="69" t="s">
        <v>344</v>
      </c>
      <c r="B17" s="334" t="s">
        <v>797</v>
      </c>
      <c r="C17" s="410">
        <v>47</v>
      </c>
      <c r="D17" s="334" t="s">
        <v>797</v>
      </c>
      <c r="E17" s="410">
        <f>C17-'[23]Junijs'!C17</f>
        <v>5</v>
      </c>
    </row>
    <row r="18" spans="1:5" ht="17.25" customHeight="1">
      <c r="A18" s="69" t="s">
        <v>135</v>
      </c>
      <c r="B18" s="334" t="s">
        <v>797</v>
      </c>
      <c r="C18" s="281">
        <f>SUM(C19:C20)</f>
        <v>1263</v>
      </c>
      <c r="D18" s="334" t="s">
        <v>797</v>
      </c>
      <c r="E18" s="281">
        <f>C18-'[23]Junijs'!C18</f>
        <v>183</v>
      </c>
    </row>
    <row r="19" spans="1:5" ht="17.25" customHeight="1">
      <c r="A19" s="336" t="s">
        <v>346</v>
      </c>
      <c r="B19" s="419" t="s">
        <v>797</v>
      </c>
      <c r="C19" s="410">
        <f>970+209</f>
        <v>1179</v>
      </c>
      <c r="D19" s="419" t="s">
        <v>797</v>
      </c>
      <c r="E19" s="410">
        <f>C19-'[23]Junijs'!C19</f>
        <v>326</v>
      </c>
    </row>
    <row r="20" spans="1:5" ht="17.25" customHeight="1">
      <c r="A20" s="336" t="s">
        <v>347</v>
      </c>
      <c r="B20" s="419" t="s">
        <v>797</v>
      </c>
      <c r="C20" s="410">
        <f>52+31+1</f>
        <v>84</v>
      </c>
      <c r="D20" s="419" t="s">
        <v>797</v>
      </c>
      <c r="E20" s="410">
        <f>C20-'[23]Junijs'!C20</f>
        <v>-143</v>
      </c>
    </row>
    <row r="21" spans="1:5" ht="17.25" customHeight="1">
      <c r="A21" s="69" t="s">
        <v>348</v>
      </c>
      <c r="B21" s="334" t="s">
        <v>797</v>
      </c>
      <c r="C21" s="410"/>
      <c r="D21" s="334" t="s">
        <v>797</v>
      </c>
      <c r="E21" s="410"/>
    </row>
    <row r="22" spans="1:5" ht="25.5">
      <c r="A22" s="76" t="s">
        <v>136</v>
      </c>
      <c r="B22" s="334" t="s">
        <v>797</v>
      </c>
      <c r="C22" s="281"/>
      <c r="D22" s="601" t="str">
        <f>IF(ISERROR(ROUND(C22,0)/ROUND(g,0))," ",(ROUND(C22,)/ROUND(B22,)))</f>
        <v> </v>
      </c>
      <c r="E22" s="281"/>
    </row>
    <row r="23" spans="1:5" ht="25.5">
      <c r="A23" s="69" t="s">
        <v>349</v>
      </c>
      <c r="B23" s="334" t="s">
        <v>797</v>
      </c>
      <c r="C23" s="410"/>
      <c r="D23" s="334" t="s">
        <v>797</v>
      </c>
      <c r="E23" s="410"/>
    </row>
    <row r="24" spans="1:5" ht="25.5">
      <c r="A24" s="69" t="s">
        <v>350</v>
      </c>
      <c r="B24" s="334" t="s">
        <v>797</v>
      </c>
      <c r="C24" s="410"/>
      <c r="D24" s="334" t="s">
        <v>797</v>
      </c>
      <c r="E24" s="410"/>
    </row>
    <row r="25" spans="1:6" ht="17.25" customHeight="1">
      <c r="A25" s="32" t="s">
        <v>140</v>
      </c>
      <c r="B25" s="413">
        <v>508</v>
      </c>
      <c r="C25" s="370">
        <f>SUM(C26:C30)</f>
        <v>149</v>
      </c>
      <c r="D25" s="732">
        <f>C25/B25*100</f>
        <v>29.330708661417322</v>
      </c>
      <c r="E25" s="370">
        <f>C25-'[23]Junijs'!C25</f>
        <v>8</v>
      </c>
      <c r="F25" s="466"/>
    </row>
    <row r="26" spans="1:5" ht="17.25" customHeight="1">
      <c r="A26" s="242" t="s">
        <v>141</v>
      </c>
      <c r="B26" s="334" t="s">
        <v>797</v>
      </c>
      <c r="C26" s="410"/>
      <c r="D26" s="334" t="s">
        <v>797</v>
      </c>
      <c r="E26" s="410"/>
    </row>
    <row r="27" spans="1:5" ht="17.25" customHeight="1">
      <c r="A27" s="242" t="s">
        <v>142</v>
      </c>
      <c r="B27" s="334" t="s">
        <v>797</v>
      </c>
      <c r="C27" s="410"/>
      <c r="D27" s="334" t="s">
        <v>797</v>
      </c>
      <c r="E27" s="410"/>
    </row>
    <row r="28" spans="1:5" ht="17.25" customHeight="1">
      <c r="A28" s="69" t="s">
        <v>143</v>
      </c>
      <c r="B28" s="334" t="s">
        <v>797</v>
      </c>
      <c r="C28" s="410"/>
      <c r="D28" s="334" t="s">
        <v>797</v>
      </c>
      <c r="E28" s="410"/>
    </row>
    <row r="29" spans="1:5" ht="17.25" customHeight="1">
      <c r="A29" s="69" t="s">
        <v>351</v>
      </c>
      <c r="B29" s="334" t="s">
        <v>797</v>
      </c>
      <c r="C29" s="410">
        <f>116+6</f>
        <v>122</v>
      </c>
      <c r="D29" s="334" t="s">
        <v>797</v>
      </c>
      <c r="E29" s="410">
        <f>C29-'[23]Junijs'!C29</f>
        <v>7</v>
      </c>
    </row>
    <row r="30" spans="1:5" ht="17.25" customHeight="1">
      <c r="A30" s="69" t="s">
        <v>146</v>
      </c>
      <c r="B30" s="334" t="s">
        <v>797</v>
      </c>
      <c r="C30" s="410">
        <v>27</v>
      </c>
      <c r="D30" s="334" t="s">
        <v>797</v>
      </c>
      <c r="E30" s="410">
        <f>C30-'[23]Junijs'!C30</f>
        <v>1</v>
      </c>
    </row>
    <row r="31" spans="1:5" ht="17.25" customHeight="1">
      <c r="A31" s="128" t="s">
        <v>352</v>
      </c>
      <c r="B31" s="370">
        <f>SUM(B32:B33)</f>
        <v>3242</v>
      </c>
      <c r="C31" s="370">
        <f>SUM(C32:C33)</f>
        <v>1359</v>
      </c>
      <c r="D31" s="732">
        <f>C31/B31*100</f>
        <v>41.9185687847008</v>
      </c>
      <c r="E31" s="370">
        <f>C31-'[23]Junijs'!C31</f>
        <v>133</v>
      </c>
    </row>
    <row r="32" spans="1:5" ht="17.25" customHeight="1">
      <c r="A32" s="69" t="s">
        <v>353</v>
      </c>
      <c r="B32" s="416">
        <f>2477+25</f>
        <v>2502</v>
      </c>
      <c r="C32" s="410">
        <f>1079+17-1</f>
        <v>1095</v>
      </c>
      <c r="D32" s="733">
        <f>C32/B32*100</f>
        <v>43.76498800959233</v>
      </c>
      <c r="E32" s="410">
        <f>C32-'[23]Junijs'!C32</f>
        <v>102</v>
      </c>
    </row>
    <row r="33" spans="1:5" ht="17.25" customHeight="1">
      <c r="A33" s="69" t="s">
        <v>354</v>
      </c>
      <c r="B33" s="416">
        <v>740</v>
      </c>
      <c r="C33" s="410">
        <v>264</v>
      </c>
      <c r="D33" s="733">
        <f>C33/B33*100</f>
        <v>35.67567567567568</v>
      </c>
      <c r="E33" s="410">
        <f>C33-'[23]Junijs'!C33</f>
        <v>31</v>
      </c>
    </row>
    <row r="34" spans="1:5" ht="17.25" customHeight="1">
      <c r="A34" s="540" t="s">
        <v>534</v>
      </c>
      <c r="B34" s="411">
        <f>B35-B36</f>
        <v>-921</v>
      </c>
      <c r="C34" s="411">
        <f>C35-C36</f>
        <v>-846</v>
      </c>
      <c r="D34" s="732">
        <f>C34/B34*100</f>
        <v>91.85667752442997</v>
      </c>
      <c r="E34" s="411">
        <f>C34-'[23]Junijs'!C34</f>
        <v>-10</v>
      </c>
    </row>
    <row r="35" spans="1:5" ht="17.25" customHeight="1">
      <c r="A35" s="541" t="s">
        <v>535</v>
      </c>
      <c r="B35" s="416"/>
      <c r="C35" s="410">
        <v>0</v>
      </c>
      <c r="D35" s="733"/>
      <c r="E35" s="410">
        <v>0</v>
      </c>
    </row>
    <row r="36" spans="1:5" ht="25.5">
      <c r="A36" s="541" t="s">
        <v>536</v>
      </c>
      <c r="B36" s="416">
        <v>921</v>
      </c>
      <c r="C36" s="410">
        <v>846</v>
      </c>
      <c r="D36" s="733">
        <f>C36/B36*100</f>
        <v>91.85667752442997</v>
      </c>
      <c r="E36" s="410">
        <f>C36-'[23]Junijs'!C36</f>
        <v>10</v>
      </c>
    </row>
    <row r="37" spans="1:5" ht="17.25" customHeight="1">
      <c r="A37" s="128" t="s">
        <v>645</v>
      </c>
      <c r="B37" s="334" t="s">
        <v>797</v>
      </c>
      <c r="C37" s="370">
        <f>C9-C13-C34</f>
        <v>619</v>
      </c>
      <c r="D37" s="602" t="s">
        <v>797</v>
      </c>
      <c r="E37" s="603" t="s">
        <v>797</v>
      </c>
    </row>
    <row r="38" spans="1:5" ht="17.25" customHeight="1">
      <c r="A38" s="128" t="s">
        <v>166</v>
      </c>
      <c r="B38" s="334" t="s">
        <v>797</v>
      </c>
      <c r="C38" s="370">
        <f>-C37</f>
        <v>-619</v>
      </c>
      <c r="D38" s="602" t="s">
        <v>797</v>
      </c>
      <c r="E38" s="603" t="s">
        <v>797</v>
      </c>
    </row>
    <row r="39" spans="1:5" ht="25.5">
      <c r="A39" s="131" t="s">
        <v>356</v>
      </c>
      <c r="B39" s="334" t="s">
        <v>797</v>
      </c>
      <c r="C39" s="370">
        <f>C38</f>
        <v>-619</v>
      </c>
      <c r="D39" s="334" t="s">
        <v>797</v>
      </c>
      <c r="E39" s="353" t="s">
        <v>797</v>
      </c>
    </row>
    <row r="40" spans="1:5" ht="17.25" customHeight="1">
      <c r="A40" s="918"/>
      <c r="B40" s="918"/>
      <c r="C40" s="918"/>
      <c r="D40" s="918"/>
      <c r="E40" s="918"/>
    </row>
    <row r="42" spans="1:5" ht="17.25" customHeight="1">
      <c r="A42" s="84"/>
      <c r="B42" s="425"/>
      <c r="C42" s="427"/>
      <c r="D42" s="348"/>
      <c r="E42" s="427"/>
    </row>
    <row r="43" spans="1:5" ht="17.25" customHeight="1">
      <c r="A43" s="84"/>
      <c r="B43" s="84"/>
      <c r="C43" s="428"/>
      <c r="D43" s="380"/>
      <c r="E43" s="427"/>
    </row>
    <row r="44" spans="1:4" ht="17.25" customHeight="1">
      <c r="A44" s="41" t="s">
        <v>900</v>
      </c>
      <c r="B44" s="39"/>
      <c r="C44" s="39"/>
      <c r="D44" s="39" t="s">
        <v>862</v>
      </c>
    </row>
    <row r="45" spans="1:4" ht="17.25" customHeight="1">
      <c r="A45" s="84"/>
      <c r="B45" s="425"/>
      <c r="C45" s="427"/>
      <c r="D45" s="348"/>
    </row>
    <row r="46" spans="2:5" ht="17.25" customHeight="1">
      <c r="B46" s="429"/>
      <c r="C46" s="407"/>
      <c r="D46" s="430"/>
      <c r="E46" s="407"/>
    </row>
    <row r="47" spans="2:4" ht="17.25" customHeight="1">
      <c r="B47" s="42"/>
      <c r="D47" s="430"/>
    </row>
    <row r="48" spans="2:4" ht="17.25" customHeight="1">
      <c r="B48" s="42"/>
      <c r="D48" s="430"/>
    </row>
    <row r="49" spans="1:4" ht="17.25" customHeight="1">
      <c r="A49" s="49" t="s">
        <v>953</v>
      </c>
      <c r="B49" s="42"/>
      <c r="D49" s="430"/>
    </row>
    <row r="50" spans="1:4" ht="17.25" customHeight="1">
      <c r="A50" s="49" t="s">
        <v>847</v>
      </c>
      <c r="B50" s="42"/>
      <c r="D50" s="430"/>
    </row>
    <row r="51" ht="17.25" customHeight="1">
      <c r="A51" s="1"/>
    </row>
    <row r="52" ht="17.25" customHeight="1">
      <c r="A52" s="294"/>
    </row>
    <row r="53" spans="2:4" ht="17.25" customHeight="1">
      <c r="B53" s="42"/>
      <c r="D53" s="430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36.7109375" style="505" customWidth="1"/>
    <col min="2" max="2" width="11.140625" style="550" customWidth="1"/>
    <col min="3" max="3" width="11.421875" style="483" customWidth="1"/>
    <col min="4" max="4" width="14.28125" style="483" customWidth="1"/>
    <col min="5" max="5" width="14.57421875" style="483" customWidth="1"/>
    <col min="6" max="6" width="8.28125" style="0" customWidth="1"/>
    <col min="9" max="9" width="8.421875" style="0" customWidth="1"/>
    <col min="73" max="16384" width="9.140625" style="483" customWidth="1"/>
  </cols>
  <sheetData>
    <row r="1" spans="2:5" ht="17.25" customHeight="1">
      <c r="B1" s="506"/>
      <c r="C1" s="51"/>
      <c r="D1" s="51"/>
      <c r="E1" s="51" t="s">
        <v>646</v>
      </c>
    </row>
    <row r="2" spans="1:5" ht="12.75">
      <c r="A2" s="890" t="s">
        <v>3</v>
      </c>
      <c r="B2" s="890"/>
      <c r="C2" s="890"/>
      <c r="D2" s="890"/>
      <c r="E2" s="890"/>
    </row>
    <row r="3" spans="1:72" s="38" customFormat="1" ht="17.25" customHeight="1">
      <c r="A3" s="506"/>
      <c r="B3" s="536"/>
      <c r="C3" s="87"/>
      <c r="D3" s="87"/>
      <c r="E3" s="8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89" t="s">
        <v>647</v>
      </c>
      <c r="B4" s="889"/>
      <c r="C4" s="889"/>
      <c r="D4" s="889"/>
      <c r="E4" s="889"/>
    </row>
    <row r="5" spans="1:72" s="509" customFormat="1" ht="17.25" customHeight="1">
      <c r="A5" s="890" t="s">
        <v>865</v>
      </c>
      <c r="B5" s="890"/>
      <c r="C5" s="890"/>
      <c r="D5" s="890"/>
      <c r="E5" s="890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538"/>
      <c r="C6" s="38"/>
      <c r="E6" s="2" t="s">
        <v>957</v>
      </c>
    </row>
    <row r="7" spans="1:72" s="38" customFormat="1" ht="22.5">
      <c r="A7" s="539" t="s">
        <v>791</v>
      </c>
      <c r="B7" s="516" t="s">
        <v>401</v>
      </c>
      <c r="C7" s="516" t="s">
        <v>959</v>
      </c>
      <c r="D7" s="516" t="s">
        <v>453</v>
      </c>
      <c r="E7" s="9" t="s">
        <v>850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517" t="s">
        <v>454</v>
      </c>
      <c r="B8" s="518" t="s">
        <v>497</v>
      </c>
      <c r="C8" s="518" t="s">
        <v>498</v>
      </c>
      <c r="D8" s="518" t="s">
        <v>499</v>
      </c>
      <c r="E8" s="518" t="s">
        <v>455</v>
      </c>
    </row>
    <row r="9" spans="1:5" ht="12.75">
      <c r="A9" s="520" t="s">
        <v>648</v>
      </c>
      <c r="B9" s="179">
        <f>B10+B28</f>
        <v>6085</v>
      </c>
      <c r="C9" s="179">
        <f>C10+C28</f>
        <v>2160</v>
      </c>
      <c r="D9" s="219">
        <f>C9/B9*100</f>
        <v>35.49712407559573</v>
      </c>
      <c r="E9" s="179">
        <f>C9-'[24]Junijs'!C9</f>
        <v>342</v>
      </c>
    </row>
    <row r="10" spans="1:72" s="49" customFormat="1" ht="17.25" customHeight="1">
      <c r="A10" s="540" t="s">
        <v>649</v>
      </c>
      <c r="B10" s="179">
        <f>SUM(B11:B27)</f>
        <v>6079</v>
      </c>
      <c r="C10" s="179">
        <f>SUM(C11:C27)</f>
        <v>2154</v>
      </c>
      <c r="D10" s="219">
        <f>C10/B10*100</f>
        <v>35.433459450567526</v>
      </c>
      <c r="E10" s="179">
        <f>C10-'[24]Junijs'!C10</f>
        <v>343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524" t="s">
        <v>502</v>
      </c>
      <c r="B11" s="186">
        <v>142</v>
      </c>
      <c r="C11" s="186">
        <v>107</v>
      </c>
      <c r="D11" s="202">
        <f>C11/B11*100</f>
        <v>75.35211267605634</v>
      </c>
      <c r="E11" s="186">
        <f>C11-'[24]Junijs'!C11</f>
        <v>17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524" t="s">
        <v>182</v>
      </c>
      <c r="B12" s="186"/>
      <c r="C12" s="186"/>
      <c r="D12" s="202"/>
      <c r="E12" s="186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524" t="s">
        <v>183</v>
      </c>
      <c r="B13" s="186">
        <v>10</v>
      </c>
      <c r="C13" s="186">
        <v>5</v>
      </c>
      <c r="D13" s="202">
        <f aca="true" t="shared" si="0" ref="D13:D19">C13/B13*100</f>
        <v>50</v>
      </c>
      <c r="E13" s="186">
        <f>C13-'[24]Junijs'!C13</f>
        <v>2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524" t="s">
        <v>184</v>
      </c>
      <c r="B14" s="186">
        <v>979</v>
      </c>
      <c r="C14" s="186">
        <v>479</v>
      </c>
      <c r="D14" s="202">
        <f t="shared" si="0"/>
        <v>48.92747701736466</v>
      </c>
      <c r="E14" s="186">
        <f>C14-'[24]Junijs'!C14</f>
        <v>92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524" t="s">
        <v>185</v>
      </c>
      <c r="B15" s="186">
        <v>34</v>
      </c>
      <c r="C15" s="186">
        <v>15</v>
      </c>
      <c r="D15" s="202">
        <f t="shared" si="0"/>
        <v>44.11764705882353</v>
      </c>
      <c r="E15" s="186">
        <f>C15-'[24]Junijs'!C15</f>
        <v>-2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524" t="s">
        <v>186</v>
      </c>
      <c r="B16" s="186">
        <v>157</v>
      </c>
      <c r="C16" s="186">
        <v>83</v>
      </c>
      <c r="D16" s="202">
        <f t="shared" si="0"/>
        <v>52.86624203821656</v>
      </c>
      <c r="E16" s="186">
        <f>C16-'[24]Junijs'!C16</f>
        <v>10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524" t="s">
        <v>187</v>
      </c>
      <c r="B17" s="186">
        <v>3781</v>
      </c>
      <c r="C17" s="186">
        <v>1565</v>
      </c>
      <c r="D17" s="202">
        <f t="shared" si="0"/>
        <v>41.391166358106325</v>
      </c>
      <c r="E17" s="186">
        <f>C17-'[24]Junijs'!C17</f>
        <v>80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524" t="s">
        <v>369</v>
      </c>
      <c r="B18" s="186">
        <v>1118</v>
      </c>
      <c r="C18" s="186">
        <v>569</v>
      </c>
      <c r="D18" s="202">
        <f t="shared" si="0"/>
        <v>50.89445438282647</v>
      </c>
      <c r="E18" s="186">
        <f>C18-'[24]Junijs'!C18</f>
        <v>111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524" t="s">
        <v>189</v>
      </c>
      <c r="B19" s="186">
        <v>-22</v>
      </c>
      <c r="C19" s="186">
        <v>-12</v>
      </c>
      <c r="D19" s="202">
        <f t="shared" si="0"/>
        <v>54.54545454545454</v>
      </c>
      <c r="E19" s="186">
        <f>C19-'[24]Junijs'!C19</f>
        <v>-2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524" t="s">
        <v>372</v>
      </c>
      <c r="D20" s="202"/>
      <c r="E20" s="18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524" t="s">
        <v>191</v>
      </c>
      <c r="B21" s="186"/>
      <c r="C21" s="186"/>
      <c r="D21" s="202"/>
      <c r="E21" s="18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524" t="s">
        <v>503</v>
      </c>
      <c r="B22" s="186">
        <v>-619</v>
      </c>
      <c r="C22" s="186">
        <v>-751</v>
      </c>
      <c r="D22" s="202">
        <f>C22/B22*100</f>
        <v>121.32471728594507</v>
      </c>
      <c r="E22" s="18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524" t="s">
        <v>193</v>
      </c>
      <c r="B23" s="186">
        <v>325</v>
      </c>
      <c r="C23" s="186">
        <v>94</v>
      </c>
      <c r="D23" s="202">
        <f>C23/B23*100</f>
        <v>28.923076923076923</v>
      </c>
      <c r="E23" s="186">
        <f>C23-'[24]Junijs'!C23</f>
        <v>35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524" t="s">
        <v>504</v>
      </c>
      <c r="B24" s="186"/>
      <c r="C24" s="186"/>
      <c r="D24" s="202"/>
      <c r="E24" s="186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524" t="s">
        <v>505</v>
      </c>
      <c r="B25" s="186"/>
      <c r="C25" s="186"/>
      <c r="D25" s="202"/>
      <c r="E25" s="186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524" t="s">
        <v>506</v>
      </c>
      <c r="B26" s="186">
        <v>0</v>
      </c>
      <c r="C26" s="186"/>
      <c r="D26" s="202"/>
      <c r="E26" s="186">
        <f>C26-'[24]Junijs'!C26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524" t="s">
        <v>650</v>
      </c>
      <c r="B27" s="186">
        <v>174</v>
      </c>
      <c r="C27" s="186"/>
      <c r="D27" s="202">
        <f>C27/B27*100</f>
        <v>0</v>
      </c>
      <c r="E27" s="186">
        <f>C27-'[24]Junijs'!C27</f>
        <v>-1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520" t="s">
        <v>477</v>
      </c>
      <c r="B28" s="179">
        <v>6</v>
      </c>
      <c r="C28" s="179">
        <v>6</v>
      </c>
      <c r="D28" s="219">
        <f>C28/B28*100</f>
        <v>100</v>
      </c>
      <c r="E28" s="186">
        <f>C28-'[24]Junijs'!C28</f>
        <v>-1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6" customFormat="1" ht="17.25" customHeight="1">
      <c r="A29" s="544"/>
      <c r="B29" s="134"/>
      <c r="C29" s="134"/>
      <c r="D29" s="134"/>
      <c r="E29" s="13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46"/>
      <c r="B30" s="547"/>
      <c r="C30" s="545"/>
      <c r="D30" s="134"/>
      <c r="E30" s="483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46"/>
      <c r="B31" s="547"/>
      <c r="C31" s="545"/>
      <c r="D31" s="134"/>
      <c r="E31" s="483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900</v>
      </c>
      <c r="B32" s="39"/>
      <c r="C32" s="39"/>
      <c r="D32" s="39" t="s">
        <v>862</v>
      </c>
      <c r="E32" s="567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88" customFormat="1" ht="17.25" customHeight="1">
      <c r="A33" s="511"/>
      <c r="B33" s="604"/>
      <c r="C33" s="503"/>
      <c r="D33" s="503"/>
      <c r="E33" s="50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88" customFormat="1" ht="17.25" customHeight="1">
      <c r="A34" s="511"/>
      <c r="B34" s="604"/>
      <c r="C34" s="605"/>
      <c r="D34" s="605"/>
      <c r="E34" s="598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88" customFormat="1" ht="17.25" customHeight="1">
      <c r="A35" s="511"/>
      <c r="B35" s="728"/>
      <c r="E35" s="598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88" customFormat="1" ht="17.25" customHeight="1">
      <c r="A36" s="511"/>
      <c r="B36" s="604"/>
      <c r="C36" s="605"/>
      <c r="D36" s="605"/>
      <c r="E36" s="598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88" customFormat="1" ht="17.25" customHeight="1">
      <c r="A37" s="511"/>
      <c r="B37" s="604"/>
      <c r="C37" s="605"/>
      <c r="E37" s="598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505" t="s">
        <v>272</v>
      </c>
      <c r="B38" s="549"/>
      <c r="C38" s="534"/>
      <c r="D38" s="294"/>
    </row>
    <row r="39" ht="17.25" customHeight="1">
      <c r="A39" s="505" t="s">
        <v>847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51.7109375" style="483" customWidth="1"/>
    <col min="2" max="2" width="19.140625" style="483" customWidth="1"/>
  </cols>
  <sheetData>
    <row r="1" spans="1:2" ht="17.25" customHeight="1">
      <c r="A1" s="38"/>
      <c r="B1" s="49" t="s">
        <v>651</v>
      </c>
    </row>
    <row r="2" spans="1:2" ht="17.25" customHeight="1">
      <c r="A2" s="865" t="s">
        <v>3</v>
      </c>
      <c r="B2" s="865"/>
    </row>
    <row r="3" spans="1:2" ht="17.25" customHeight="1">
      <c r="A3" s="1"/>
      <c r="B3" s="1"/>
    </row>
    <row r="4" spans="1:2" ht="17.25" customHeight="1">
      <c r="A4" s="866" t="s">
        <v>652</v>
      </c>
      <c r="B4" s="866"/>
    </row>
    <row r="5" spans="1:2" ht="16.5" customHeight="1">
      <c r="A5" s="919" t="s">
        <v>901</v>
      </c>
      <c r="B5" s="919"/>
    </row>
    <row r="6" spans="1:2" ht="17.25" customHeight="1">
      <c r="A6" s="487"/>
      <c r="B6" s="487"/>
    </row>
    <row r="7" spans="1:2" ht="17.25" customHeight="1">
      <c r="A7" s="488"/>
      <c r="B7" s="365" t="s">
        <v>382</v>
      </c>
    </row>
    <row r="8" spans="1:2" ht="17.25" customHeight="1">
      <c r="A8" s="267" t="s">
        <v>791</v>
      </c>
      <c r="B8" s="201" t="s">
        <v>653</v>
      </c>
    </row>
    <row r="9" spans="1:2" ht="12.75">
      <c r="A9" s="267">
        <v>1</v>
      </c>
      <c r="B9" s="201">
        <v>2</v>
      </c>
    </row>
    <row r="10" spans="1:2" ht="18.75" customHeight="1">
      <c r="A10" s="76" t="s">
        <v>654</v>
      </c>
      <c r="B10" s="180">
        <f>SUM(B12:B14)</f>
        <v>20090499</v>
      </c>
    </row>
    <row r="11" spans="1:2" ht="25.5">
      <c r="A11" s="606" t="s">
        <v>655</v>
      </c>
      <c r="B11" s="607"/>
    </row>
    <row r="12" spans="1:2" ht="19.5" customHeight="1">
      <c r="A12" s="608" t="s">
        <v>656</v>
      </c>
      <c r="B12" s="607">
        <v>4363271</v>
      </c>
    </row>
    <row r="13" spans="1:2" ht="19.5" customHeight="1">
      <c r="A13" s="69" t="s">
        <v>657</v>
      </c>
      <c r="B13" s="609">
        <v>15727228</v>
      </c>
    </row>
    <row r="14" spans="1:2" ht="19.5" customHeight="1">
      <c r="A14" s="69" t="s">
        <v>658</v>
      </c>
      <c r="B14" s="609"/>
    </row>
    <row r="15" spans="1:2" ht="19.5" customHeight="1">
      <c r="A15" s="98" t="s">
        <v>659</v>
      </c>
      <c r="B15" s="180">
        <f>B16</f>
        <v>20044565</v>
      </c>
    </row>
    <row r="16" spans="1:2" ht="19.5" customHeight="1">
      <c r="A16" s="69" t="s">
        <v>660</v>
      </c>
      <c r="B16" s="609">
        <v>20044565</v>
      </c>
    </row>
    <row r="17" spans="1:2" ht="19.5" customHeight="1">
      <c r="A17" s="98" t="s">
        <v>661</v>
      </c>
      <c r="B17" s="180">
        <f>B18+B10-B15</f>
        <v>55116</v>
      </c>
    </row>
    <row r="18" spans="1:2" ht="19.5" customHeight="1">
      <c r="A18" s="69" t="s">
        <v>662</v>
      </c>
      <c r="B18" s="609">
        <v>9182</v>
      </c>
    </row>
    <row r="19" spans="1:2" ht="17.25" customHeight="1">
      <c r="A19" s="83"/>
      <c r="B19" s="83"/>
    </row>
    <row r="20" spans="1:2" ht="17.25" customHeight="1">
      <c r="A20" s="83"/>
      <c r="B20" s="83"/>
    </row>
    <row r="21" spans="1:2" ht="17.25" customHeight="1">
      <c r="A21" s="83"/>
      <c r="B21" s="83"/>
    </row>
    <row r="22" spans="1:2" ht="17.25" customHeight="1">
      <c r="A22" s="41" t="s">
        <v>900</v>
      </c>
      <c r="B22" s="39" t="s">
        <v>862</v>
      </c>
    </row>
    <row r="23" spans="1:2" ht="17.25" customHeight="1">
      <c r="A23" s="1"/>
      <c r="B23" s="83"/>
    </row>
    <row r="24" spans="1:2" ht="17.25" customHeight="1">
      <c r="A24" s="1"/>
      <c r="B24" s="1"/>
    </row>
    <row r="25" spans="1:2" ht="17.25" customHeight="1">
      <c r="A25" s="5"/>
      <c r="B25" s="610"/>
    </row>
    <row r="26" spans="1:2" ht="17.25" customHeight="1">
      <c r="A26" s="5"/>
      <c r="B26" s="610"/>
    </row>
    <row r="27" spans="1:2" ht="17.25" customHeight="1">
      <c r="A27" s="5"/>
      <c r="B27" s="611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953</v>
      </c>
    </row>
    <row r="39" ht="17.25" customHeight="1">
      <c r="A39" s="49" t="s">
        <v>847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59" sqref="A59"/>
    </sheetView>
  </sheetViews>
  <sheetFormatPr defaultColWidth="9.140625" defaultRowHeight="17.25" customHeight="1"/>
  <cols>
    <col min="1" max="1" width="19.8515625" style="483" customWidth="1"/>
    <col min="2" max="2" width="11.00390625" style="483" customWidth="1"/>
    <col min="3" max="4" width="12.7109375" style="483" customWidth="1"/>
    <col min="5" max="5" width="12.140625" style="483" customWidth="1"/>
    <col min="6" max="6" width="10.7109375" style="483" customWidth="1"/>
    <col min="7" max="7" width="12.7109375" style="483" customWidth="1"/>
    <col min="8" max="8" width="11.140625" style="483" customWidth="1"/>
    <col min="9" max="9" width="14.00390625" style="483" customWidth="1"/>
    <col min="10" max="16384" width="12.7109375" style="483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663</v>
      </c>
      <c r="J1" s="612"/>
    </row>
    <row r="2" spans="1:9" ht="17.25" customHeight="1">
      <c r="A2" s="865" t="s">
        <v>3</v>
      </c>
      <c r="B2" s="865"/>
      <c r="C2" s="865"/>
      <c r="D2" s="865"/>
      <c r="E2" s="865"/>
      <c r="F2" s="865"/>
      <c r="G2" s="865"/>
      <c r="H2" s="865"/>
      <c r="I2" s="865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7.25" customHeight="1">
      <c r="A4" s="866" t="s">
        <v>664</v>
      </c>
      <c r="B4" s="866"/>
      <c r="C4" s="866"/>
      <c r="D4" s="866"/>
      <c r="E4" s="866"/>
      <c r="F4" s="866"/>
      <c r="G4" s="866"/>
      <c r="H4" s="866"/>
      <c r="I4" s="866"/>
    </row>
    <row r="5" spans="1:9" ht="17.25" customHeight="1">
      <c r="A5" s="919" t="s">
        <v>865</v>
      </c>
      <c r="B5" s="919"/>
      <c r="C5" s="919"/>
      <c r="D5" s="919"/>
      <c r="E5" s="919"/>
      <c r="F5" s="919"/>
      <c r="G5" s="919"/>
      <c r="H5" s="919"/>
      <c r="I5" s="919"/>
    </row>
    <row r="6" spans="1:9" ht="17.25" customHeight="1">
      <c r="A6" s="568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87"/>
      <c r="B7" s="487"/>
      <c r="C7" s="487"/>
      <c r="D7" s="487"/>
      <c r="E7" s="487"/>
      <c r="F7" s="487"/>
      <c r="G7" s="487"/>
      <c r="H7" s="487"/>
      <c r="I7" s="487" t="s">
        <v>665</v>
      </c>
    </row>
    <row r="8" spans="1:9" ht="17.25" customHeight="1">
      <c r="A8" s="903" t="s">
        <v>666</v>
      </c>
      <c r="B8" s="903" t="s">
        <v>667</v>
      </c>
      <c r="C8" s="903" t="s">
        <v>668</v>
      </c>
      <c r="D8" s="903" t="s">
        <v>669</v>
      </c>
      <c r="E8" s="903" t="s">
        <v>670</v>
      </c>
      <c r="F8" s="903" t="s">
        <v>671</v>
      </c>
      <c r="G8" s="573" t="s">
        <v>672</v>
      </c>
      <c r="H8" s="613"/>
      <c r="I8" s="903" t="s">
        <v>673</v>
      </c>
    </row>
    <row r="9" spans="1:9" ht="39.75" customHeight="1">
      <c r="A9" s="905"/>
      <c r="B9" s="905"/>
      <c r="C9" s="905"/>
      <c r="D9" s="905"/>
      <c r="E9" s="905"/>
      <c r="F9" s="905"/>
      <c r="G9" s="9" t="s">
        <v>674</v>
      </c>
      <c r="H9" s="9" t="s">
        <v>675</v>
      </c>
      <c r="I9" s="905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82" t="s">
        <v>578</v>
      </c>
      <c r="B11" s="609">
        <v>144200</v>
      </c>
      <c r="C11" s="609">
        <v>2543581</v>
      </c>
      <c r="D11" s="727">
        <v>36064</v>
      </c>
      <c r="E11" s="609">
        <v>13575267</v>
      </c>
      <c r="F11" s="394"/>
      <c r="G11" s="394"/>
      <c r="H11" s="394"/>
      <c r="I11" s="609">
        <f aca="true" t="shared" si="0" ref="I11:I43">SUM(B11:H11)</f>
        <v>16299112</v>
      </c>
    </row>
    <row r="12" spans="1:9" ht="12">
      <c r="A12" s="582" t="s">
        <v>579</v>
      </c>
      <c r="B12" s="394">
        <v>245000</v>
      </c>
      <c r="C12" s="394">
        <v>373233</v>
      </c>
      <c r="D12" s="186">
        <v>3544</v>
      </c>
      <c r="E12" s="609">
        <v>2330998</v>
      </c>
      <c r="F12" s="394"/>
      <c r="G12" s="394">
        <v>11250</v>
      </c>
      <c r="H12" s="394"/>
      <c r="I12" s="609">
        <f t="shared" si="0"/>
        <v>2964025</v>
      </c>
    </row>
    <row r="13" spans="1:9" ht="12" customHeight="1">
      <c r="A13" s="582" t="s">
        <v>580</v>
      </c>
      <c r="B13" s="394">
        <v>420000</v>
      </c>
      <c r="C13" s="394">
        <v>279036</v>
      </c>
      <c r="D13" s="186">
        <v>10039</v>
      </c>
      <c r="E13" s="609">
        <v>1353748</v>
      </c>
      <c r="F13" s="394">
        <v>13000</v>
      </c>
      <c r="G13" s="394">
        <v>6092</v>
      </c>
      <c r="H13" s="394"/>
      <c r="I13" s="609">
        <f t="shared" si="0"/>
        <v>2081915</v>
      </c>
    </row>
    <row r="14" spans="1:9" ht="12" customHeight="1">
      <c r="A14" s="582" t="s">
        <v>581</v>
      </c>
      <c r="B14" s="394">
        <v>13000</v>
      </c>
      <c r="C14" s="394">
        <v>74210</v>
      </c>
      <c r="D14" s="186">
        <v>630</v>
      </c>
      <c r="E14" s="609">
        <v>1045159</v>
      </c>
      <c r="F14" s="394"/>
      <c r="G14" s="394"/>
      <c r="H14" s="394"/>
      <c r="I14" s="609">
        <f t="shared" si="0"/>
        <v>1132999</v>
      </c>
    </row>
    <row r="15" spans="1:9" ht="12" customHeight="1">
      <c r="A15" s="582" t="s">
        <v>582</v>
      </c>
      <c r="B15" s="394">
        <v>485000</v>
      </c>
      <c r="C15" s="394">
        <v>376898</v>
      </c>
      <c r="D15" s="186">
        <v>3544</v>
      </c>
      <c r="E15" s="609">
        <v>1538467</v>
      </c>
      <c r="F15" s="394">
        <v>29167</v>
      </c>
      <c r="G15" s="394"/>
      <c r="H15" s="394"/>
      <c r="I15" s="609">
        <f t="shared" si="0"/>
        <v>2433076</v>
      </c>
    </row>
    <row r="16" spans="1:9" ht="12" customHeight="1">
      <c r="A16" s="582" t="s">
        <v>583</v>
      </c>
      <c r="B16" s="394">
        <v>49300</v>
      </c>
      <c r="C16" s="394">
        <v>285499</v>
      </c>
      <c r="D16" s="186">
        <v>2952</v>
      </c>
      <c r="E16" s="394">
        <v>749145</v>
      </c>
      <c r="F16" s="394"/>
      <c r="G16" s="394">
        <v>7500</v>
      </c>
      <c r="H16" s="394"/>
      <c r="I16" s="609">
        <f t="shared" si="0"/>
        <v>1094396</v>
      </c>
    </row>
    <row r="17" spans="1:9" ht="12" customHeight="1">
      <c r="A17" s="582" t="s">
        <v>584</v>
      </c>
      <c r="C17" s="186">
        <v>29465</v>
      </c>
      <c r="D17" s="186">
        <v>2362</v>
      </c>
      <c r="E17" s="609">
        <v>856138</v>
      </c>
      <c r="F17" s="186"/>
      <c r="G17" s="186">
        <v>11250</v>
      </c>
      <c r="H17" s="186"/>
      <c r="I17" s="609">
        <f t="shared" si="0"/>
        <v>899215</v>
      </c>
    </row>
    <row r="18" spans="1:9" ht="12" customHeight="1">
      <c r="A18" s="582" t="s">
        <v>587</v>
      </c>
      <c r="B18" s="610">
        <f>4800+156000+20000+8000+22000+20000</f>
        <v>230800</v>
      </c>
      <c r="C18" s="394">
        <v>297459</v>
      </c>
      <c r="D18" s="186">
        <v>2362</v>
      </c>
      <c r="E18" s="609">
        <v>1238032</v>
      </c>
      <c r="F18" s="394"/>
      <c r="G18" s="394">
        <v>15750</v>
      </c>
      <c r="H18" s="394">
        <v>16163</v>
      </c>
      <c r="I18" s="609">
        <f t="shared" si="0"/>
        <v>1800566</v>
      </c>
    </row>
    <row r="19" spans="1:9" ht="12" customHeight="1">
      <c r="A19" s="582" t="s">
        <v>588</v>
      </c>
      <c r="B19" s="394">
        <f>5000+8000+800</f>
        <v>13800</v>
      </c>
      <c r="C19" s="394">
        <v>299358</v>
      </c>
      <c r="D19" s="186">
        <v>2954</v>
      </c>
      <c r="E19" s="394">
        <v>718933</v>
      </c>
      <c r="F19" s="394"/>
      <c r="G19" s="394"/>
      <c r="H19" s="394"/>
      <c r="I19" s="609">
        <f t="shared" si="0"/>
        <v>1035045</v>
      </c>
    </row>
    <row r="20" spans="1:9" ht="12" customHeight="1">
      <c r="A20" s="582" t="s">
        <v>589</v>
      </c>
      <c r="B20" s="394">
        <v>257500</v>
      </c>
      <c r="C20" s="394">
        <v>245782</v>
      </c>
      <c r="D20" s="186">
        <v>4725</v>
      </c>
      <c r="E20" s="394">
        <v>806646</v>
      </c>
      <c r="F20" s="394"/>
      <c r="G20" s="394"/>
      <c r="H20" s="394">
        <v>3675</v>
      </c>
      <c r="I20" s="609">
        <f t="shared" si="0"/>
        <v>1318328</v>
      </c>
    </row>
    <row r="21" spans="1:9" ht="12" customHeight="1">
      <c r="A21" s="582" t="s">
        <v>590</v>
      </c>
      <c r="B21" s="394">
        <v>360050</v>
      </c>
      <c r="C21" s="394">
        <v>435885</v>
      </c>
      <c r="D21" s="186">
        <v>4134</v>
      </c>
      <c r="E21" s="609">
        <v>1339266</v>
      </c>
      <c r="F21" s="394"/>
      <c r="G21" s="394">
        <v>9750</v>
      </c>
      <c r="H21" s="394"/>
      <c r="I21" s="609">
        <f t="shared" si="0"/>
        <v>2149085</v>
      </c>
    </row>
    <row r="22" spans="1:9" ht="12" customHeight="1">
      <c r="A22" s="582" t="s">
        <v>591</v>
      </c>
      <c r="B22" s="394">
        <v>29500</v>
      </c>
      <c r="C22" s="609">
        <v>738931</v>
      </c>
      <c r="D22" s="186">
        <v>4725</v>
      </c>
      <c r="E22" s="609">
        <v>1565552</v>
      </c>
      <c r="F22" s="394">
        <v>29167</v>
      </c>
      <c r="G22" s="394">
        <v>19838</v>
      </c>
      <c r="H22" s="394">
        <v>15750</v>
      </c>
      <c r="I22" s="609">
        <f t="shared" si="0"/>
        <v>2403463</v>
      </c>
    </row>
    <row r="23" spans="1:9" ht="12" customHeight="1">
      <c r="A23" s="582" t="s">
        <v>592</v>
      </c>
      <c r="B23" s="394">
        <f>111300+13000+7000+21000+101000+30000</f>
        <v>283300</v>
      </c>
      <c r="C23" s="394">
        <v>247608</v>
      </c>
      <c r="D23" s="186">
        <v>1772</v>
      </c>
      <c r="E23" s="609">
        <v>1003470</v>
      </c>
      <c r="F23" s="394">
        <v>29167</v>
      </c>
      <c r="G23" s="394">
        <v>37500</v>
      </c>
      <c r="H23" s="394">
        <v>8325</v>
      </c>
      <c r="I23" s="609">
        <f t="shared" si="0"/>
        <v>1611142</v>
      </c>
    </row>
    <row r="24" spans="1:9" ht="12" customHeight="1">
      <c r="A24" s="582" t="s">
        <v>593</v>
      </c>
      <c r="B24" s="394">
        <f>122550+2850</f>
        <v>125400</v>
      </c>
      <c r="C24" s="394">
        <v>106230</v>
      </c>
      <c r="D24" s="186">
        <v>2954</v>
      </c>
      <c r="E24" s="609">
        <v>1129981</v>
      </c>
      <c r="F24" s="394"/>
      <c r="G24" s="394">
        <v>40763</v>
      </c>
      <c r="H24" s="394">
        <v>13620</v>
      </c>
      <c r="I24" s="609">
        <f t="shared" si="0"/>
        <v>1418948</v>
      </c>
    </row>
    <row r="25" spans="1:9" ht="12" customHeight="1">
      <c r="A25" s="582" t="s">
        <v>594</v>
      </c>
      <c r="B25" s="394">
        <v>41000</v>
      </c>
      <c r="C25" s="394">
        <v>112467</v>
      </c>
      <c r="D25" s="186">
        <v>1772</v>
      </c>
      <c r="E25" s="394">
        <v>810558</v>
      </c>
      <c r="F25" s="394"/>
      <c r="G25" s="394">
        <v>5250</v>
      </c>
      <c r="H25" s="394">
        <v>11250</v>
      </c>
      <c r="I25" s="609">
        <f t="shared" si="0"/>
        <v>982297</v>
      </c>
    </row>
    <row r="26" spans="1:9" ht="12" customHeight="1">
      <c r="A26" s="582" t="s">
        <v>595</v>
      </c>
      <c r="B26" s="394">
        <v>25000</v>
      </c>
      <c r="C26" s="394">
        <v>210184</v>
      </c>
      <c r="D26" s="186">
        <v>2362</v>
      </c>
      <c r="E26" s="609">
        <v>1006401</v>
      </c>
      <c r="F26" s="394">
        <v>29167</v>
      </c>
      <c r="G26" s="394"/>
      <c r="H26" s="394">
        <v>19819</v>
      </c>
      <c r="I26" s="609">
        <f t="shared" si="0"/>
        <v>1292933</v>
      </c>
    </row>
    <row r="27" spans="1:9" ht="12" customHeight="1">
      <c r="A27" s="582" t="s">
        <v>596</v>
      </c>
      <c r="B27" s="394">
        <f>10000+140080+35000+4000+9500</f>
        <v>198580</v>
      </c>
      <c r="C27" s="394">
        <v>326954</v>
      </c>
      <c r="D27" s="186">
        <v>2954</v>
      </c>
      <c r="E27" s="609">
        <v>1323734</v>
      </c>
      <c r="F27" s="394"/>
      <c r="G27" s="394">
        <v>19819</v>
      </c>
      <c r="H27" s="394">
        <v>8040</v>
      </c>
      <c r="I27" s="609">
        <f t="shared" si="0"/>
        <v>1880081</v>
      </c>
    </row>
    <row r="28" spans="1:9" ht="12" customHeight="1">
      <c r="A28" s="582" t="s">
        <v>597</v>
      </c>
      <c r="B28" s="394">
        <f>64000+4000</f>
        <v>68000</v>
      </c>
      <c r="C28" s="394">
        <v>139158</v>
      </c>
      <c r="D28" s="186">
        <v>1879</v>
      </c>
      <c r="E28" s="609">
        <v>947582</v>
      </c>
      <c r="F28" s="394"/>
      <c r="G28" s="394">
        <v>5250</v>
      </c>
      <c r="H28" s="394">
        <v>36150</v>
      </c>
      <c r="I28" s="609">
        <f t="shared" si="0"/>
        <v>1198019</v>
      </c>
    </row>
    <row r="29" spans="1:9" ht="12" customHeight="1">
      <c r="A29" s="582" t="s">
        <v>598</v>
      </c>
      <c r="B29" s="394">
        <f>295000+165000+160000+32500+46500</f>
        <v>699000</v>
      </c>
      <c r="C29" s="394">
        <v>350211</v>
      </c>
      <c r="D29" s="186">
        <v>2954</v>
      </c>
      <c r="E29" s="609">
        <v>1071421</v>
      </c>
      <c r="F29" s="394"/>
      <c r="G29" s="394">
        <v>41400</v>
      </c>
      <c r="H29" s="394">
        <v>25600</v>
      </c>
      <c r="I29" s="609">
        <f t="shared" si="0"/>
        <v>2190586</v>
      </c>
    </row>
    <row r="30" spans="1:9" ht="12" customHeight="1">
      <c r="A30" s="582" t="s">
        <v>599</v>
      </c>
      <c r="B30" s="394">
        <f>10500+13000+25000</f>
        <v>48500</v>
      </c>
      <c r="C30" s="394">
        <v>407317</v>
      </c>
      <c r="D30" s="186">
        <v>2952</v>
      </c>
      <c r="E30" s="609">
        <v>1176438</v>
      </c>
      <c r="F30" s="394"/>
      <c r="G30" s="394">
        <v>31500</v>
      </c>
      <c r="H30" s="394">
        <v>18087</v>
      </c>
      <c r="I30" s="609">
        <f t="shared" si="0"/>
        <v>1684794</v>
      </c>
    </row>
    <row r="31" spans="1:9" ht="12" customHeight="1">
      <c r="A31" s="582" t="s">
        <v>600</v>
      </c>
      <c r="B31" s="394">
        <f>8000+19900+1000</f>
        <v>28900</v>
      </c>
      <c r="C31" s="394">
        <v>111280</v>
      </c>
      <c r="D31" s="186">
        <v>2952</v>
      </c>
      <c r="E31" s="609">
        <v>1007786</v>
      </c>
      <c r="F31" s="394"/>
      <c r="G31" s="394">
        <v>10200</v>
      </c>
      <c r="H31" s="394"/>
      <c r="I31" s="609">
        <f t="shared" si="0"/>
        <v>1161118</v>
      </c>
    </row>
    <row r="32" spans="1:9" ht="12" customHeight="1">
      <c r="A32" s="582" t="s">
        <v>601</v>
      </c>
      <c r="B32" s="394">
        <f>60300+225400+5000+6000</f>
        <v>296700</v>
      </c>
      <c r="C32" s="394">
        <v>105574</v>
      </c>
      <c r="D32" s="186">
        <v>2952</v>
      </c>
      <c r="E32" s="609">
        <v>858014</v>
      </c>
      <c r="F32" s="394"/>
      <c r="G32" s="394">
        <v>30135</v>
      </c>
      <c r="H32" s="394">
        <v>1411</v>
      </c>
      <c r="I32" s="609">
        <f t="shared" si="0"/>
        <v>1294786</v>
      </c>
    </row>
    <row r="33" spans="1:9" ht="12" customHeight="1">
      <c r="A33" s="582" t="s">
        <v>602</v>
      </c>
      <c r="B33" s="394">
        <f>468200+1000+8000+135000+1000+1000</f>
        <v>614200</v>
      </c>
      <c r="C33" s="394">
        <v>194134</v>
      </c>
      <c r="D33" s="186">
        <v>5316</v>
      </c>
      <c r="E33" s="609">
        <v>1200513</v>
      </c>
      <c r="F33" s="394"/>
      <c r="G33" s="394">
        <v>4425</v>
      </c>
      <c r="H33" s="394"/>
      <c r="I33" s="609">
        <f t="shared" si="0"/>
        <v>2018588</v>
      </c>
    </row>
    <row r="34" spans="1:9" ht="12" customHeight="1">
      <c r="A34" s="582" t="s">
        <v>603</v>
      </c>
      <c r="B34" s="394">
        <v>72606</v>
      </c>
      <c r="C34" s="394">
        <v>195520</v>
      </c>
      <c r="D34" s="186">
        <v>4725</v>
      </c>
      <c r="E34" s="609">
        <v>1693772</v>
      </c>
      <c r="F34" s="394">
        <v>29167</v>
      </c>
      <c r="G34" s="394"/>
      <c r="H34" s="394">
        <v>15675</v>
      </c>
      <c r="I34" s="609">
        <f t="shared" si="0"/>
        <v>2011465</v>
      </c>
    </row>
    <row r="35" spans="1:9" ht="12" customHeight="1">
      <c r="A35" s="582" t="s">
        <v>604</v>
      </c>
      <c r="B35" s="394">
        <v>279000</v>
      </c>
      <c r="C35" s="394">
        <v>304415</v>
      </c>
      <c r="D35" s="186">
        <v>4725</v>
      </c>
      <c r="E35" s="609">
        <v>1178616</v>
      </c>
      <c r="F35" s="394"/>
      <c r="G35" s="394"/>
      <c r="H35" s="394">
        <v>27885</v>
      </c>
      <c r="I35" s="609">
        <f t="shared" si="0"/>
        <v>1794641</v>
      </c>
    </row>
    <row r="36" spans="1:9" ht="12" customHeight="1">
      <c r="A36" s="582" t="s">
        <v>605</v>
      </c>
      <c r="B36" s="394">
        <v>137000</v>
      </c>
      <c r="C36" s="394">
        <v>458765</v>
      </c>
      <c r="D36" s="186">
        <v>2952</v>
      </c>
      <c r="E36" s="609">
        <v>1224951</v>
      </c>
      <c r="F36" s="394"/>
      <c r="G36" s="394">
        <v>36000</v>
      </c>
      <c r="H36" s="394">
        <v>5250</v>
      </c>
      <c r="I36" s="609">
        <f t="shared" si="0"/>
        <v>1864918</v>
      </c>
    </row>
    <row r="37" spans="1:9" ht="12" customHeight="1">
      <c r="A37" s="582" t="s">
        <v>606</v>
      </c>
      <c r="B37" s="394">
        <v>780000</v>
      </c>
      <c r="C37" s="394">
        <v>400010</v>
      </c>
      <c r="D37" s="186">
        <v>9449</v>
      </c>
      <c r="E37" s="609">
        <v>2832872</v>
      </c>
      <c r="F37" s="394"/>
      <c r="G37" s="394">
        <v>12000</v>
      </c>
      <c r="H37" s="394"/>
      <c r="I37" s="609">
        <f t="shared" si="0"/>
        <v>4034331</v>
      </c>
    </row>
    <row r="38" spans="1:9" ht="12" customHeight="1">
      <c r="A38" s="582" t="s">
        <v>607</v>
      </c>
      <c r="B38" s="394">
        <f>270000+263000+12000+5000+2000+7000</f>
        <v>559000</v>
      </c>
      <c r="C38" s="394">
        <v>422284</v>
      </c>
      <c r="D38" s="186">
        <v>2952</v>
      </c>
      <c r="E38" s="609">
        <v>1029229</v>
      </c>
      <c r="F38" s="394"/>
      <c r="G38" s="394"/>
      <c r="H38" s="394"/>
      <c r="I38" s="609">
        <f t="shared" si="0"/>
        <v>2013465</v>
      </c>
    </row>
    <row r="39" spans="1:9" ht="12" customHeight="1">
      <c r="A39" s="582" t="s">
        <v>608</v>
      </c>
      <c r="B39" s="394">
        <f>5000+98400+7000+34000+5000+9500</f>
        <v>158900</v>
      </c>
      <c r="C39" s="394">
        <v>184398</v>
      </c>
      <c r="D39" s="186">
        <v>4134</v>
      </c>
      <c r="E39" s="609">
        <v>1308191</v>
      </c>
      <c r="F39" s="394"/>
      <c r="G39" s="394">
        <v>5250</v>
      </c>
      <c r="H39" s="394"/>
      <c r="I39" s="609">
        <f t="shared" si="0"/>
        <v>1660873</v>
      </c>
    </row>
    <row r="40" spans="1:9" ht="12" customHeight="1">
      <c r="A40" s="582" t="s">
        <v>609</v>
      </c>
      <c r="B40" s="394">
        <f>140000+147300+5000+199000+15000+20000</f>
        <v>526300</v>
      </c>
      <c r="C40" s="394">
        <v>544649</v>
      </c>
      <c r="D40" s="186">
        <v>2952</v>
      </c>
      <c r="E40" s="609">
        <v>1409271</v>
      </c>
      <c r="F40" s="609"/>
      <c r="G40" s="609">
        <v>17639</v>
      </c>
      <c r="H40" s="609">
        <v>22800</v>
      </c>
      <c r="I40" s="609">
        <f t="shared" si="0"/>
        <v>2523611</v>
      </c>
    </row>
    <row r="41" spans="1:9" ht="12" customHeight="1">
      <c r="A41" s="582" t="s">
        <v>610</v>
      </c>
      <c r="B41" s="394">
        <f>47000+1000+3000</f>
        <v>51000</v>
      </c>
      <c r="C41" s="394">
        <v>141250</v>
      </c>
      <c r="D41" s="186">
        <v>4725</v>
      </c>
      <c r="E41" s="609">
        <v>851411</v>
      </c>
      <c r="F41" s="609"/>
      <c r="G41" s="609">
        <v>24600</v>
      </c>
      <c r="H41" s="609"/>
      <c r="I41" s="609">
        <f t="shared" si="0"/>
        <v>1072986</v>
      </c>
    </row>
    <row r="42" spans="1:9" ht="12" customHeight="1">
      <c r="A42" s="582" t="s">
        <v>611</v>
      </c>
      <c r="B42" s="394">
        <v>35000</v>
      </c>
      <c r="C42" s="394">
        <v>565700</v>
      </c>
      <c r="D42" s="186">
        <v>5316</v>
      </c>
      <c r="E42" s="609">
        <v>1743803</v>
      </c>
      <c r="F42" s="609">
        <v>2795</v>
      </c>
      <c r="G42" s="609">
        <v>7500</v>
      </c>
      <c r="H42" s="609">
        <v>10500</v>
      </c>
      <c r="I42" s="609">
        <f t="shared" si="0"/>
        <v>2370614</v>
      </c>
    </row>
    <row r="43" spans="1:9" ht="12" customHeight="1">
      <c r="A43" s="582" t="s">
        <v>612</v>
      </c>
      <c r="B43" s="394"/>
      <c r="C43" s="394">
        <v>136977</v>
      </c>
      <c r="D43" s="186">
        <v>2257</v>
      </c>
      <c r="E43" s="394">
        <v>387878</v>
      </c>
      <c r="F43" s="543"/>
      <c r="G43" s="609">
        <v>21000</v>
      </c>
      <c r="H43" s="609"/>
      <c r="I43" s="609">
        <f t="shared" si="0"/>
        <v>548112</v>
      </c>
    </row>
    <row r="44" spans="1:9" ht="12" customHeight="1">
      <c r="A44" s="413" t="s">
        <v>614</v>
      </c>
      <c r="B44" s="614">
        <f aca="true" t="shared" si="1" ref="B44:I44">SUM(B11:B43)</f>
        <v>7275536</v>
      </c>
      <c r="C44" s="614">
        <f t="shared" si="1"/>
        <v>11644422</v>
      </c>
      <c r="D44" s="614">
        <f t="shared" si="1"/>
        <v>153041</v>
      </c>
      <c r="E44" s="614">
        <f t="shared" si="1"/>
        <v>52313243</v>
      </c>
      <c r="F44" s="614">
        <f t="shared" si="1"/>
        <v>161630</v>
      </c>
      <c r="G44" s="614">
        <f t="shared" si="1"/>
        <v>431661</v>
      </c>
      <c r="H44" s="614">
        <f t="shared" si="1"/>
        <v>260000</v>
      </c>
      <c r="I44" s="614">
        <f t="shared" si="1"/>
        <v>72239533</v>
      </c>
    </row>
    <row r="45" spans="1:9" ht="17.25" customHeight="1">
      <c r="A45" s="615"/>
      <c r="B45" s="616"/>
      <c r="C45" s="616"/>
      <c r="D45" s="616"/>
      <c r="E45" s="616"/>
      <c r="F45" s="616"/>
      <c r="G45" s="616"/>
      <c r="H45" s="616"/>
      <c r="I45" s="616"/>
    </row>
    <row r="46" spans="1:9" ht="17.25" customHeight="1">
      <c r="A46" s="615"/>
      <c r="B46" s="616"/>
      <c r="C46" s="616"/>
      <c r="D46" s="617"/>
      <c r="E46" s="616"/>
      <c r="F46" s="616"/>
      <c r="G46" s="616"/>
      <c r="H46" s="616"/>
      <c r="I46" s="616"/>
    </row>
    <row r="47" spans="1:9" ht="17.25" customHeight="1">
      <c r="A47" s="615"/>
      <c r="B47" s="616"/>
      <c r="C47" s="616"/>
      <c r="D47" s="616"/>
      <c r="E47" s="616"/>
      <c r="F47" s="616"/>
      <c r="G47" s="616"/>
      <c r="H47" s="616"/>
      <c r="I47" s="616"/>
    </row>
    <row r="48" spans="1:8" ht="17.25" customHeight="1">
      <c r="A48" s="618"/>
      <c r="B48" s="619"/>
      <c r="C48" s="620"/>
      <c r="D48" s="621"/>
      <c r="E48" s="621"/>
      <c r="F48" s="621"/>
      <c r="G48" s="621"/>
      <c r="H48" s="621"/>
    </row>
    <row r="49" spans="1:9" s="488" customFormat="1" ht="17.25" customHeight="1">
      <c r="A49" s="605"/>
      <c r="B49" s="605"/>
      <c r="C49" s="622"/>
      <c r="D49" s="500"/>
      <c r="E49" s="623"/>
      <c r="F49" s="605"/>
      <c r="G49" s="500"/>
      <c r="H49" s="623"/>
      <c r="I49" s="503"/>
    </row>
    <row r="50" spans="1:9" ht="17.25" customHeight="1">
      <c r="A50" s="624"/>
      <c r="B50" s="625"/>
      <c r="C50" s="625"/>
      <c r="D50" s="625"/>
      <c r="E50" s="500"/>
      <c r="F50" s="626"/>
      <c r="G50" s="626"/>
      <c r="H50" s="626"/>
      <c r="I50" s="500"/>
    </row>
    <row r="51" spans="1:7" ht="17.25" customHeight="1">
      <c r="A51" s="41" t="s">
        <v>900</v>
      </c>
      <c r="G51" s="39" t="s">
        <v>862</v>
      </c>
    </row>
    <row r="57" ht="17.25" customHeight="1">
      <c r="A57" s="483" t="s">
        <v>272</v>
      </c>
    </row>
    <row r="58" ht="17.25" customHeight="1">
      <c r="A58" s="483" t="s">
        <v>847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63"/>
  <sheetViews>
    <sheetView workbookViewId="0" topLeftCell="A1">
      <selection activeCell="A59" sqref="A59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301" t="s">
        <v>676</v>
      </c>
    </row>
    <row r="2" spans="1:4" ht="12.75">
      <c r="A2" s="865" t="s">
        <v>3</v>
      </c>
      <c r="B2" s="865"/>
      <c r="C2" s="865"/>
      <c r="D2" s="865"/>
    </row>
    <row r="4" spans="1:91" s="568" customFormat="1" ht="15.75">
      <c r="A4" s="454" t="s">
        <v>677</v>
      </c>
      <c r="B4" s="454"/>
      <c r="C4" s="454"/>
      <c r="D4" s="454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509"/>
      <c r="X4" s="509"/>
      <c r="Y4" s="509"/>
      <c r="Z4" s="509"/>
      <c r="AA4" s="509"/>
      <c r="AB4" s="509"/>
      <c r="AC4" s="509"/>
      <c r="AD4" s="509"/>
      <c r="AE4" s="509"/>
      <c r="AF4" s="509"/>
      <c r="AG4" s="509"/>
      <c r="AH4" s="509"/>
      <c r="AI4" s="509"/>
      <c r="AJ4" s="509"/>
      <c r="AK4" s="509"/>
      <c r="AL4" s="509"/>
      <c r="AM4" s="509"/>
      <c r="AN4" s="509"/>
      <c r="AO4" s="509"/>
      <c r="AP4" s="509"/>
      <c r="AQ4" s="509"/>
      <c r="AR4" s="509"/>
      <c r="AS4" s="509"/>
      <c r="AT4" s="509"/>
      <c r="AU4" s="509"/>
      <c r="AV4" s="509"/>
      <c r="AW4" s="509"/>
      <c r="AX4" s="509"/>
      <c r="AY4" s="509"/>
      <c r="AZ4" s="509"/>
      <c r="BA4" s="509"/>
      <c r="BB4" s="509"/>
      <c r="BC4" s="509"/>
      <c r="BD4" s="509"/>
      <c r="BE4" s="509"/>
      <c r="BF4" s="509"/>
      <c r="BG4" s="509"/>
      <c r="BH4" s="509"/>
      <c r="BI4" s="509"/>
      <c r="BJ4" s="509"/>
      <c r="BK4" s="509"/>
      <c r="BL4" s="509"/>
      <c r="BM4" s="509"/>
      <c r="BN4" s="509"/>
      <c r="BO4" s="509"/>
      <c r="BP4" s="509"/>
      <c r="BQ4" s="509"/>
      <c r="BR4" s="509"/>
      <c r="BS4" s="509"/>
      <c r="BT4" s="509"/>
      <c r="BU4" s="509"/>
      <c r="BV4" s="509"/>
      <c r="BW4" s="509"/>
      <c r="BX4" s="509"/>
      <c r="BY4" s="509"/>
      <c r="BZ4" s="509"/>
      <c r="CA4" s="509"/>
      <c r="CB4" s="509"/>
      <c r="CC4" s="509"/>
      <c r="CD4" s="509"/>
      <c r="CE4" s="509"/>
      <c r="CF4" s="509"/>
      <c r="CG4" s="509"/>
      <c r="CH4" s="509"/>
      <c r="CI4" s="509"/>
      <c r="CJ4" s="509"/>
      <c r="CK4" s="509"/>
      <c r="CL4" s="509"/>
      <c r="CM4" s="509"/>
    </row>
    <row r="5" spans="1:91" s="568" customFormat="1" ht="15.75">
      <c r="A5" s="455" t="s">
        <v>833</v>
      </c>
      <c r="B5" s="454"/>
      <c r="C5" s="454"/>
      <c r="D5" s="454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509"/>
      <c r="AP5" s="509"/>
      <c r="AQ5" s="509"/>
      <c r="AR5" s="509"/>
      <c r="AS5" s="509"/>
      <c r="AT5" s="509"/>
      <c r="AU5" s="509"/>
      <c r="AV5" s="509"/>
      <c r="AW5" s="509"/>
      <c r="AX5" s="509"/>
      <c r="AY5" s="509"/>
      <c r="AZ5" s="509"/>
      <c r="BA5" s="509"/>
      <c r="BB5" s="509"/>
      <c r="BC5" s="509"/>
      <c r="BD5" s="509"/>
      <c r="BE5" s="509"/>
      <c r="BF5" s="509"/>
      <c r="BG5" s="509"/>
      <c r="BH5" s="509"/>
      <c r="BI5" s="509"/>
      <c r="BJ5" s="509"/>
      <c r="BK5" s="509"/>
      <c r="BL5" s="509"/>
      <c r="BM5" s="509"/>
      <c r="BN5" s="509"/>
      <c r="BO5" s="509"/>
      <c r="BP5" s="509"/>
      <c r="BQ5" s="509"/>
      <c r="BR5" s="509"/>
      <c r="BS5" s="509"/>
      <c r="BT5" s="509"/>
      <c r="BU5" s="509"/>
      <c r="BV5" s="509"/>
      <c r="BW5" s="509"/>
      <c r="BX5" s="509"/>
      <c r="BY5" s="509"/>
      <c r="BZ5" s="509"/>
      <c r="CA5" s="509"/>
      <c r="CB5" s="509"/>
      <c r="CC5" s="509"/>
      <c r="CD5" s="509"/>
      <c r="CE5" s="509"/>
      <c r="CF5" s="509"/>
      <c r="CG5" s="509"/>
      <c r="CH5" s="509"/>
      <c r="CI5" s="509"/>
      <c r="CJ5" s="509"/>
      <c r="CK5" s="509"/>
      <c r="CL5" s="509"/>
      <c r="CM5" s="509"/>
    </row>
    <row r="7" spans="1:91" s="630" customFormat="1" ht="15">
      <c r="A7" s="627"/>
      <c r="B7" s="628" t="s">
        <v>678</v>
      </c>
      <c r="C7" s="629" t="s">
        <v>679</v>
      </c>
      <c r="D7" s="629" t="s">
        <v>680</v>
      </c>
      <c r="E7" s="509"/>
      <c r="F7" s="509"/>
      <c r="G7" s="509"/>
      <c r="H7" s="509"/>
      <c r="I7" s="509"/>
      <c r="J7" s="509"/>
      <c r="K7" s="509"/>
      <c r="L7" s="509"/>
      <c r="M7" s="509"/>
      <c r="N7" s="509"/>
      <c r="O7" s="509"/>
      <c r="P7" s="509"/>
      <c r="Q7" s="509"/>
      <c r="R7" s="509"/>
      <c r="S7" s="509"/>
      <c r="T7" s="509"/>
      <c r="U7" s="509"/>
      <c r="V7" s="509"/>
      <c r="W7" s="509"/>
      <c r="X7" s="509"/>
      <c r="Y7" s="509"/>
      <c r="Z7" s="509"/>
      <c r="AA7" s="509"/>
      <c r="AB7" s="509"/>
      <c r="AC7" s="509"/>
      <c r="AD7" s="509"/>
      <c r="AE7" s="509"/>
      <c r="AF7" s="509"/>
      <c r="AG7" s="509"/>
      <c r="AH7" s="509"/>
      <c r="AI7" s="509"/>
      <c r="AJ7" s="509"/>
      <c r="AK7" s="509"/>
      <c r="AL7" s="509"/>
      <c r="AM7" s="509"/>
      <c r="AN7" s="509"/>
      <c r="AO7" s="509"/>
      <c r="AP7" s="509"/>
      <c r="AQ7" s="509"/>
      <c r="AR7" s="509"/>
      <c r="AS7" s="509"/>
      <c r="AT7" s="509"/>
      <c r="AU7" s="509"/>
      <c r="AV7" s="509"/>
      <c r="AW7" s="509"/>
      <c r="AX7" s="509"/>
      <c r="AY7" s="509"/>
      <c r="AZ7" s="509"/>
      <c r="BA7" s="509"/>
      <c r="BB7" s="509"/>
      <c r="BC7" s="509"/>
      <c r="BD7" s="509"/>
      <c r="BE7" s="509"/>
      <c r="BF7" s="509"/>
      <c r="BG7" s="509"/>
      <c r="BH7" s="509"/>
      <c r="BI7" s="509"/>
      <c r="BJ7" s="509"/>
      <c r="BK7" s="509"/>
      <c r="BL7" s="509"/>
      <c r="BM7" s="509"/>
      <c r="BN7" s="509"/>
      <c r="BO7" s="509"/>
      <c r="BP7" s="509"/>
      <c r="BQ7" s="509"/>
      <c r="BR7" s="509"/>
      <c r="BS7" s="509"/>
      <c r="BT7" s="509"/>
      <c r="BU7" s="509"/>
      <c r="BV7" s="509"/>
      <c r="BW7" s="509"/>
      <c r="BX7" s="509"/>
      <c r="BY7" s="509"/>
      <c r="BZ7" s="509"/>
      <c r="CA7" s="509"/>
      <c r="CB7" s="509"/>
      <c r="CC7" s="509"/>
      <c r="CD7" s="509"/>
      <c r="CE7" s="509"/>
      <c r="CF7" s="509"/>
      <c r="CG7" s="509"/>
      <c r="CH7" s="509"/>
      <c r="CI7" s="509"/>
      <c r="CJ7" s="509"/>
      <c r="CK7" s="509"/>
      <c r="CL7" s="509"/>
      <c r="CM7" s="509"/>
    </row>
    <row r="8" spans="1:91" s="634" customFormat="1" ht="6" customHeight="1">
      <c r="A8" s="631"/>
      <c r="B8" s="632"/>
      <c r="C8" s="633"/>
      <c r="D8" s="63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635" t="s">
        <v>681</v>
      </c>
      <c r="B9" s="636" t="s">
        <v>682</v>
      </c>
      <c r="D9" s="637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635"/>
      <c r="B10" s="636" t="s">
        <v>683</v>
      </c>
      <c r="C10" s="638" t="s">
        <v>684</v>
      </c>
      <c r="D10" s="639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635"/>
      <c r="B11" s="636"/>
      <c r="C11" s="638"/>
      <c r="D11" s="639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640"/>
      <c r="B12" s="641" t="s">
        <v>685</v>
      </c>
      <c r="C12" s="642">
        <v>20</v>
      </c>
      <c r="D12" s="642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640"/>
      <c r="B13" s="641" t="s">
        <v>902</v>
      </c>
      <c r="C13" s="642">
        <v>46</v>
      </c>
      <c r="D13" s="642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640"/>
      <c r="B14" s="641" t="s">
        <v>903</v>
      </c>
      <c r="C14" s="642"/>
      <c r="D14" s="642">
        <v>42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640"/>
      <c r="B15" s="641" t="s">
        <v>686</v>
      </c>
      <c r="C15" s="642">
        <v>62</v>
      </c>
      <c r="D15" s="642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640"/>
      <c r="B16" s="641" t="s">
        <v>687</v>
      </c>
      <c r="C16" s="642">
        <v>79</v>
      </c>
      <c r="D16" s="642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14.25">
      <c r="A17" s="640"/>
      <c r="B17" s="643" t="s">
        <v>904</v>
      </c>
      <c r="C17" s="642"/>
      <c r="D17" s="642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6" customHeight="1">
      <c r="A18" s="644"/>
      <c r="B18" s="637"/>
      <c r="C18" s="366"/>
      <c r="D18" s="64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635" t="s">
        <v>688</v>
      </c>
      <c r="B19" s="636" t="s">
        <v>689</v>
      </c>
      <c r="C19" s="638" t="s">
        <v>690</v>
      </c>
      <c r="D19" s="63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5">
      <c r="A20" s="635"/>
      <c r="B20" s="636" t="s">
        <v>691</v>
      </c>
      <c r="C20" s="49"/>
      <c r="D20" s="64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6.5" customHeight="1">
      <c r="A21" s="640"/>
      <c r="C21" s="647" t="s">
        <v>692</v>
      </c>
      <c r="D21" s="647" t="s">
        <v>693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640"/>
      <c r="B22" s="648" t="s">
        <v>694</v>
      </c>
      <c r="C22" s="649" t="s">
        <v>695</v>
      </c>
      <c r="D22" s="649" t="s">
        <v>695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640"/>
      <c r="B23" s="641" t="s">
        <v>696</v>
      </c>
      <c r="C23" s="650" t="s">
        <v>697</v>
      </c>
      <c r="D23" s="650" t="s">
        <v>698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640"/>
      <c r="B24" s="641" t="s">
        <v>699</v>
      </c>
      <c r="C24" s="650" t="s">
        <v>700</v>
      </c>
      <c r="D24" s="650" t="s">
        <v>698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640"/>
      <c r="B25" s="641" t="s">
        <v>905</v>
      </c>
      <c r="C25" s="650"/>
      <c r="D25" s="650" t="s">
        <v>698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640"/>
      <c r="B26" s="641" t="s">
        <v>701</v>
      </c>
      <c r="C26" s="650" t="s">
        <v>702</v>
      </c>
      <c r="D26" s="651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4.25">
      <c r="A27" s="640"/>
      <c r="B27" s="641" t="s">
        <v>703</v>
      </c>
      <c r="C27" s="650" t="s">
        <v>704</v>
      </c>
      <c r="D27" s="651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4.25">
      <c r="A28" s="640"/>
      <c r="B28" s="641"/>
      <c r="C28" s="650"/>
      <c r="D28" s="650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2" customHeight="1">
      <c r="A29" s="640"/>
      <c r="B29" s="637"/>
      <c r="C29" s="652"/>
      <c r="D29" s="636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91" s="5" customFormat="1" ht="15">
      <c r="A30" s="635" t="s">
        <v>705</v>
      </c>
      <c r="B30" s="636" t="s">
        <v>706</v>
      </c>
      <c r="D30" s="637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</row>
    <row r="31" spans="1:91" s="5" customFormat="1" ht="15">
      <c r="A31" s="635"/>
      <c r="B31" s="636" t="s">
        <v>707</v>
      </c>
      <c r="C31" s="638" t="s">
        <v>684</v>
      </c>
      <c r="D31" s="639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4" ht="12" customHeight="1">
      <c r="A32" s="653"/>
      <c r="B32" s="654"/>
      <c r="D32" s="655"/>
    </row>
    <row r="33" spans="1:91" s="5" customFormat="1" ht="14.25">
      <c r="A33" s="640"/>
      <c r="B33" s="641" t="s">
        <v>696</v>
      </c>
      <c r="C33" s="642">
        <v>0</v>
      </c>
      <c r="D33" s="642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640"/>
      <c r="B34" s="641" t="s">
        <v>699</v>
      </c>
      <c r="C34" s="642">
        <v>0</v>
      </c>
      <c r="D34" s="642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640"/>
      <c r="B35" s="641" t="s">
        <v>905</v>
      </c>
      <c r="C35" s="650"/>
      <c r="D35" s="642">
        <v>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91" s="5" customFormat="1" ht="14.25">
      <c r="A36" s="640"/>
      <c r="B36" s="641" t="s">
        <v>701</v>
      </c>
      <c r="C36" s="642">
        <v>0</v>
      </c>
      <c r="D36" s="64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</row>
    <row r="37" spans="1:91" s="5" customFormat="1" ht="14.25">
      <c r="A37" s="640"/>
      <c r="B37" s="641" t="s">
        <v>703</v>
      </c>
      <c r="C37" s="642">
        <v>0</v>
      </c>
      <c r="D37" s="64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4.25">
      <c r="A38" s="640"/>
      <c r="B38" s="641"/>
      <c r="C38" s="642"/>
      <c r="D38" s="64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.75">
      <c r="A39" s="653"/>
      <c r="B39" s="646"/>
      <c r="C39" s="380"/>
      <c r="D39" s="656"/>
    </row>
    <row r="40" spans="1:91" s="5" customFormat="1" ht="15">
      <c r="A40" s="635" t="s">
        <v>708</v>
      </c>
      <c r="B40" s="636" t="s">
        <v>319</v>
      </c>
      <c r="D40" s="637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5">
      <c r="A41" s="635"/>
      <c r="B41" s="636" t="s">
        <v>906</v>
      </c>
      <c r="C41" s="638" t="s">
        <v>684</v>
      </c>
      <c r="D41" s="639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4" ht="12" customHeight="1">
      <c r="A42" s="653"/>
      <c r="B42" s="654"/>
      <c r="D42" s="646"/>
    </row>
    <row r="43" spans="1:91" s="5" customFormat="1" ht="14.25">
      <c r="A43" s="640"/>
      <c r="B43" s="641" t="s">
        <v>685</v>
      </c>
      <c r="C43" s="642">
        <v>295</v>
      </c>
      <c r="D43" s="642">
        <v>276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91" s="5" customFormat="1" ht="14.25">
      <c r="A44" s="640"/>
      <c r="B44" s="641" t="s">
        <v>907</v>
      </c>
      <c r="C44" s="642">
        <v>606</v>
      </c>
      <c r="D44" s="642">
        <v>582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</row>
    <row r="45" spans="1:91" s="5" customFormat="1" ht="14.25">
      <c r="A45" s="640"/>
      <c r="B45" s="641" t="s">
        <v>908</v>
      </c>
      <c r="C45" s="642"/>
      <c r="D45" s="642">
        <v>690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</row>
    <row r="46" spans="1:91" s="5" customFormat="1" ht="14.25">
      <c r="A46" s="640"/>
      <c r="B46" s="641" t="s">
        <v>709</v>
      </c>
      <c r="C46" s="642">
        <v>920</v>
      </c>
      <c r="D46" s="642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</row>
    <row r="47" spans="1:91" s="5" customFormat="1" ht="14.25">
      <c r="A47" s="640"/>
      <c r="B47" s="641" t="s">
        <v>710</v>
      </c>
      <c r="C47" s="642">
        <v>1247</v>
      </c>
      <c r="D47" s="642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</row>
    <row r="48" spans="1:4" ht="12.75">
      <c r="A48" s="781"/>
      <c r="B48" s="657" t="s">
        <v>909</v>
      </c>
      <c r="D48" s="658"/>
    </row>
    <row r="49" spans="1:4" ht="12.75">
      <c r="A49" s="782"/>
      <c r="B49" s="660" t="s">
        <v>910</v>
      </c>
      <c r="C49" s="659"/>
      <c r="D49" s="661"/>
    </row>
    <row r="54" spans="1:7" ht="12.75">
      <c r="A54" s="867" t="s">
        <v>846</v>
      </c>
      <c r="B54" s="867"/>
      <c r="C54" s="867"/>
      <c r="D54" s="867"/>
      <c r="E54" s="867"/>
      <c r="F54" s="867"/>
      <c r="G54" s="867"/>
    </row>
    <row r="57" ht="12.75">
      <c r="A57" s="38" t="s">
        <v>0</v>
      </c>
    </row>
    <row r="58" spans="1:91" s="38" customFormat="1" ht="12.75">
      <c r="A58" s="38" t="s">
        <v>911</v>
      </c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62" spans="2:91" s="38" customFormat="1" ht="10.5" customHeight="1">
      <c r="B62" s="49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</row>
    <row r="63" spans="2:91" s="38" customFormat="1" ht="12.75">
      <c r="B63" s="49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</row>
  </sheetData>
  <mergeCells count="2">
    <mergeCell ref="A2:D2"/>
    <mergeCell ref="A54:G54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O21" sqref="O21"/>
    </sheetView>
  </sheetViews>
  <sheetFormatPr defaultColWidth="9.140625" defaultRowHeight="12.75"/>
  <cols>
    <col min="1" max="1" width="29.281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7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301" t="s">
        <v>711</v>
      </c>
    </row>
    <row r="2" spans="1:19" ht="17.25" customHeight="1">
      <c r="A2" s="51" t="s">
        <v>39</v>
      </c>
      <c r="B2" s="51"/>
      <c r="C2" s="174"/>
      <c r="D2" s="51"/>
      <c r="E2" s="51"/>
      <c r="F2" s="174"/>
      <c r="G2" s="174"/>
      <c r="H2" s="174"/>
      <c r="I2" s="174"/>
      <c r="K2" s="51" t="s">
        <v>39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66" t="s">
        <v>712</v>
      </c>
      <c r="B4" s="866"/>
      <c r="C4" s="866"/>
      <c r="D4" s="866"/>
      <c r="E4" s="866"/>
      <c r="F4" s="866"/>
      <c r="G4" s="866"/>
      <c r="H4" s="866"/>
      <c r="I4" s="866"/>
      <c r="J4" s="866"/>
      <c r="K4" s="866" t="s">
        <v>713</v>
      </c>
      <c r="L4" s="866"/>
      <c r="M4" s="866"/>
      <c r="N4" s="866"/>
      <c r="O4" s="866"/>
      <c r="P4" s="866"/>
      <c r="Q4" s="866"/>
      <c r="R4" s="866"/>
      <c r="S4" s="866"/>
      <c r="T4" s="866"/>
    </row>
    <row r="5" spans="1:20" ht="18.75" customHeight="1">
      <c r="A5" s="866" t="s">
        <v>714</v>
      </c>
      <c r="B5" s="866"/>
      <c r="C5" s="866"/>
      <c r="D5" s="866"/>
      <c r="E5" s="866"/>
      <c r="F5" s="866"/>
      <c r="G5" s="866"/>
      <c r="H5" s="866"/>
      <c r="I5" s="866"/>
      <c r="J5" s="866"/>
      <c r="K5" s="866" t="s">
        <v>714</v>
      </c>
      <c r="L5" s="866"/>
      <c r="M5" s="866"/>
      <c r="N5" s="866"/>
      <c r="O5" s="866"/>
      <c r="P5" s="866"/>
      <c r="Q5" s="866"/>
      <c r="R5" s="866"/>
      <c r="S5" s="866"/>
      <c r="T5" s="866"/>
    </row>
    <row r="6" spans="1:20" ht="19.5" customHeight="1">
      <c r="A6" s="866" t="s">
        <v>912</v>
      </c>
      <c r="B6" s="866"/>
      <c r="C6" s="866"/>
      <c r="D6" s="866"/>
      <c r="E6" s="866"/>
      <c r="F6" s="866"/>
      <c r="G6" s="866"/>
      <c r="H6" s="866"/>
      <c r="I6" s="866"/>
      <c r="J6" s="866"/>
      <c r="K6" s="851" t="s">
        <v>833</v>
      </c>
      <c r="L6" s="851"/>
      <c r="M6" s="851"/>
      <c r="N6" s="851"/>
      <c r="O6" s="851"/>
      <c r="P6" s="851"/>
      <c r="Q6" s="851"/>
      <c r="R6" s="851"/>
      <c r="S6" s="851"/>
      <c r="T6" s="851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382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957</v>
      </c>
    </row>
    <row r="9" spans="1:20" s="38" customFormat="1" ht="24" customHeight="1">
      <c r="A9" s="662"/>
      <c r="B9" s="920" t="s">
        <v>715</v>
      </c>
      <c r="C9" s="921"/>
      <c r="D9" s="922"/>
      <c r="E9" s="920" t="s">
        <v>716</v>
      </c>
      <c r="F9" s="921"/>
      <c r="G9" s="922"/>
      <c r="H9" s="923" t="s">
        <v>717</v>
      </c>
      <c r="I9" s="924"/>
      <c r="J9" s="925"/>
      <c r="K9" s="662"/>
      <c r="L9" s="920" t="s">
        <v>715</v>
      </c>
      <c r="M9" s="921"/>
      <c r="N9" s="922"/>
      <c r="O9" s="920" t="s">
        <v>716</v>
      </c>
      <c r="P9" s="921"/>
      <c r="Q9" s="922"/>
      <c r="R9" s="923" t="s">
        <v>717</v>
      </c>
      <c r="S9" s="924"/>
      <c r="T9" s="925"/>
    </row>
    <row r="10" spans="1:20" ht="47.25" customHeight="1">
      <c r="A10" s="580" t="s">
        <v>791</v>
      </c>
      <c r="B10" s="663" t="s">
        <v>718</v>
      </c>
      <c r="C10" s="9" t="s">
        <v>719</v>
      </c>
      <c r="D10" s="9" t="s">
        <v>453</v>
      </c>
      <c r="E10" s="9" t="s">
        <v>718</v>
      </c>
      <c r="F10" s="9" t="s">
        <v>719</v>
      </c>
      <c r="G10" s="9" t="s">
        <v>720</v>
      </c>
      <c r="H10" s="9" t="s">
        <v>718</v>
      </c>
      <c r="I10" s="9" t="s">
        <v>719</v>
      </c>
      <c r="J10" s="9" t="s">
        <v>721</v>
      </c>
      <c r="K10" s="580" t="s">
        <v>791</v>
      </c>
      <c r="L10" s="663" t="s">
        <v>718</v>
      </c>
      <c r="M10" s="9" t="s">
        <v>719</v>
      </c>
      <c r="N10" s="9" t="s">
        <v>453</v>
      </c>
      <c r="O10" s="9" t="s">
        <v>718</v>
      </c>
      <c r="P10" s="9" t="s">
        <v>719</v>
      </c>
      <c r="Q10" s="9" t="s">
        <v>720</v>
      </c>
      <c r="R10" s="9" t="s">
        <v>718</v>
      </c>
      <c r="S10" s="9" t="s">
        <v>719</v>
      </c>
      <c r="T10" s="9" t="s">
        <v>721</v>
      </c>
    </row>
    <row r="11" spans="1:20" ht="12.75">
      <c r="A11" s="58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8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20.25" customHeight="1">
      <c r="A12" s="456" t="s">
        <v>631</v>
      </c>
      <c r="B12" s="387">
        <f>B19+B23+B26+B30+B35+B40+B46+B51+B56+B59+B63+B66+B69+B72+B77+B79+B83+B81+B85</f>
        <v>105353766</v>
      </c>
      <c r="C12" s="387">
        <f aca="true" t="shared" si="0" ref="C12:I12">C19+C23+C26+C30+C35+C40+C46+C51+C56+C59+C63+C66+C69+C72+C77+C79+C83+C81+C85</f>
        <v>41951509</v>
      </c>
      <c r="D12" s="664">
        <f aca="true" t="shared" si="1" ref="D12:D75">C12/B12*100</f>
        <v>39.819657704500095</v>
      </c>
      <c r="E12" s="387">
        <f>E19+E23+E26+E30+E35+E40+E46+E51+E56+E59+E63+E66+E69+E72+E77+E79+E83+E81+E85</f>
        <v>101854768</v>
      </c>
      <c r="F12" s="387">
        <f>F19+F23+F26+F30+F35+F40+F46+F51+F56+F59+F63+F66+F69+F72+F77+F79+F83+F81+F85</f>
        <v>36897611</v>
      </c>
      <c r="G12" s="664">
        <f aca="true" t="shared" si="2" ref="G12:G75">F12/E12*100</f>
        <v>36.225708157324554</v>
      </c>
      <c r="H12" s="387">
        <f t="shared" si="0"/>
        <v>151829271</v>
      </c>
      <c r="I12" s="387">
        <f t="shared" si="0"/>
        <v>1817330</v>
      </c>
      <c r="J12" s="664">
        <f>I12/H12*100</f>
        <v>1.1969562838775667</v>
      </c>
      <c r="K12" s="456" t="s">
        <v>631</v>
      </c>
      <c r="L12" s="387">
        <f>L19+L23+L26+L30+L35+L40+L46+L51+L56+L59+L63+L66+L69+L72+L77+L79+L83+L81+L85</f>
        <v>105354</v>
      </c>
      <c r="M12" s="387">
        <f aca="true" t="shared" si="3" ref="M12:S12">M19+M23+M26+M30+M35+M40+M46+M51+M56+M59+M63+M66+M69+M72+M77+M79+M83+M81+M85</f>
        <v>41952</v>
      </c>
      <c r="N12" s="664">
        <f aca="true" t="shared" si="4" ref="N12:N75">M12/L12*100</f>
        <v>39.82003530952788</v>
      </c>
      <c r="O12" s="387">
        <f t="shared" si="3"/>
        <v>101855</v>
      </c>
      <c r="P12" s="387">
        <f t="shared" si="3"/>
        <v>36898</v>
      </c>
      <c r="Q12" s="664">
        <f aca="true" t="shared" si="5" ref="Q12:Q75">P12/O12*100</f>
        <v>36.22600755976633</v>
      </c>
      <c r="R12" s="387">
        <f t="shared" si="3"/>
        <v>151829</v>
      </c>
      <c r="S12" s="387">
        <f t="shared" si="3"/>
        <v>1817</v>
      </c>
      <c r="T12" s="664">
        <f>S12/R12*100</f>
        <v>1.19674107054647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67" customFormat="1" ht="15" customHeight="1">
      <c r="A13" s="665" t="s">
        <v>722</v>
      </c>
      <c r="B13" s="468">
        <f>B31+B52+B73</f>
        <v>237160</v>
      </c>
      <c r="C13" s="468">
        <f>C31+C52+C73</f>
        <v>0</v>
      </c>
      <c r="D13" s="558">
        <f t="shared" si="1"/>
        <v>0</v>
      </c>
      <c r="E13" s="468">
        <f>E31+E52+E73</f>
        <v>209930</v>
      </c>
      <c r="F13" s="468">
        <f>F31+F52+F73</f>
        <v>0</v>
      </c>
      <c r="G13" s="558">
        <f t="shared" si="2"/>
        <v>0</v>
      </c>
      <c r="H13" s="468">
        <f>H31+H52+H73</f>
        <v>858070</v>
      </c>
      <c r="I13" s="468">
        <f>I31+I52+I73</f>
        <v>0</v>
      </c>
      <c r="J13" s="558">
        <f aca="true" t="shared" si="6" ref="J13:J75">I13/H13*100</f>
        <v>0</v>
      </c>
      <c r="K13" s="665" t="s">
        <v>722</v>
      </c>
      <c r="L13" s="468">
        <f>L31+L52+L73</f>
        <v>237</v>
      </c>
      <c r="M13" s="468">
        <f>M31+M52+M73</f>
        <v>0</v>
      </c>
      <c r="N13" s="558">
        <f t="shared" si="4"/>
        <v>0</v>
      </c>
      <c r="O13" s="468">
        <f>O31+O52+O73</f>
        <v>210</v>
      </c>
      <c r="P13" s="468">
        <f>P31+P52+P73</f>
        <v>0</v>
      </c>
      <c r="Q13" s="558">
        <f t="shared" si="5"/>
        <v>0</v>
      </c>
      <c r="R13" s="468">
        <f>R31+R52+R73</f>
        <v>858</v>
      </c>
      <c r="S13" s="468">
        <f>S31+S52+S73</f>
        <v>0</v>
      </c>
      <c r="T13" s="558">
        <f aca="true" t="shared" si="7" ref="T13:T75">S13/R13*100</f>
        <v>0</v>
      </c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  <c r="BG13" s="666"/>
      <c r="BH13" s="666"/>
      <c r="BI13" s="666"/>
      <c r="BJ13" s="666"/>
      <c r="BK13" s="666"/>
      <c r="BL13" s="666"/>
      <c r="BM13" s="666"/>
      <c r="BN13" s="666"/>
      <c r="BO13" s="666"/>
      <c r="BP13" s="666"/>
      <c r="BQ13" s="666"/>
      <c r="BR13" s="666"/>
      <c r="BS13" s="666"/>
      <c r="BT13" s="666"/>
      <c r="BU13" s="666"/>
      <c r="BV13" s="666"/>
      <c r="BW13" s="666"/>
      <c r="BX13" s="666"/>
      <c r="BY13" s="666"/>
      <c r="BZ13" s="666"/>
      <c r="CA13" s="666"/>
      <c r="CB13" s="666"/>
      <c r="CC13" s="666"/>
      <c r="CD13" s="666"/>
      <c r="CE13" s="666"/>
      <c r="CF13" s="666"/>
      <c r="CG13" s="666"/>
      <c r="CH13" s="666"/>
      <c r="CI13" s="666"/>
      <c r="CJ13" s="666"/>
      <c r="CK13" s="666"/>
      <c r="CL13" s="666"/>
      <c r="CM13" s="666"/>
      <c r="CN13" s="666"/>
      <c r="CO13" s="666"/>
      <c r="CP13" s="666"/>
      <c r="CQ13" s="666"/>
      <c r="CR13" s="666"/>
      <c r="CS13" s="666"/>
      <c r="CT13" s="666"/>
      <c r="CU13" s="666"/>
      <c r="CV13" s="666"/>
      <c r="CW13" s="666"/>
      <c r="CX13" s="666"/>
      <c r="CY13" s="666"/>
      <c r="CZ13" s="666"/>
      <c r="DA13" s="666"/>
      <c r="DB13" s="666"/>
      <c r="DC13" s="666"/>
    </row>
    <row r="14" spans="1:107" s="667" customFormat="1" ht="15" customHeight="1">
      <c r="A14" s="665" t="s">
        <v>136</v>
      </c>
      <c r="B14" s="468">
        <f>B20+B32+B36+B41+B53+B60+B74</f>
        <v>54157092</v>
      </c>
      <c r="C14" s="468">
        <f>C20+C32+C36+C41+C53+C60+C74</f>
        <v>37432036</v>
      </c>
      <c r="D14" s="558">
        <f t="shared" si="1"/>
        <v>69.11751465532899</v>
      </c>
      <c r="E14" s="468">
        <f>E20+E32+E36+E41+E53+E60+E74</f>
        <v>59437486</v>
      </c>
      <c r="F14" s="468">
        <f>F20+F32+F36+F41+F53+F60+F74</f>
        <v>34350743</v>
      </c>
      <c r="G14" s="558">
        <f t="shared" si="2"/>
        <v>57.793061772498255</v>
      </c>
      <c r="H14" s="468">
        <f>H32+H36+H41+H53+H60+H74</f>
        <v>549524</v>
      </c>
      <c r="I14" s="468">
        <f>I32+I36+I41+I53+I60+I74</f>
        <v>72330</v>
      </c>
      <c r="J14" s="558">
        <f t="shared" si="6"/>
        <v>13.162300463674015</v>
      </c>
      <c r="K14" s="665" t="s">
        <v>136</v>
      </c>
      <c r="L14" s="468">
        <f>L20+L32+L36+L41+L53+L60+L74</f>
        <v>54157</v>
      </c>
      <c r="M14" s="468">
        <f>M20+M32+M36+M41+M53+M60+M74</f>
        <v>37432</v>
      </c>
      <c r="N14" s="558">
        <f t="shared" si="4"/>
        <v>69.11756559632181</v>
      </c>
      <c r="O14" s="468">
        <f>O20+O32+O36+O41+O53+O60+O74</f>
        <v>59437</v>
      </c>
      <c r="P14" s="468">
        <f>P20+P32+P36+P41+P53+P60+P74</f>
        <v>34351</v>
      </c>
      <c r="Q14" s="558">
        <f t="shared" si="5"/>
        <v>57.793966721066006</v>
      </c>
      <c r="R14" s="468">
        <f>R32+R36+R41+R53+R60+R74</f>
        <v>549</v>
      </c>
      <c r="S14" s="468">
        <f>S32+S36+S41+S53+S60+S74+S20</f>
        <v>72</v>
      </c>
      <c r="T14" s="558">
        <f t="shared" si="7"/>
        <v>13.114754098360656</v>
      </c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</row>
    <row r="15" spans="1:107" s="74" customFormat="1" ht="13.5" customHeight="1">
      <c r="A15" s="464" t="s">
        <v>723</v>
      </c>
      <c r="B15" s="468">
        <f>B21+B24+B27+B33+B37+B42+B47+B54+B57+B61+B64+B67+B70+B75+B78+B80</f>
        <v>6665290</v>
      </c>
      <c r="C15" s="468">
        <f>C21+C24+C27+C33+C37+C42+C47+C54+C57+C61+C64+C67+C70+C75+C78+C80</f>
        <v>2550840</v>
      </c>
      <c r="D15" s="558">
        <f t="shared" si="1"/>
        <v>38.27050285884035</v>
      </c>
      <c r="E15" s="468">
        <f>E21+E24+E27+E33+E37+E42+E47+E54+E57+E61+E64+E67+E70+E75+E78+E80</f>
        <v>4960075</v>
      </c>
      <c r="F15" s="468">
        <f>F21+F24+F27+F33+F37+F42+F47+F54+F57+F61+F64+F67+F70+F75+F78+F80</f>
        <v>1661840</v>
      </c>
      <c r="G15" s="558">
        <f t="shared" si="2"/>
        <v>33.504332091752644</v>
      </c>
      <c r="H15" s="468">
        <f>H21+H24+H27+H33+H37+H42+H47+H54+H57+H61+H64+H67+H70+H75+H78+H80</f>
        <v>10717433</v>
      </c>
      <c r="I15" s="468">
        <f>I21+I24+I27+I33+I37+I42+I47+I54+I57+I61+I64+I67+I70+I75+I78+I80</f>
        <v>50000</v>
      </c>
      <c r="J15" s="558">
        <f t="shared" si="6"/>
        <v>0.46652962514437923</v>
      </c>
      <c r="K15" s="464" t="s">
        <v>723</v>
      </c>
      <c r="L15" s="468">
        <f>L21+L24+L27+L33+L37+L42+L47+L54+L57+L61+L64+L67+L70+L75+L78+L80</f>
        <v>6666</v>
      </c>
      <c r="M15" s="468">
        <f>M21+M24+M27+M33+M37+M42+M47+M54+M57+M61+M64+M67+M70+M75+M78+M80</f>
        <v>2551</v>
      </c>
      <c r="N15" s="558">
        <f t="shared" si="4"/>
        <v>38.268826882688266</v>
      </c>
      <c r="O15" s="468">
        <f>O21+O24+O27+O33+O37+O42+O47+O54+O57+O61+O64+O67+O70+O75+O78+O80</f>
        <v>4960</v>
      </c>
      <c r="P15" s="468">
        <f>P21+P24+P27+P33+P37+P42+P47+P54+P57+P61+P64+P67+P70+P75+P78+P80</f>
        <v>1662</v>
      </c>
      <c r="Q15" s="558">
        <f t="shared" si="5"/>
        <v>33.50806451612903</v>
      </c>
      <c r="R15" s="468">
        <f>R21+R24+R27+R33+R37+R42+R47+R54+R57+R61+R64+R67+R70+R75+R78+R80</f>
        <v>10718</v>
      </c>
      <c r="S15" s="468">
        <f>S21+S24+S27+S33+S37+S42+S47+S54+S57+S61+S64+S67+S70+S75+S78+S80</f>
        <v>50</v>
      </c>
      <c r="T15" s="558">
        <f t="shared" si="7"/>
        <v>0.46650494495241646</v>
      </c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</row>
    <row r="16" spans="1:107" s="74" customFormat="1" ht="14.25" customHeight="1">
      <c r="A16" s="464" t="s">
        <v>354</v>
      </c>
      <c r="B16" s="468">
        <f>B25+B38+B43+B48+B55+B58+B62+B65+B68+B71+B76+B84+B86</f>
        <v>39325701</v>
      </c>
      <c r="C16" s="468">
        <f>C25+C38+C43+C48+C55+C58+C62+C65+C68+C71+C76+C84+C86</f>
        <v>1764662</v>
      </c>
      <c r="D16" s="558">
        <f t="shared" si="1"/>
        <v>4.487299539809856</v>
      </c>
      <c r="E16" s="468">
        <f>E25+E38+E43+E48+E55+E58+E62+E65+E68+E71+E76+E84+E86</f>
        <v>34510501</v>
      </c>
      <c r="F16" s="468">
        <f>F25+F38+F43+F48+F55+F58+F62+F65+F68+F71+F76+F84+F86</f>
        <v>862000</v>
      </c>
      <c r="G16" s="558">
        <f t="shared" si="2"/>
        <v>2.497790455142914</v>
      </c>
      <c r="H16" s="468">
        <f>H25+H38+H43+H48+H55+H58+H62+H65+H68+H71+H76+H84+H86</f>
        <v>131243064</v>
      </c>
      <c r="I16" s="468">
        <f>I25+I38+I43+I48+I55+I58+I62+I65+I68+I71+I76+I84+I86</f>
        <v>1695000</v>
      </c>
      <c r="J16" s="558">
        <f t="shared" si="6"/>
        <v>1.2914968215006013</v>
      </c>
      <c r="K16" s="464" t="s">
        <v>354</v>
      </c>
      <c r="L16" s="468">
        <f>L25+L38+L43+L48+L55+L58+L62+L65+L68+L71+L76+L84+L86</f>
        <v>39326</v>
      </c>
      <c r="M16" s="468">
        <f aca="true" t="shared" si="8" ref="M16:S16">M25+M38+M43+M48+M55+M58+M62+M65+M68+M71+M76+M84+M86</f>
        <v>1765</v>
      </c>
      <c r="N16" s="558">
        <f t="shared" si="4"/>
        <v>4.4881249046432385</v>
      </c>
      <c r="O16" s="468">
        <f t="shared" si="8"/>
        <v>34511</v>
      </c>
      <c r="P16" s="468">
        <f t="shared" si="8"/>
        <v>862</v>
      </c>
      <c r="Q16" s="558">
        <f t="shared" si="5"/>
        <v>2.4977543391961983</v>
      </c>
      <c r="R16" s="468">
        <f t="shared" si="8"/>
        <v>131243</v>
      </c>
      <c r="S16" s="468">
        <f t="shared" si="8"/>
        <v>1695</v>
      </c>
      <c r="T16" s="558">
        <f t="shared" si="7"/>
        <v>1.2914974512926403</v>
      </c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66"/>
      <c r="CS16" s="666"/>
      <c r="CT16" s="666"/>
      <c r="CU16" s="666"/>
      <c r="CV16" s="666"/>
      <c r="CW16" s="666"/>
      <c r="CX16" s="666"/>
      <c r="CY16" s="666"/>
      <c r="CZ16" s="666"/>
      <c r="DA16" s="666"/>
      <c r="DB16" s="666"/>
      <c r="DC16" s="666"/>
    </row>
    <row r="17" spans="1:107" s="74" customFormat="1" ht="14.25" customHeight="1">
      <c r="A17" s="665" t="s">
        <v>724</v>
      </c>
      <c r="B17" s="468">
        <f>B28+B44+B49</f>
        <v>267504</v>
      </c>
      <c r="C17" s="468">
        <f>C28+C44+C49+C22</f>
        <v>28171</v>
      </c>
      <c r="D17" s="558">
        <f t="shared" si="1"/>
        <v>10.531057479514324</v>
      </c>
      <c r="E17" s="468">
        <f>E28+E44+E49</f>
        <v>147100</v>
      </c>
      <c r="F17" s="468">
        <f>F28+F44+F49+F22</f>
        <v>23028</v>
      </c>
      <c r="G17" s="558">
        <f t="shared" si="2"/>
        <v>15.654656696125086</v>
      </c>
      <c r="H17" s="468">
        <f>H28+H44+H49</f>
        <v>0</v>
      </c>
      <c r="I17" s="468">
        <f>I28+I44+I49</f>
        <v>0</v>
      </c>
      <c r="J17" s="558" t="e">
        <f t="shared" si="6"/>
        <v>#DIV/0!</v>
      </c>
      <c r="K17" s="665" t="s">
        <v>724</v>
      </c>
      <c r="L17" s="468">
        <f>L22+L28+L44+L49</f>
        <v>288</v>
      </c>
      <c r="M17" s="468">
        <f>M22+M28+M44+M49</f>
        <v>28</v>
      </c>
      <c r="N17" s="558">
        <f t="shared" si="4"/>
        <v>9.722222222222223</v>
      </c>
      <c r="O17" s="468">
        <f>O22+O28+O44+O49</f>
        <v>164</v>
      </c>
      <c r="P17" s="468">
        <f>P22+P28+P44+P49</f>
        <v>23</v>
      </c>
      <c r="Q17" s="558">
        <f t="shared" si="5"/>
        <v>14.02439024390244</v>
      </c>
      <c r="R17" s="468">
        <f>R28+R44+R49</f>
        <v>0</v>
      </c>
      <c r="S17" s="468">
        <f>S28+S44+S49+S22</f>
        <v>0</v>
      </c>
      <c r="T17" s="558"/>
      <c r="U17" s="666"/>
      <c r="V17" s="666"/>
      <c r="W17" s="666"/>
      <c r="X17" s="666"/>
      <c r="Y17" s="666"/>
      <c r="Z17" s="666"/>
      <c r="AA17" s="666"/>
      <c r="AB17" s="666"/>
      <c r="AC17" s="666"/>
      <c r="AD17" s="666"/>
      <c r="AE17" s="666"/>
      <c r="AF17" s="666"/>
      <c r="AG17" s="666"/>
      <c r="AH17" s="666"/>
      <c r="AI17" s="666"/>
      <c r="AJ17" s="666"/>
      <c r="AK17" s="666"/>
      <c r="AL17" s="666"/>
      <c r="AM17" s="666"/>
      <c r="AN17" s="666"/>
      <c r="AO17" s="666"/>
      <c r="AP17" s="666"/>
      <c r="AQ17" s="666"/>
      <c r="AR17" s="666"/>
      <c r="AS17" s="666"/>
      <c r="AT17" s="666"/>
      <c r="AU17" s="666"/>
      <c r="AV17" s="666"/>
      <c r="AW17" s="666"/>
      <c r="AX17" s="666"/>
      <c r="AY17" s="666"/>
      <c r="AZ17" s="666"/>
      <c r="BA17" s="666"/>
      <c r="BB17" s="666"/>
      <c r="BC17" s="666"/>
      <c r="BD17" s="666"/>
      <c r="BE17" s="666"/>
      <c r="BF17" s="666"/>
      <c r="BG17" s="666"/>
      <c r="BH17" s="666"/>
      <c r="BI17" s="666"/>
      <c r="BJ17" s="666"/>
      <c r="BK17" s="666"/>
      <c r="BL17" s="666"/>
      <c r="BM17" s="666"/>
      <c r="BN17" s="666"/>
      <c r="BO17" s="666"/>
      <c r="BP17" s="666"/>
      <c r="BQ17" s="666"/>
      <c r="BR17" s="666"/>
      <c r="BS17" s="666"/>
      <c r="BT17" s="666"/>
      <c r="BU17" s="666"/>
      <c r="BV17" s="666"/>
      <c r="BW17" s="666"/>
      <c r="BX17" s="666"/>
      <c r="BY17" s="666"/>
      <c r="BZ17" s="666"/>
      <c r="CA17" s="666"/>
      <c r="CB17" s="666"/>
      <c r="CC17" s="666"/>
      <c r="CD17" s="666"/>
      <c r="CE17" s="666"/>
      <c r="CF17" s="666"/>
      <c r="CG17" s="666"/>
      <c r="CH17" s="666"/>
      <c r="CI17" s="666"/>
      <c r="CJ17" s="666"/>
      <c r="CK17" s="666"/>
      <c r="CL17" s="666"/>
      <c r="CM17" s="666"/>
      <c r="CN17" s="666"/>
      <c r="CO17" s="666"/>
      <c r="CP17" s="666"/>
      <c r="CQ17" s="666"/>
      <c r="CR17" s="666"/>
      <c r="CS17" s="666"/>
      <c r="CT17" s="666"/>
      <c r="CU17" s="666"/>
      <c r="CV17" s="666"/>
      <c r="CW17" s="666"/>
      <c r="CX17" s="666"/>
      <c r="CY17" s="666"/>
      <c r="CZ17" s="666"/>
      <c r="DA17" s="666"/>
      <c r="DB17" s="666"/>
      <c r="DC17" s="666"/>
    </row>
    <row r="18" spans="1:107" s="74" customFormat="1" ht="13.5" customHeight="1">
      <c r="A18" s="464" t="s">
        <v>725</v>
      </c>
      <c r="B18" s="468">
        <f>B29+B34+B39+B45+B50+B82</f>
        <v>4680192</v>
      </c>
      <c r="C18" s="468">
        <f aca="true" t="shared" si="9" ref="C18:I18">C29+C34+C39+C45+C50+C82</f>
        <v>175800</v>
      </c>
      <c r="D18" s="558">
        <f t="shared" si="1"/>
        <v>3.756256153593699</v>
      </c>
      <c r="E18" s="468">
        <f t="shared" si="9"/>
        <v>2572652</v>
      </c>
      <c r="F18" s="468">
        <f t="shared" si="9"/>
        <v>0</v>
      </c>
      <c r="G18" s="558">
        <f t="shared" si="2"/>
        <v>0</v>
      </c>
      <c r="H18" s="468">
        <f t="shared" si="9"/>
        <v>8461180</v>
      </c>
      <c r="I18" s="468">
        <f t="shared" si="9"/>
        <v>0</v>
      </c>
      <c r="J18" s="558">
        <f t="shared" si="6"/>
        <v>0</v>
      </c>
      <c r="K18" s="464" t="s">
        <v>725</v>
      </c>
      <c r="L18" s="468">
        <f>L29+L34+L39+L45+L50+L82</f>
        <v>4680</v>
      </c>
      <c r="M18" s="468">
        <f aca="true" t="shared" si="10" ref="M18:S18">M29+M34+M39+M45+M50+M82</f>
        <v>176</v>
      </c>
      <c r="N18" s="558">
        <f t="shared" si="4"/>
        <v>3.7606837606837606</v>
      </c>
      <c r="O18" s="468">
        <f t="shared" si="10"/>
        <v>2573</v>
      </c>
      <c r="P18" s="468">
        <f t="shared" si="10"/>
        <v>0</v>
      </c>
      <c r="Q18" s="558">
        <f t="shared" si="5"/>
        <v>0</v>
      </c>
      <c r="R18" s="468">
        <f t="shared" si="10"/>
        <v>8461</v>
      </c>
      <c r="S18" s="468">
        <f t="shared" si="10"/>
        <v>0</v>
      </c>
      <c r="T18" s="558">
        <f t="shared" si="7"/>
        <v>0</v>
      </c>
      <c r="U18" s="666"/>
      <c r="V18" s="666"/>
      <c r="W18" s="666"/>
      <c r="X18" s="666"/>
      <c r="Y18" s="666"/>
      <c r="Z18" s="666"/>
      <c r="AA18" s="666"/>
      <c r="AB18" s="666"/>
      <c r="AC18" s="666"/>
      <c r="AD18" s="666"/>
      <c r="AE18" s="666"/>
      <c r="AF18" s="666"/>
      <c r="AG18" s="666"/>
      <c r="AH18" s="666"/>
      <c r="AI18" s="666"/>
      <c r="AJ18" s="666"/>
      <c r="AK18" s="666"/>
      <c r="AL18" s="666"/>
      <c r="AM18" s="666"/>
      <c r="AN18" s="666"/>
      <c r="AO18" s="666"/>
      <c r="AP18" s="666"/>
      <c r="AQ18" s="666"/>
      <c r="AR18" s="666"/>
      <c r="AS18" s="666"/>
      <c r="AT18" s="666"/>
      <c r="AU18" s="666"/>
      <c r="AV18" s="666"/>
      <c r="AW18" s="666"/>
      <c r="AX18" s="666"/>
      <c r="AY18" s="666"/>
      <c r="AZ18" s="666"/>
      <c r="BA18" s="666"/>
      <c r="BB18" s="666"/>
      <c r="BC18" s="666"/>
      <c r="BD18" s="666"/>
      <c r="BE18" s="666"/>
      <c r="BF18" s="666"/>
      <c r="BG18" s="666"/>
      <c r="BH18" s="666"/>
      <c r="BI18" s="666"/>
      <c r="BJ18" s="666"/>
      <c r="BK18" s="666"/>
      <c r="BL18" s="666"/>
      <c r="BM18" s="666"/>
      <c r="BN18" s="666"/>
      <c r="BO18" s="666"/>
      <c r="BP18" s="666"/>
      <c r="BQ18" s="666"/>
      <c r="BR18" s="666"/>
      <c r="BS18" s="666"/>
      <c r="BT18" s="666"/>
      <c r="BU18" s="666"/>
      <c r="BV18" s="666"/>
      <c r="BW18" s="666"/>
      <c r="BX18" s="666"/>
      <c r="BY18" s="666"/>
      <c r="BZ18" s="666"/>
      <c r="CA18" s="666"/>
      <c r="CB18" s="666"/>
      <c r="CC18" s="666"/>
      <c r="CD18" s="666"/>
      <c r="CE18" s="666"/>
      <c r="CF18" s="666"/>
      <c r="CG18" s="666"/>
      <c r="CH18" s="666"/>
      <c r="CI18" s="666"/>
      <c r="CJ18" s="666"/>
      <c r="CK18" s="666"/>
      <c r="CL18" s="666"/>
      <c r="CM18" s="666"/>
      <c r="CN18" s="666"/>
      <c r="CO18" s="666"/>
      <c r="CP18" s="666"/>
      <c r="CQ18" s="666"/>
      <c r="CR18" s="666"/>
      <c r="CS18" s="666"/>
      <c r="CT18" s="666"/>
      <c r="CU18" s="666"/>
      <c r="CV18" s="666"/>
      <c r="CW18" s="666"/>
      <c r="CX18" s="666"/>
      <c r="CY18" s="666"/>
      <c r="CZ18" s="666"/>
      <c r="DA18" s="666"/>
      <c r="DB18" s="666"/>
      <c r="DC18" s="666"/>
    </row>
    <row r="19" spans="1:107" s="467" customFormat="1" ht="12.75">
      <c r="A19" s="464" t="s">
        <v>60</v>
      </c>
      <c r="B19" s="11">
        <f>SUM(B20:B22)</f>
        <v>100746</v>
      </c>
      <c r="C19" s="11">
        <f>SUM(C20:C22)</f>
        <v>31402</v>
      </c>
      <c r="D19" s="668">
        <f>C19/B19*100</f>
        <v>31.16947571119449</v>
      </c>
      <c r="E19" s="11">
        <f>SUM(E20:E22)</f>
        <v>97734</v>
      </c>
      <c r="F19" s="11">
        <f>SUM(F20:F22)</f>
        <v>23842</v>
      </c>
      <c r="G19" s="668">
        <f>F19/E19*100</f>
        <v>24.39478584729981</v>
      </c>
      <c r="H19" s="11">
        <f>H21</f>
        <v>0</v>
      </c>
      <c r="I19" s="11">
        <f>I21</f>
        <v>0</v>
      </c>
      <c r="J19" s="668" t="e">
        <f>I19/H19*100</f>
        <v>#DIV/0!</v>
      </c>
      <c r="K19" s="464" t="s">
        <v>60</v>
      </c>
      <c r="L19" s="11">
        <f>SUM(L20:L22)</f>
        <v>101</v>
      </c>
      <c r="M19" s="11">
        <f>SUM(M20:M22)</f>
        <v>31</v>
      </c>
      <c r="N19" s="668">
        <f>M19/L19*100</f>
        <v>30.693069306930692</v>
      </c>
      <c r="O19" s="11">
        <f>SUM(O20:O22)</f>
        <v>98</v>
      </c>
      <c r="P19" s="11">
        <f>SUM(P20:P22)</f>
        <v>24</v>
      </c>
      <c r="Q19" s="668">
        <f>P19/O19*100</f>
        <v>24.489795918367346</v>
      </c>
      <c r="R19" s="11">
        <f>R21</f>
        <v>0</v>
      </c>
      <c r="S19" s="11">
        <f>S21</f>
        <v>0</v>
      </c>
      <c r="T19" s="668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</row>
    <row r="20" spans="1:107" s="467" customFormat="1" ht="12.75">
      <c r="A20" s="472" t="s">
        <v>136</v>
      </c>
      <c r="B20" s="27">
        <v>2819</v>
      </c>
      <c r="C20" s="27">
        <v>3231</v>
      </c>
      <c r="D20" s="669">
        <f t="shared" si="1"/>
        <v>114.61511174175239</v>
      </c>
      <c r="E20" s="27">
        <v>710</v>
      </c>
      <c r="F20" s="27">
        <v>814</v>
      </c>
      <c r="G20" s="669">
        <f t="shared" si="2"/>
        <v>114.64788732394366</v>
      </c>
      <c r="H20" s="27"/>
      <c r="I20" s="27"/>
      <c r="J20" s="669"/>
      <c r="K20" s="472" t="s">
        <v>136</v>
      </c>
      <c r="L20" s="27">
        <f aca="true" t="shared" si="11" ref="L20:M22">ROUND(B20/1000,0)</f>
        <v>3</v>
      </c>
      <c r="M20" s="27">
        <f t="shared" si="11"/>
        <v>3</v>
      </c>
      <c r="N20" s="669">
        <f>M20/L20*100</f>
        <v>100</v>
      </c>
      <c r="O20" s="27">
        <f aca="true" t="shared" si="12" ref="O20:P22">ROUND(E20/1000,0)</f>
        <v>1</v>
      </c>
      <c r="P20" s="27">
        <f t="shared" si="12"/>
        <v>1</v>
      </c>
      <c r="Q20" s="669">
        <f>P20/O20*100</f>
        <v>100</v>
      </c>
      <c r="R20" s="27"/>
      <c r="S20" s="27"/>
      <c r="T20" s="669"/>
      <c r="U20" s="466"/>
      <c r="V20" s="466"/>
      <c r="W20" s="466"/>
      <c r="X20" s="466"/>
      <c r="Y20" s="466"/>
      <c r="Z20" s="466"/>
      <c r="AA20" s="466"/>
      <c r="AB20" s="466"/>
      <c r="AC20" s="466"/>
      <c r="AD20" s="466"/>
      <c r="AE20" s="466"/>
      <c r="AF20" s="466"/>
      <c r="AG20" s="466"/>
      <c r="AH20" s="466"/>
      <c r="AI20" s="466"/>
      <c r="AJ20" s="466"/>
      <c r="AK20" s="466"/>
      <c r="AL20" s="466"/>
      <c r="AM20" s="466"/>
      <c r="AN20" s="466"/>
      <c r="AO20" s="466"/>
      <c r="AP20" s="466"/>
      <c r="AQ20" s="466"/>
      <c r="AR20" s="466"/>
      <c r="AS20" s="466"/>
      <c r="AT20" s="466"/>
      <c r="AU20" s="466"/>
      <c r="AV20" s="466"/>
      <c r="AW20" s="466"/>
      <c r="AX20" s="466"/>
      <c r="AY20" s="466"/>
      <c r="AZ20" s="466"/>
      <c r="BA20" s="466"/>
      <c r="BB20" s="466"/>
      <c r="BC20" s="466"/>
      <c r="BD20" s="466"/>
      <c r="BE20" s="466"/>
      <c r="BF20" s="466"/>
      <c r="BG20" s="466"/>
      <c r="BH20" s="466"/>
      <c r="BI20" s="466"/>
      <c r="BJ20" s="466"/>
      <c r="BK20" s="466"/>
      <c r="BL20" s="466"/>
      <c r="BM20" s="466"/>
      <c r="BN20" s="466"/>
      <c r="BO20" s="466"/>
      <c r="BP20" s="466"/>
      <c r="BQ20" s="466"/>
      <c r="BR20" s="466"/>
      <c r="BS20" s="466"/>
      <c r="BT20" s="466"/>
      <c r="BU20" s="466"/>
      <c r="BV20" s="466"/>
      <c r="BW20" s="466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6"/>
      <c r="CJ20" s="466"/>
      <c r="CK20" s="466"/>
      <c r="CL20" s="466"/>
      <c r="CM20" s="466"/>
      <c r="CN20" s="466"/>
      <c r="CO20" s="466"/>
      <c r="CP20" s="466"/>
      <c r="CQ20" s="466"/>
      <c r="CR20" s="466"/>
      <c r="CS20" s="466"/>
      <c r="CT20" s="466"/>
      <c r="CU20" s="466"/>
      <c r="CV20" s="466"/>
      <c r="CW20" s="466"/>
      <c r="CX20" s="466"/>
      <c r="CY20" s="466"/>
      <c r="CZ20" s="466"/>
      <c r="DA20" s="466"/>
      <c r="DB20" s="466"/>
      <c r="DC20" s="466"/>
    </row>
    <row r="21" spans="1:107" s="467" customFormat="1" ht="12.75">
      <c r="A21" s="472" t="s">
        <v>723</v>
      </c>
      <c r="B21" s="27">
        <v>77100</v>
      </c>
      <c r="C21" s="27"/>
      <c r="D21" s="669">
        <f t="shared" si="1"/>
        <v>0</v>
      </c>
      <c r="E21" s="27">
        <v>80000</v>
      </c>
      <c r="F21" s="27"/>
      <c r="G21" s="669">
        <f t="shared" si="2"/>
        <v>0</v>
      </c>
      <c r="H21" s="27"/>
      <c r="I21" s="27"/>
      <c r="J21" s="669" t="e">
        <f t="shared" si="6"/>
        <v>#DIV/0!</v>
      </c>
      <c r="K21" s="472" t="s">
        <v>723</v>
      </c>
      <c r="L21" s="27">
        <f t="shared" si="11"/>
        <v>77</v>
      </c>
      <c r="M21" s="27">
        <f t="shared" si="11"/>
        <v>0</v>
      </c>
      <c r="N21" s="669">
        <f t="shared" si="4"/>
        <v>0</v>
      </c>
      <c r="O21" s="27">
        <f t="shared" si="12"/>
        <v>80</v>
      </c>
      <c r="P21" s="27">
        <f t="shared" si="12"/>
        <v>0</v>
      </c>
      <c r="Q21" s="669">
        <f t="shared" si="5"/>
        <v>0</v>
      </c>
      <c r="R21" s="27"/>
      <c r="S21" s="27"/>
      <c r="T21" s="669"/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</row>
    <row r="22" spans="1:107" s="467" customFormat="1" ht="12.75">
      <c r="A22" s="472" t="s">
        <v>724</v>
      </c>
      <c r="B22" s="27">
        <v>20827</v>
      </c>
      <c r="C22" s="27">
        <v>28171</v>
      </c>
      <c r="D22" s="669">
        <f t="shared" si="1"/>
        <v>135.26191962356557</v>
      </c>
      <c r="E22" s="27">
        <v>17024</v>
      </c>
      <c r="F22" s="27">
        <v>23028</v>
      </c>
      <c r="G22" s="669">
        <f t="shared" si="2"/>
        <v>135.26785714285714</v>
      </c>
      <c r="H22" s="27"/>
      <c r="I22" s="27"/>
      <c r="J22" s="669"/>
      <c r="K22" s="472" t="s">
        <v>724</v>
      </c>
      <c r="L22" s="27">
        <f t="shared" si="11"/>
        <v>21</v>
      </c>
      <c r="M22" s="27">
        <f t="shared" si="11"/>
        <v>28</v>
      </c>
      <c r="N22" s="669">
        <f>M22/L22*100</f>
        <v>133.33333333333331</v>
      </c>
      <c r="O22" s="27">
        <f t="shared" si="12"/>
        <v>17</v>
      </c>
      <c r="P22" s="27">
        <f t="shared" si="12"/>
        <v>23</v>
      </c>
      <c r="Q22" s="669">
        <f>P22/O22*100</f>
        <v>135.29411764705884</v>
      </c>
      <c r="R22" s="27"/>
      <c r="S22" s="27"/>
      <c r="T22" s="669"/>
      <c r="U22" s="466"/>
      <c r="V22" s="466"/>
      <c r="W22" s="466"/>
      <c r="X22" s="466"/>
      <c r="Y22" s="466"/>
      <c r="Z22" s="466"/>
      <c r="AA22" s="466"/>
      <c r="AB22" s="466"/>
      <c r="AC22" s="466"/>
      <c r="AD22" s="466"/>
      <c r="AE22" s="466"/>
      <c r="AF22" s="466"/>
      <c r="AG22" s="466"/>
      <c r="AH22" s="466"/>
      <c r="AI22" s="466"/>
      <c r="AJ22" s="466"/>
      <c r="AK22" s="466"/>
      <c r="AL22" s="466"/>
      <c r="AM22" s="466"/>
      <c r="AN22" s="466"/>
      <c r="AO22" s="466"/>
      <c r="AP22" s="466"/>
      <c r="AQ22" s="466"/>
      <c r="AR22" s="466"/>
      <c r="AS22" s="466"/>
      <c r="AT22" s="466"/>
      <c r="AU22" s="466"/>
      <c r="AV22" s="466"/>
      <c r="AW22" s="466"/>
      <c r="AX22" s="466"/>
      <c r="AY22" s="466"/>
      <c r="AZ22" s="466"/>
      <c r="BA22" s="466"/>
      <c r="BB22" s="466"/>
      <c r="BC22" s="466"/>
      <c r="BD22" s="466"/>
      <c r="BE22" s="466"/>
      <c r="BF22" s="466"/>
      <c r="BG22" s="466"/>
      <c r="BH22" s="466"/>
      <c r="BI22" s="466"/>
      <c r="BJ22" s="466"/>
      <c r="BK22" s="466"/>
      <c r="BL22" s="466"/>
      <c r="BM22" s="466"/>
      <c r="BN22" s="466"/>
      <c r="BO22" s="466"/>
      <c r="BP22" s="466"/>
      <c r="BQ22" s="466"/>
      <c r="BR22" s="466"/>
      <c r="BS22" s="466"/>
      <c r="BT22" s="466"/>
      <c r="BU22" s="466"/>
      <c r="BV22" s="466"/>
      <c r="BW22" s="466"/>
      <c r="BX22" s="466"/>
      <c r="BY22" s="466"/>
      <c r="BZ22" s="466"/>
      <c r="CA22" s="466"/>
      <c r="CB22" s="466"/>
      <c r="CC22" s="466"/>
      <c r="CD22" s="466"/>
      <c r="CE22" s="466"/>
      <c r="CF22" s="466"/>
      <c r="CG22" s="466"/>
      <c r="CH22" s="466"/>
      <c r="CI22" s="466"/>
      <c r="CJ22" s="466"/>
      <c r="CK22" s="466"/>
      <c r="CL22" s="466"/>
      <c r="CM22" s="466"/>
      <c r="CN22" s="466"/>
      <c r="CO22" s="466"/>
      <c r="CP22" s="466"/>
      <c r="CQ22" s="466"/>
      <c r="CR22" s="466"/>
      <c r="CS22" s="466"/>
      <c r="CT22" s="466"/>
      <c r="CU22" s="466"/>
      <c r="CV22" s="466"/>
      <c r="CW22" s="466"/>
      <c r="CX22" s="466"/>
      <c r="CY22" s="466"/>
      <c r="CZ22" s="466"/>
      <c r="DA22" s="466"/>
      <c r="DB22" s="466"/>
      <c r="DC22" s="466"/>
    </row>
    <row r="23" spans="1:20" ht="12.75">
      <c r="A23" s="74" t="s">
        <v>64</v>
      </c>
      <c r="B23" s="470">
        <f>SUM(B24:B25)</f>
        <v>3445510</v>
      </c>
      <c r="C23" s="470">
        <f aca="true" t="shared" si="13" ref="C23:I23">SUM(C24:C25)</f>
        <v>0</v>
      </c>
      <c r="D23" s="668">
        <f t="shared" si="1"/>
        <v>0</v>
      </c>
      <c r="E23" s="470">
        <f t="shared" si="13"/>
        <v>3279510</v>
      </c>
      <c r="F23" s="470">
        <f t="shared" si="13"/>
        <v>0</v>
      </c>
      <c r="G23" s="668">
        <f t="shared" si="2"/>
        <v>0</v>
      </c>
      <c r="H23" s="470">
        <f t="shared" si="13"/>
        <v>7392100</v>
      </c>
      <c r="I23" s="470">
        <f t="shared" si="13"/>
        <v>0</v>
      </c>
      <c r="J23" s="668">
        <f t="shared" si="6"/>
        <v>0</v>
      </c>
      <c r="K23" s="74" t="s">
        <v>64</v>
      </c>
      <c r="L23" s="470">
        <f aca="true" t="shared" si="14" ref="L23:S23">SUM(L24:L25)</f>
        <v>3446</v>
      </c>
      <c r="M23" s="470">
        <f t="shared" si="14"/>
        <v>0</v>
      </c>
      <c r="N23" s="668">
        <f t="shared" si="4"/>
        <v>0</v>
      </c>
      <c r="O23" s="470">
        <f t="shared" si="14"/>
        <v>3280</v>
      </c>
      <c r="P23" s="470">
        <f t="shared" si="14"/>
        <v>0</v>
      </c>
      <c r="Q23" s="668">
        <f t="shared" si="5"/>
        <v>0</v>
      </c>
      <c r="R23" s="470">
        <f t="shared" si="14"/>
        <v>7392</v>
      </c>
      <c r="S23" s="470">
        <f t="shared" si="14"/>
        <v>0</v>
      </c>
      <c r="T23" s="668">
        <f t="shared" si="7"/>
        <v>0</v>
      </c>
    </row>
    <row r="24" spans="1:107" s="467" customFormat="1" ht="12.75">
      <c r="A24" s="472" t="s">
        <v>723</v>
      </c>
      <c r="B24" s="27">
        <v>4510</v>
      </c>
      <c r="C24" s="27"/>
      <c r="D24" s="669">
        <f t="shared" si="1"/>
        <v>0</v>
      </c>
      <c r="E24" s="27">
        <v>4510</v>
      </c>
      <c r="F24" s="27"/>
      <c r="G24" s="669"/>
      <c r="H24" s="27"/>
      <c r="I24" s="27"/>
      <c r="J24" s="669"/>
      <c r="K24" s="472" t="s">
        <v>723</v>
      </c>
      <c r="L24" s="27">
        <f>ROUND(B24/1000,0)</f>
        <v>5</v>
      </c>
      <c r="M24" s="27">
        <f aca="true" t="shared" si="15" ref="M24:S25">ROUND(C24/1000,0)</f>
        <v>0</v>
      </c>
      <c r="N24" s="669">
        <f t="shared" si="4"/>
        <v>0</v>
      </c>
      <c r="O24" s="27">
        <f t="shared" si="15"/>
        <v>5</v>
      </c>
      <c r="P24" s="27">
        <f t="shared" si="15"/>
        <v>0</v>
      </c>
      <c r="Q24" s="669">
        <f t="shared" si="5"/>
        <v>0</v>
      </c>
      <c r="R24" s="27"/>
      <c r="S24" s="27"/>
      <c r="T24" s="669"/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</row>
    <row r="25" spans="1:107" s="467" customFormat="1" ht="12.75">
      <c r="A25" s="472" t="s">
        <v>354</v>
      </c>
      <c r="B25" s="27">
        <v>3441000</v>
      </c>
      <c r="D25" s="669">
        <f t="shared" si="1"/>
        <v>0</v>
      </c>
      <c r="E25" s="27">
        <v>3275000</v>
      </c>
      <c r="F25" s="27"/>
      <c r="G25" s="669">
        <f t="shared" si="2"/>
        <v>0</v>
      </c>
      <c r="H25" s="27">
        <v>7392100</v>
      </c>
      <c r="I25" s="27"/>
      <c r="J25" s="669">
        <f t="shared" si="6"/>
        <v>0</v>
      </c>
      <c r="K25" s="472" t="s">
        <v>354</v>
      </c>
      <c r="L25" s="27">
        <f>ROUND(B25/1000,0)</f>
        <v>3441</v>
      </c>
      <c r="M25" s="27">
        <f t="shared" si="15"/>
        <v>0</v>
      </c>
      <c r="N25" s="669">
        <f t="shared" si="4"/>
        <v>0</v>
      </c>
      <c r="O25" s="27">
        <f t="shared" si="15"/>
        <v>3275</v>
      </c>
      <c r="P25" s="27">
        <f t="shared" si="15"/>
        <v>0</v>
      </c>
      <c r="Q25" s="669">
        <f t="shared" si="5"/>
        <v>0</v>
      </c>
      <c r="R25" s="27">
        <f t="shared" si="15"/>
        <v>7392</v>
      </c>
      <c r="S25" s="27">
        <f t="shared" si="15"/>
        <v>0</v>
      </c>
      <c r="T25" s="669">
        <f t="shared" si="7"/>
        <v>0</v>
      </c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</row>
    <row r="26" spans="1:20" ht="12.75">
      <c r="A26" s="74" t="s">
        <v>66</v>
      </c>
      <c r="B26" s="470">
        <f>SUM(B27:B29)</f>
        <v>1414088</v>
      </c>
      <c r="C26" s="470">
        <f>SUM(C27:C29)</f>
        <v>1651840</v>
      </c>
      <c r="D26" s="668">
        <f t="shared" si="1"/>
        <v>116.81309791186969</v>
      </c>
      <c r="E26" s="470">
        <f>SUM(E27:E29)</f>
        <v>685536</v>
      </c>
      <c r="F26" s="470">
        <f>SUM(F27:F29)</f>
        <v>1651840</v>
      </c>
      <c r="G26" s="668">
        <f t="shared" si="2"/>
        <v>240.9559818886244</v>
      </c>
      <c r="H26" s="470">
        <f>SUM(H27:H29)</f>
        <v>883464</v>
      </c>
      <c r="I26" s="470">
        <f>SUM(I27:I29)</f>
        <v>0</v>
      </c>
      <c r="J26" s="668">
        <f t="shared" si="6"/>
        <v>0</v>
      </c>
      <c r="K26" s="74" t="s">
        <v>66</v>
      </c>
      <c r="L26" s="470">
        <f>SUM(L27:L29)</f>
        <v>1414</v>
      </c>
      <c r="M26" s="470">
        <f>SUM(M27:M29)</f>
        <v>1652</v>
      </c>
      <c r="N26" s="668">
        <f t="shared" si="4"/>
        <v>116.83168316831683</v>
      </c>
      <c r="O26" s="470">
        <f>SUM(O27:O29)</f>
        <v>686</v>
      </c>
      <c r="P26" s="470">
        <f>SUM(P27:P29)</f>
        <v>1652</v>
      </c>
      <c r="Q26" s="668">
        <f t="shared" si="5"/>
        <v>240.81632653061226</v>
      </c>
      <c r="R26" s="470">
        <f>SUM(R27:R29)</f>
        <v>884</v>
      </c>
      <c r="S26" s="470">
        <f>SUM(S27:S29)</f>
        <v>0</v>
      </c>
      <c r="T26" s="668">
        <f t="shared" si="7"/>
        <v>0</v>
      </c>
    </row>
    <row r="27" spans="1:107" s="467" customFormat="1" ht="12.75">
      <c r="A27" s="472" t="s">
        <v>723</v>
      </c>
      <c r="B27" s="27">
        <v>1388740</v>
      </c>
      <c r="C27" s="27">
        <v>1651840</v>
      </c>
      <c r="D27" s="669">
        <f t="shared" si="1"/>
        <v>118.94523092875555</v>
      </c>
      <c r="E27" s="27">
        <v>660740</v>
      </c>
      <c r="F27" s="27">
        <v>1651840</v>
      </c>
      <c r="G27" s="669">
        <f t="shared" si="2"/>
        <v>249.9984865453885</v>
      </c>
      <c r="H27" s="27">
        <v>654740</v>
      </c>
      <c r="I27" s="27"/>
      <c r="J27" s="669">
        <f t="shared" si="6"/>
        <v>0</v>
      </c>
      <c r="K27" s="472" t="s">
        <v>723</v>
      </c>
      <c r="L27" s="27">
        <f aca="true" t="shared" si="16" ref="L27:M29">ROUND(B27/1000,0)</f>
        <v>1389</v>
      </c>
      <c r="M27" s="27">
        <f t="shared" si="16"/>
        <v>1652</v>
      </c>
      <c r="N27" s="669">
        <f t="shared" si="4"/>
        <v>118.93448524118071</v>
      </c>
      <c r="O27" s="27">
        <f aca="true" t="shared" si="17" ref="O27:P29">ROUND(E27/1000,0)</f>
        <v>661</v>
      </c>
      <c r="P27" s="27">
        <f>ROUND(F27/1000,0)</f>
        <v>1652</v>
      </c>
      <c r="Q27" s="669">
        <f t="shared" si="5"/>
        <v>249.92435703479578</v>
      </c>
      <c r="R27" s="27">
        <f aca="true" t="shared" si="18" ref="R27:S29">ROUND(H27/1000,0)</f>
        <v>655</v>
      </c>
      <c r="S27" s="27">
        <f t="shared" si="18"/>
        <v>0</v>
      </c>
      <c r="T27" s="669">
        <f t="shared" si="7"/>
        <v>0</v>
      </c>
      <c r="U27" s="466"/>
      <c r="V27" s="466"/>
      <c r="W27" s="466"/>
      <c r="X27" s="466"/>
      <c r="Y27" s="466"/>
      <c r="Z27" s="466"/>
      <c r="AA27" s="466"/>
      <c r="AB27" s="466"/>
      <c r="AC27" s="466"/>
      <c r="AD27" s="466"/>
      <c r="AE27" s="466"/>
      <c r="AF27" s="466"/>
      <c r="AG27" s="466"/>
      <c r="AH27" s="466"/>
      <c r="AI27" s="466"/>
      <c r="AJ27" s="466"/>
      <c r="AK27" s="466"/>
      <c r="AL27" s="466"/>
      <c r="AM27" s="466"/>
      <c r="AN27" s="466"/>
      <c r="AO27" s="466"/>
      <c r="AP27" s="466"/>
      <c r="AQ27" s="466"/>
      <c r="AR27" s="466"/>
      <c r="AS27" s="466"/>
      <c r="AT27" s="466"/>
      <c r="AU27" s="466"/>
      <c r="AV27" s="466"/>
      <c r="AW27" s="466"/>
      <c r="AX27" s="466"/>
      <c r="AY27" s="466"/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6"/>
      <c r="BK27" s="466"/>
      <c r="BL27" s="466"/>
      <c r="BM27" s="466"/>
      <c r="BN27" s="466"/>
      <c r="BO27" s="466"/>
      <c r="BP27" s="466"/>
      <c r="BQ27" s="466"/>
      <c r="BR27" s="466"/>
      <c r="BS27" s="466"/>
      <c r="BT27" s="466"/>
      <c r="BU27" s="466"/>
      <c r="BV27" s="466"/>
      <c r="BW27" s="466"/>
      <c r="BX27" s="466"/>
      <c r="BY27" s="466"/>
      <c r="BZ27" s="466"/>
      <c r="CA27" s="466"/>
      <c r="CB27" s="466"/>
      <c r="CC27" s="466"/>
      <c r="CD27" s="466"/>
      <c r="CE27" s="466"/>
      <c r="CF27" s="466"/>
      <c r="CG27" s="466"/>
      <c r="CH27" s="466"/>
      <c r="CI27" s="466"/>
      <c r="CJ27" s="466"/>
      <c r="CK27" s="466"/>
      <c r="CL27" s="466"/>
      <c r="CM27" s="466"/>
      <c r="CN27" s="466"/>
      <c r="CO27" s="466"/>
      <c r="CP27" s="466"/>
      <c r="CQ27" s="466"/>
      <c r="CR27" s="466"/>
      <c r="CS27" s="466"/>
      <c r="CT27" s="466"/>
      <c r="CU27" s="466"/>
      <c r="CV27" s="466"/>
      <c r="CW27" s="466"/>
      <c r="CX27" s="466"/>
      <c r="CY27" s="466"/>
      <c r="CZ27" s="466"/>
      <c r="DA27" s="466"/>
      <c r="DB27" s="466"/>
      <c r="DC27" s="466"/>
    </row>
    <row r="28" spans="1:107" s="467" customFormat="1" ht="12.75" hidden="1">
      <c r="A28" s="472" t="s">
        <v>724</v>
      </c>
      <c r="B28" s="27"/>
      <c r="C28" s="27"/>
      <c r="D28" s="669" t="e">
        <f t="shared" si="1"/>
        <v>#DIV/0!</v>
      </c>
      <c r="E28" s="27"/>
      <c r="F28" s="27"/>
      <c r="G28" s="669" t="e">
        <f t="shared" si="2"/>
        <v>#DIV/0!</v>
      </c>
      <c r="H28" s="27"/>
      <c r="I28" s="27"/>
      <c r="J28" s="669" t="e">
        <f t="shared" si="6"/>
        <v>#DIV/0!</v>
      </c>
      <c r="K28" s="670" t="s">
        <v>724</v>
      </c>
      <c r="L28" s="27">
        <f>ROUND(B28/1000,0)</f>
        <v>0</v>
      </c>
      <c r="M28" s="27">
        <f t="shared" si="16"/>
        <v>0</v>
      </c>
      <c r="N28" s="669" t="e">
        <f t="shared" si="4"/>
        <v>#DIV/0!</v>
      </c>
      <c r="O28" s="27">
        <f t="shared" si="17"/>
        <v>0</v>
      </c>
      <c r="P28" s="27">
        <f t="shared" si="17"/>
        <v>0</v>
      </c>
      <c r="Q28" s="669" t="e">
        <f t="shared" si="5"/>
        <v>#DIV/0!</v>
      </c>
      <c r="R28" s="27">
        <f t="shared" si="18"/>
        <v>0</v>
      </c>
      <c r="S28" s="27">
        <f t="shared" si="18"/>
        <v>0</v>
      </c>
      <c r="T28" s="669" t="e">
        <f t="shared" si="7"/>
        <v>#DIV/0!</v>
      </c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</row>
    <row r="29" spans="1:107" s="133" customFormat="1" ht="12.75">
      <c r="A29" s="472" t="s">
        <v>725</v>
      </c>
      <c r="B29" s="27">
        <v>25348</v>
      </c>
      <c r="C29" s="27"/>
      <c r="D29" s="669">
        <f t="shared" si="1"/>
        <v>0</v>
      </c>
      <c r="E29" s="27">
        <v>24796</v>
      </c>
      <c r="F29" s="27"/>
      <c r="G29" s="669">
        <f t="shared" si="2"/>
        <v>0</v>
      </c>
      <c r="H29" s="27">
        <v>228724</v>
      </c>
      <c r="I29" s="27"/>
      <c r="J29" s="671">
        <f t="shared" si="6"/>
        <v>0</v>
      </c>
      <c r="K29" s="472" t="s">
        <v>725</v>
      </c>
      <c r="L29" s="672">
        <f t="shared" si="16"/>
        <v>25</v>
      </c>
      <c r="M29" s="27">
        <f t="shared" si="16"/>
        <v>0</v>
      </c>
      <c r="N29" s="669">
        <f t="shared" si="4"/>
        <v>0</v>
      </c>
      <c r="O29" s="27">
        <f t="shared" si="17"/>
        <v>25</v>
      </c>
      <c r="P29" s="27">
        <f t="shared" si="17"/>
        <v>0</v>
      </c>
      <c r="Q29" s="669">
        <f t="shared" si="5"/>
        <v>0</v>
      </c>
      <c r="R29" s="27">
        <f t="shared" si="18"/>
        <v>229</v>
      </c>
      <c r="S29" s="27">
        <f t="shared" si="18"/>
        <v>0</v>
      </c>
      <c r="T29" s="669">
        <f t="shared" si="7"/>
        <v>0</v>
      </c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</row>
    <row r="30" spans="1:20" ht="12.75">
      <c r="A30" s="74" t="s">
        <v>68</v>
      </c>
      <c r="B30" s="470">
        <f>SUM(B31:B34)</f>
        <v>955500</v>
      </c>
      <c r="C30" s="470">
        <f>SUM(C31:C34)</f>
        <v>0</v>
      </c>
      <c r="D30" s="668">
        <f t="shared" si="1"/>
        <v>0</v>
      </c>
      <c r="E30" s="470">
        <f>SUM(E31:E34)</f>
        <v>974370</v>
      </c>
      <c r="F30" s="470">
        <f>SUM(F31:F34)</f>
        <v>0</v>
      </c>
      <c r="G30" s="668">
        <f t="shared" si="2"/>
        <v>0</v>
      </c>
      <c r="H30" s="470">
        <f>SUM(H31:H34)</f>
        <v>4150000</v>
      </c>
      <c r="I30" s="470">
        <f>SUM(I31:I34)</f>
        <v>0</v>
      </c>
      <c r="J30" s="668">
        <f t="shared" si="6"/>
        <v>0</v>
      </c>
      <c r="K30" s="673" t="s">
        <v>68</v>
      </c>
      <c r="L30" s="470">
        <f>SUM(L31:L34)</f>
        <v>956</v>
      </c>
      <c r="M30" s="470">
        <f>SUM(M31:M34)</f>
        <v>0</v>
      </c>
      <c r="N30" s="668">
        <f t="shared" si="4"/>
        <v>0</v>
      </c>
      <c r="O30" s="470">
        <f>SUM(O31:O34)</f>
        <v>975</v>
      </c>
      <c r="P30" s="470">
        <f>SUM(P31:P34)</f>
        <v>0</v>
      </c>
      <c r="Q30" s="668">
        <f t="shared" si="5"/>
        <v>0</v>
      </c>
      <c r="R30" s="470">
        <f>SUM(R31:R34)</f>
        <v>4150</v>
      </c>
      <c r="S30" s="470">
        <f>SUM(S31:S34)</f>
        <v>0</v>
      </c>
      <c r="T30" s="668">
        <f t="shared" si="7"/>
        <v>0</v>
      </c>
    </row>
    <row r="31" spans="1:107" s="467" customFormat="1" ht="12.75">
      <c r="A31" s="472" t="s">
        <v>722</v>
      </c>
      <c r="B31" s="27">
        <v>90000</v>
      </c>
      <c r="C31" s="27"/>
      <c r="D31" s="669">
        <f t="shared" si="1"/>
        <v>0</v>
      </c>
      <c r="E31" s="27">
        <v>66370</v>
      </c>
      <c r="F31" s="27"/>
      <c r="G31" s="669">
        <f t="shared" si="2"/>
        <v>0</v>
      </c>
      <c r="H31" s="27"/>
      <c r="I31" s="27"/>
      <c r="J31" s="669" t="e">
        <f t="shared" si="6"/>
        <v>#DIV/0!</v>
      </c>
      <c r="K31" s="472" t="s">
        <v>722</v>
      </c>
      <c r="L31" s="27">
        <f aca="true" t="shared" si="19" ref="L31:M34">ROUND(B31/1000,0)</f>
        <v>90</v>
      </c>
      <c r="M31" s="27">
        <f t="shared" si="19"/>
        <v>0</v>
      </c>
      <c r="N31" s="669">
        <f t="shared" si="4"/>
        <v>0</v>
      </c>
      <c r="O31" s="27">
        <f>ROUND(E31/1000,0)+1</f>
        <v>67</v>
      </c>
      <c r="P31" s="27">
        <f aca="true" t="shared" si="20" ref="O31:P34">ROUND(F31/1000,0)</f>
        <v>0</v>
      </c>
      <c r="Q31" s="669">
        <f t="shared" si="5"/>
        <v>0</v>
      </c>
      <c r="R31" s="27"/>
      <c r="S31" s="27"/>
      <c r="T31" s="669"/>
      <c r="U31" s="466"/>
      <c r="V31" s="466"/>
      <c r="W31" s="466"/>
      <c r="X31" s="466"/>
      <c r="Y31" s="466"/>
      <c r="Z31" s="466"/>
      <c r="AA31" s="466"/>
      <c r="AB31" s="466"/>
      <c r="AC31" s="466"/>
      <c r="AD31" s="466"/>
      <c r="AE31" s="466"/>
      <c r="AF31" s="466"/>
      <c r="AG31" s="466"/>
      <c r="AH31" s="466"/>
      <c r="AI31" s="466"/>
      <c r="AJ31" s="466"/>
      <c r="AK31" s="466"/>
      <c r="AL31" s="466"/>
      <c r="AM31" s="466"/>
      <c r="AN31" s="466"/>
      <c r="AO31" s="466"/>
      <c r="AP31" s="466"/>
      <c r="AQ31" s="466"/>
      <c r="AR31" s="466"/>
      <c r="AS31" s="466"/>
      <c r="AT31" s="466"/>
      <c r="AU31" s="466"/>
      <c r="AV31" s="466"/>
      <c r="AW31" s="466"/>
      <c r="AX31" s="466"/>
      <c r="AY31" s="466"/>
      <c r="AZ31" s="466"/>
      <c r="BA31" s="466"/>
      <c r="BB31" s="466"/>
      <c r="BC31" s="466"/>
      <c r="BD31" s="466"/>
      <c r="BE31" s="466"/>
      <c r="BF31" s="466"/>
      <c r="BG31" s="466"/>
      <c r="BH31" s="466"/>
      <c r="BI31" s="466"/>
      <c r="BJ31" s="466"/>
      <c r="BK31" s="466"/>
      <c r="BL31" s="466"/>
      <c r="BM31" s="466"/>
      <c r="BN31" s="466"/>
      <c r="BO31" s="466"/>
      <c r="BP31" s="466"/>
      <c r="BQ31" s="466"/>
      <c r="BR31" s="466"/>
      <c r="BS31" s="466"/>
      <c r="BT31" s="466"/>
      <c r="BU31" s="466"/>
      <c r="BV31" s="466"/>
      <c r="BW31" s="466"/>
      <c r="BX31" s="466"/>
      <c r="BY31" s="466"/>
      <c r="BZ31" s="466"/>
      <c r="CA31" s="466"/>
      <c r="CB31" s="466"/>
      <c r="CC31" s="466"/>
      <c r="CD31" s="466"/>
      <c r="CE31" s="466"/>
      <c r="CF31" s="466"/>
      <c r="CG31" s="466"/>
      <c r="CH31" s="466"/>
      <c r="CI31" s="466"/>
      <c r="CJ31" s="466"/>
      <c r="CK31" s="466"/>
      <c r="CL31" s="466"/>
      <c r="CM31" s="466"/>
      <c r="CN31" s="466"/>
      <c r="CO31" s="466"/>
      <c r="CP31" s="466"/>
      <c r="CQ31" s="466"/>
      <c r="CR31" s="466"/>
      <c r="CS31" s="466"/>
      <c r="CT31" s="466"/>
      <c r="CU31" s="466"/>
      <c r="CV31" s="466"/>
      <c r="CW31" s="466"/>
      <c r="CX31" s="466"/>
      <c r="CY31" s="466"/>
      <c r="CZ31" s="466"/>
      <c r="DA31" s="466"/>
      <c r="DB31" s="466"/>
      <c r="DC31" s="466"/>
    </row>
    <row r="32" spans="1:107" s="467" customFormat="1" ht="12.75">
      <c r="A32" s="472" t="s">
        <v>136</v>
      </c>
      <c r="B32" s="27">
        <v>15500</v>
      </c>
      <c r="C32" s="27"/>
      <c r="D32" s="669">
        <f t="shared" si="1"/>
        <v>0</v>
      </c>
      <c r="E32" s="27">
        <v>8000</v>
      </c>
      <c r="F32" s="27"/>
      <c r="G32" s="669">
        <f t="shared" si="2"/>
        <v>0</v>
      </c>
      <c r="H32" s="27"/>
      <c r="I32" s="27"/>
      <c r="J32" s="669" t="e">
        <f t="shared" si="6"/>
        <v>#DIV/0!</v>
      </c>
      <c r="K32" s="472" t="s">
        <v>136</v>
      </c>
      <c r="L32" s="27">
        <f t="shared" si="19"/>
        <v>16</v>
      </c>
      <c r="M32" s="27">
        <f t="shared" si="19"/>
        <v>0</v>
      </c>
      <c r="N32" s="669">
        <f t="shared" si="4"/>
        <v>0</v>
      </c>
      <c r="O32" s="27">
        <f t="shared" si="20"/>
        <v>8</v>
      </c>
      <c r="P32" s="27">
        <f t="shared" si="20"/>
        <v>0</v>
      </c>
      <c r="Q32" s="669">
        <f t="shared" si="5"/>
        <v>0</v>
      </c>
      <c r="R32" s="27"/>
      <c r="S32" s="27"/>
      <c r="T32" s="669"/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6"/>
    </row>
    <row r="33" spans="1:107" s="467" customFormat="1" ht="12.75">
      <c r="A33" s="472" t="s">
        <v>723</v>
      </c>
      <c r="B33" s="27">
        <v>50000</v>
      </c>
      <c r="C33" s="27"/>
      <c r="D33" s="669">
        <f t="shared" si="1"/>
        <v>0</v>
      </c>
      <c r="E33" s="27">
        <v>50000</v>
      </c>
      <c r="F33" s="27"/>
      <c r="G33" s="669">
        <f t="shared" si="2"/>
        <v>0</v>
      </c>
      <c r="H33" s="27">
        <v>150000</v>
      </c>
      <c r="I33" s="27"/>
      <c r="J33" s="669">
        <f t="shared" si="6"/>
        <v>0</v>
      </c>
      <c r="K33" s="472" t="s">
        <v>723</v>
      </c>
      <c r="L33" s="27">
        <f t="shared" si="19"/>
        <v>50</v>
      </c>
      <c r="M33" s="27">
        <f t="shared" si="19"/>
        <v>0</v>
      </c>
      <c r="N33" s="669">
        <f t="shared" si="4"/>
        <v>0</v>
      </c>
      <c r="O33" s="27">
        <f t="shared" si="20"/>
        <v>50</v>
      </c>
      <c r="P33" s="27">
        <f t="shared" si="20"/>
        <v>0</v>
      </c>
      <c r="Q33" s="669">
        <f>P33/O33*100</f>
        <v>0</v>
      </c>
      <c r="R33" s="27">
        <f>ROUND(H33/1000,0)</f>
        <v>150</v>
      </c>
      <c r="S33" s="27">
        <f>ROUND(I33/1000,0)</f>
        <v>0</v>
      </c>
      <c r="T33" s="669">
        <f t="shared" si="7"/>
        <v>0</v>
      </c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6"/>
    </row>
    <row r="34" spans="1:107" s="133" customFormat="1" ht="12.75">
      <c r="A34" s="472" t="s">
        <v>725</v>
      </c>
      <c r="B34" s="27">
        <v>800000</v>
      </c>
      <c r="C34" s="27"/>
      <c r="D34" s="669">
        <f t="shared" si="1"/>
        <v>0</v>
      </c>
      <c r="E34" s="27">
        <v>850000</v>
      </c>
      <c r="F34" s="27"/>
      <c r="G34" s="669">
        <f t="shared" si="2"/>
        <v>0</v>
      </c>
      <c r="H34" s="27">
        <v>4000000</v>
      </c>
      <c r="I34" s="27"/>
      <c r="J34" s="669">
        <f t="shared" si="6"/>
        <v>0</v>
      </c>
      <c r="K34" s="472" t="s">
        <v>725</v>
      </c>
      <c r="L34" s="27">
        <f t="shared" si="19"/>
        <v>800</v>
      </c>
      <c r="M34" s="27">
        <f t="shared" si="19"/>
        <v>0</v>
      </c>
      <c r="N34" s="669">
        <f t="shared" si="4"/>
        <v>0</v>
      </c>
      <c r="O34" s="27">
        <f t="shared" si="20"/>
        <v>850</v>
      </c>
      <c r="P34" s="27">
        <f t="shared" si="20"/>
        <v>0</v>
      </c>
      <c r="Q34" s="669">
        <f>P34/O34*100</f>
        <v>0</v>
      </c>
      <c r="R34" s="27">
        <f>ROUND(H34/1000,0)</f>
        <v>4000</v>
      </c>
      <c r="S34" s="27">
        <f>ROUND(I34/1000,0)</f>
        <v>0</v>
      </c>
      <c r="T34" s="669">
        <f t="shared" si="7"/>
        <v>0</v>
      </c>
      <c r="U34" s="466"/>
      <c r="V34" s="466"/>
      <c r="W34" s="466"/>
      <c r="X34" s="466"/>
      <c r="Y34" s="466"/>
      <c r="Z34" s="466"/>
      <c r="AA34" s="466"/>
      <c r="AB34" s="466"/>
      <c r="AC34" s="466"/>
      <c r="AD34" s="466"/>
      <c r="AE34" s="466"/>
      <c r="AF34" s="466"/>
      <c r="AG34" s="466"/>
      <c r="AH34" s="466"/>
      <c r="AI34" s="466"/>
      <c r="AJ34" s="466"/>
      <c r="AK34" s="466"/>
      <c r="AL34" s="466"/>
      <c r="AM34" s="466"/>
      <c r="AN34" s="466"/>
      <c r="AO34" s="466"/>
      <c r="AP34" s="466"/>
      <c r="AQ34" s="466"/>
      <c r="AR34" s="466"/>
      <c r="AS34" s="466"/>
      <c r="AT34" s="466"/>
      <c r="AU34" s="466"/>
      <c r="AV34" s="466"/>
      <c r="AW34" s="466"/>
      <c r="AX34" s="466"/>
      <c r="AY34" s="466"/>
      <c r="AZ34" s="466"/>
      <c r="BA34" s="466"/>
      <c r="BB34" s="466"/>
      <c r="BC34" s="466"/>
      <c r="BD34" s="466"/>
      <c r="BE34" s="466"/>
      <c r="BF34" s="466"/>
      <c r="BG34" s="466"/>
      <c r="BH34" s="466"/>
      <c r="BI34" s="466"/>
      <c r="BJ34" s="466"/>
      <c r="BK34" s="466"/>
      <c r="BL34" s="466"/>
      <c r="BM34" s="466"/>
      <c r="BN34" s="466"/>
      <c r="BO34" s="466"/>
      <c r="BP34" s="466"/>
      <c r="BQ34" s="466"/>
      <c r="BR34" s="466"/>
      <c r="BS34" s="466"/>
      <c r="BT34" s="466"/>
      <c r="BU34" s="466"/>
      <c r="BV34" s="466"/>
      <c r="BW34" s="466"/>
      <c r="BX34" s="466"/>
      <c r="BY34" s="466"/>
      <c r="BZ34" s="466"/>
      <c r="CA34" s="466"/>
      <c r="CB34" s="466"/>
      <c r="CC34" s="466"/>
      <c r="CD34" s="466"/>
      <c r="CE34" s="466"/>
      <c r="CF34" s="466"/>
      <c r="CG34" s="466"/>
      <c r="CH34" s="466"/>
      <c r="CI34" s="466"/>
      <c r="CJ34" s="466"/>
      <c r="CK34" s="466"/>
      <c r="CL34" s="466"/>
      <c r="CM34" s="466"/>
      <c r="CN34" s="466"/>
      <c r="CO34" s="466"/>
      <c r="CP34" s="466"/>
      <c r="CQ34" s="466"/>
      <c r="CR34" s="466"/>
      <c r="CS34" s="466"/>
      <c r="CT34" s="466"/>
      <c r="CU34" s="466"/>
      <c r="CV34" s="466"/>
      <c r="CW34" s="466"/>
      <c r="CX34" s="466"/>
      <c r="CY34" s="466"/>
      <c r="CZ34" s="466"/>
      <c r="DA34" s="466"/>
      <c r="DB34" s="466"/>
      <c r="DC34" s="466"/>
    </row>
    <row r="35" spans="1:20" ht="12.75">
      <c r="A35" s="74" t="s">
        <v>70</v>
      </c>
      <c r="B35" s="470">
        <f>SUM(B36:B39)</f>
        <v>61070319</v>
      </c>
      <c r="C35" s="470">
        <f aca="true" t="shared" si="21" ref="C35:I35">SUM(C36:C39)</f>
        <v>38497622</v>
      </c>
      <c r="D35" s="668">
        <f t="shared" si="1"/>
        <v>63.038187175672036</v>
      </c>
      <c r="E35" s="470">
        <f t="shared" si="21"/>
        <v>65437000</v>
      </c>
      <c r="F35" s="470">
        <f t="shared" si="21"/>
        <v>34311155</v>
      </c>
      <c r="G35" s="668">
        <f t="shared" si="2"/>
        <v>52.43387533047053</v>
      </c>
      <c r="H35" s="470">
        <f t="shared" si="21"/>
        <v>2743403</v>
      </c>
      <c r="I35" s="470">
        <f t="shared" si="21"/>
        <v>0</v>
      </c>
      <c r="J35" s="668">
        <f t="shared" si="6"/>
        <v>0</v>
      </c>
      <c r="K35" s="74" t="s">
        <v>70</v>
      </c>
      <c r="L35" s="470">
        <f aca="true" t="shared" si="22" ref="L35:S35">SUM(L36:L39)</f>
        <v>61070</v>
      </c>
      <c r="M35" s="470">
        <f t="shared" si="22"/>
        <v>38498</v>
      </c>
      <c r="N35" s="668">
        <f t="shared" si="4"/>
        <v>63.03913541837236</v>
      </c>
      <c r="O35" s="470">
        <f t="shared" si="22"/>
        <v>65437</v>
      </c>
      <c r="P35" s="470">
        <f t="shared" si="22"/>
        <v>34311</v>
      </c>
      <c r="Q35" s="668">
        <f t="shared" si="5"/>
        <v>52.433638461420905</v>
      </c>
      <c r="R35" s="470">
        <f t="shared" si="22"/>
        <v>2743</v>
      </c>
      <c r="S35" s="470">
        <f t="shared" si="22"/>
        <v>0</v>
      </c>
      <c r="T35" s="668">
        <f t="shared" si="7"/>
        <v>0</v>
      </c>
    </row>
    <row r="36" spans="1:107" s="467" customFormat="1" ht="12.75">
      <c r="A36" s="472" t="s">
        <v>136</v>
      </c>
      <c r="B36" s="27">
        <v>54000000</v>
      </c>
      <c r="C36" s="27">
        <f>698559+18036400+18659863</f>
        <v>37394822</v>
      </c>
      <c r="D36" s="669">
        <f t="shared" si="1"/>
        <v>69.24967037037038</v>
      </c>
      <c r="E36" s="27">
        <v>59300000</v>
      </c>
      <c r="F36" s="27">
        <f>16524380+17786775</f>
        <v>34311155</v>
      </c>
      <c r="G36" s="669">
        <f t="shared" si="2"/>
        <v>57.86029510961214</v>
      </c>
      <c r="H36" s="27"/>
      <c r="I36" s="27"/>
      <c r="J36" s="669"/>
      <c r="K36" s="472" t="s">
        <v>136</v>
      </c>
      <c r="L36" s="27">
        <f aca="true" t="shared" si="23" ref="L36:M39">ROUND(B36/1000,0)</f>
        <v>54000</v>
      </c>
      <c r="M36" s="27">
        <f t="shared" si="23"/>
        <v>37395</v>
      </c>
      <c r="N36" s="669">
        <f t="shared" si="4"/>
        <v>69.25</v>
      </c>
      <c r="O36" s="27">
        <f aca="true" t="shared" si="24" ref="O36:P38">ROUND(E36/1000,0)</f>
        <v>59300</v>
      </c>
      <c r="P36" s="27">
        <f>ROUND(F36/1000,0)</f>
        <v>34311</v>
      </c>
      <c r="Q36" s="669">
        <f t="shared" si="5"/>
        <v>57.86003372681282</v>
      </c>
      <c r="R36" s="27"/>
      <c r="S36" s="27"/>
      <c r="T36" s="669"/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</row>
    <row r="37" spans="1:107" s="467" customFormat="1" ht="12.75">
      <c r="A37" s="472" t="s">
        <v>723</v>
      </c>
      <c r="B37" s="27">
        <v>947000</v>
      </c>
      <c r="C37" s="27">
        <f>3000+886000</f>
        <v>889000</v>
      </c>
      <c r="D37" s="669">
        <f t="shared" si="1"/>
        <v>93.8753959873284</v>
      </c>
      <c r="E37" s="27">
        <v>859000</v>
      </c>
      <c r="F37" s="27"/>
      <c r="G37" s="669">
        <f t="shared" si="2"/>
        <v>0</v>
      </c>
      <c r="H37" s="27">
        <v>2623403</v>
      </c>
      <c r="I37" s="27"/>
      <c r="J37" s="669"/>
      <c r="K37" s="472" t="s">
        <v>723</v>
      </c>
      <c r="L37" s="27">
        <f t="shared" si="23"/>
        <v>947</v>
      </c>
      <c r="M37" s="27">
        <f t="shared" si="23"/>
        <v>889</v>
      </c>
      <c r="N37" s="669">
        <f t="shared" si="4"/>
        <v>93.8753959873284</v>
      </c>
      <c r="O37" s="27">
        <f t="shared" si="24"/>
        <v>859</v>
      </c>
      <c r="P37" s="27">
        <f t="shared" si="24"/>
        <v>0</v>
      </c>
      <c r="Q37" s="669">
        <f t="shared" si="5"/>
        <v>0</v>
      </c>
      <c r="R37" s="27">
        <f>ROUND(H37/1000,0)</f>
        <v>2623</v>
      </c>
      <c r="S37" s="27">
        <f>ROUND(I37/1000,0)</f>
        <v>0</v>
      </c>
      <c r="T37" s="669">
        <f t="shared" si="7"/>
        <v>0</v>
      </c>
      <c r="U37" s="466"/>
      <c r="V37" s="466"/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466"/>
      <c r="BO37" s="466"/>
      <c r="BP37" s="466"/>
      <c r="BQ37" s="466"/>
      <c r="BR37" s="466"/>
      <c r="BS37" s="466"/>
      <c r="BT37" s="466"/>
      <c r="BU37" s="466"/>
      <c r="BV37" s="466"/>
      <c r="BW37" s="466"/>
      <c r="BX37" s="466"/>
      <c r="BY37" s="466"/>
      <c r="BZ37" s="466"/>
      <c r="CA37" s="466"/>
      <c r="CB37" s="466"/>
      <c r="CC37" s="466"/>
      <c r="CD37" s="466"/>
      <c r="CE37" s="466"/>
      <c r="CF37" s="466"/>
      <c r="CG37" s="466"/>
      <c r="CH37" s="466"/>
      <c r="CI37" s="466"/>
      <c r="CJ37" s="466"/>
      <c r="CK37" s="466"/>
      <c r="CL37" s="466"/>
      <c r="CM37" s="466"/>
      <c r="CN37" s="466"/>
      <c r="CO37" s="466"/>
      <c r="CP37" s="466"/>
      <c r="CQ37" s="466"/>
      <c r="CR37" s="466"/>
      <c r="CS37" s="466"/>
      <c r="CT37" s="466"/>
      <c r="CU37" s="466"/>
      <c r="CV37" s="466"/>
      <c r="CW37" s="466"/>
      <c r="CX37" s="466"/>
      <c r="CY37" s="466"/>
      <c r="CZ37" s="466"/>
      <c r="DA37" s="466"/>
      <c r="DB37" s="466"/>
      <c r="DC37" s="466"/>
    </row>
    <row r="38" spans="1:107" s="467" customFormat="1" ht="12.75">
      <c r="A38" s="472" t="s">
        <v>354</v>
      </c>
      <c r="B38" s="27">
        <v>5278000</v>
      </c>
      <c r="C38" s="27">
        <v>38000</v>
      </c>
      <c r="D38" s="669">
        <f t="shared" si="1"/>
        <v>0.7199696854869269</v>
      </c>
      <c r="E38" s="27">
        <v>5278000</v>
      </c>
      <c r="F38" s="27"/>
      <c r="G38" s="669">
        <f t="shared" si="2"/>
        <v>0</v>
      </c>
      <c r="H38" s="27">
        <v>120000</v>
      </c>
      <c r="I38" s="27"/>
      <c r="J38" s="669">
        <f t="shared" si="6"/>
        <v>0</v>
      </c>
      <c r="K38" s="472" t="s">
        <v>354</v>
      </c>
      <c r="L38" s="27">
        <f t="shared" si="23"/>
        <v>5278</v>
      </c>
      <c r="M38" s="27">
        <f t="shared" si="23"/>
        <v>38</v>
      </c>
      <c r="N38" s="669">
        <f t="shared" si="4"/>
        <v>0.7199696854869269</v>
      </c>
      <c r="O38" s="27">
        <f t="shared" si="24"/>
        <v>5278</v>
      </c>
      <c r="P38" s="27">
        <f t="shared" si="24"/>
        <v>0</v>
      </c>
      <c r="Q38" s="669">
        <f t="shared" si="5"/>
        <v>0</v>
      </c>
      <c r="R38" s="27">
        <f>ROUND(H38/1000,0)</f>
        <v>120</v>
      </c>
      <c r="S38" s="27">
        <f>ROUND(I38/1000,0)</f>
        <v>0</v>
      </c>
      <c r="T38" s="669">
        <f t="shared" si="7"/>
        <v>0</v>
      </c>
      <c r="U38" s="466"/>
      <c r="V38" s="466"/>
      <c r="W38" s="466"/>
      <c r="X38" s="466"/>
      <c r="Y38" s="466"/>
      <c r="Z38" s="466"/>
      <c r="AA38" s="466"/>
      <c r="AB38" s="466"/>
      <c r="AC38" s="466"/>
      <c r="AD38" s="466"/>
      <c r="AE38" s="466"/>
      <c r="AF38" s="466"/>
      <c r="AG38" s="466"/>
      <c r="AH38" s="466"/>
      <c r="AI38" s="466"/>
      <c r="AJ38" s="466"/>
      <c r="AK38" s="466"/>
      <c r="AL38" s="466"/>
      <c r="AM38" s="466"/>
      <c r="AN38" s="466"/>
      <c r="AO38" s="466"/>
      <c r="AP38" s="466"/>
      <c r="AQ38" s="466"/>
      <c r="AR38" s="466"/>
      <c r="AS38" s="466"/>
      <c r="AT38" s="466"/>
      <c r="AU38" s="466"/>
      <c r="AV38" s="466"/>
      <c r="AW38" s="466"/>
      <c r="AX38" s="466"/>
      <c r="AY38" s="466"/>
      <c r="AZ38" s="466"/>
      <c r="BA38" s="466"/>
      <c r="BB38" s="466"/>
      <c r="BC38" s="466"/>
      <c r="BD38" s="466"/>
      <c r="BE38" s="466"/>
      <c r="BF38" s="466"/>
      <c r="BG38" s="466"/>
      <c r="BH38" s="466"/>
      <c r="BI38" s="466"/>
      <c r="BJ38" s="466"/>
      <c r="BK38" s="466"/>
      <c r="BL38" s="466"/>
      <c r="BM38" s="466"/>
      <c r="BN38" s="466"/>
      <c r="BO38" s="466"/>
      <c r="BP38" s="466"/>
      <c r="BQ38" s="466"/>
      <c r="BR38" s="466"/>
      <c r="BS38" s="466"/>
      <c r="BT38" s="466"/>
      <c r="BU38" s="466"/>
      <c r="BV38" s="466"/>
      <c r="BW38" s="466"/>
      <c r="BX38" s="466"/>
      <c r="BY38" s="466"/>
      <c r="BZ38" s="466"/>
      <c r="CA38" s="466"/>
      <c r="CB38" s="466"/>
      <c r="CC38" s="466"/>
      <c r="CD38" s="466"/>
      <c r="CE38" s="466"/>
      <c r="CF38" s="466"/>
      <c r="CG38" s="466"/>
      <c r="CH38" s="466"/>
      <c r="CI38" s="466"/>
      <c r="CJ38" s="466"/>
      <c r="CK38" s="466"/>
      <c r="CL38" s="466"/>
      <c r="CM38" s="466"/>
      <c r="CN38" s="466"/>
      <c r="CO38" s="466"/>
      <c r="CP38" s="466"/>
      <c r="CQ38" s="466"/>
      <c r="CR38" s="466"/>
      <c r="CS38" s="466"/>
      <c r="CT38" s="466"/>
      <c r="CU38" s="466"/>
      <c r="CV38" s="466"/>
      <c r="CW38" s="466"/>
      <c r="CX38" s="466"/>
      <c r="CY38" s="466"/>
      <c r="CZ38" s="466"/>
      <c r="DA38" s="466"/>
      <c r="DB38" s="466"/>
      <c r="DC38" s="466"/>
    </row>
    <row r="39" spans="1:107" s="133" customFormat="1" ht="12.75">
      <c r="A39" s="472" t="s">
        <v>725</v>
      </c>
      <c r="B39" s="27">
        <v>845319</v>
      </c>
      <c r="C39" s="27">
        <v>175800</v>
      </c>
      <c r="D39" s="669">
        <f t="shared" si="1"/>
        <v>20.796882596984098</v>
      </c>
      <c r="E39" s="27"/>
      <c r="F39" s="27"/>
      <c r="G39" s="669" t="e">
        <f t="shared" si="2"/>
        <v>#DIV/0!</v>
      </c>
      <c r="H39" s="27"/>
      <c r="I39" s="27"/>
      <c r="J39" s="671"/>
      <c r="K39" s="472" t="s">
        <v>725</v>
      </c>
      <c r="L39" s="672">
        <f t="shared" si="23"/>
        <v>845</v>
      </c>
      <c r="M39" s="27">
        <f t="shared" si="23"/>
        <v>176</v>
      </c>
      <c r="N39" s="669">
        <f t="shared" si="4"/>
        <v>20.828402366863905</v>
      </c>
      <c r="O39" s="27"/>
      <c r="P39" s="27"/>
      <c r="Q39" s="669"/>
      <c r="R39" s="27"/>
      <c r="S39" s="27"/>
      <c r="T39" s="669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466"/>
      <c r="AL39" s="466"/>
      <c r="AM39" s="466"/>
      <c r="AN39" s="466"/>
      <c r="AO39" s="466"/>
      <c r="AP39" s="466"/>
      <c r="AQ39" s="466"/>
      <c r="AR39" s="466"/>
      <c r="AS39" s="466"/>
      <c r="AT39" s="466"/>
      <c r="AU39" s="466"/>
      <c r="AV39" s="466"/>
      <c r="AW39" s="466"/>
      <c r="AX39" s="466"/>
      <c r="AY39" s="466"/>
      <c r="AZ39" s="466"/>
      <c r="BA39" s="466"/>
      <c r="BB39" s="466"/>
      <c r="BC39" s="466"/>
      <c r="BD39" s="466"/>
      <c r="BE39" s="466"/>
      <c r="BF39" s="466"/>
      <c r="BG39" s="466"/>
      <c r="BH39" s="466"/>
      <c r="BI39" s="466"/>
      <c r="BJ39" s="466"/>
      <c r="BK39" s="466"/>
      <c r="BL39" s="466"/>
      <c r="BM39" s="466"/>
      <c r="BN39" s="466"/>
      <c r="BO39" s="466"/>
      <c r="BP39" s="466"/>
      <c r="BQ39" s="466"/>
      <c r="BR39" s="466"/>
      <c r="BS39" s="466"/>
      <c r="BT39" s="466"/>
      <c r="BU39" s="466"/>
      <c r="BV39" s="466"/>
      <c r="BW39" s="466"/>
      <c r="BX39" s="466"/>
      <c r="BY39" s="466"/>
      <c r="BZ39" s="466"/>
      <c r="CA39" s="466"/>
      <c r="CB39" s="466"/>
      <c r="CC39" s="466"/>
      <c r="CD39" s="466"/>
      <c r="CE39" s="466"/>
      <c r="CF39" s="466"/>
      <c r="CG39" s="466"/>
      <c r="CH39" s="466"/>
      <c r="CI39" s="466"/>
      <c r="CJ39" s="466"/>
      <c r="CK39" s="466"/>
      <c r="CL39" s="466"/>
      <c r="CM39" s="466"/>
      <c r="CN39" s="466"/>
      <c r="CO39" s="466"/>
      <c r="CP39" s="466"/>
      <c r="CQ39" s="466"/>
      <c r="CR39" s="466"/>
      <c r="CS39" s="466"/>
      <c r="CT39" s="466"/>
      <c r="CU39" s="466"/>
      <c r="CV39" s="466"/>
      <c r="CW39" s="466"/>
      <c r="CX39" s="466"/>
      <c r="CY39" s="466"/>
      <c r="CZ39" s="466"/>
      <c r="DA39" s="466"/>
      <c r="DB39" s="466"/>
      <c r="DC39" s="466"/>
    </row>
    <row r="40" spans="1:20" ht="12.75">
      <c r="A40" s="74" t="s">
        <v>72</v>
      </c>
      <c r="B40" s="470">
        <f>SUM(B41:B45)</f>
        <v>13991372</v>
      </c>
      <c r="C40" s="470">
        <f>SUM(C41:C45)</f>
        <v>761662</v>
      </c>
      <c r="D40" s="668">
        <f t="shared" si="1"/>
        <v>5.443797791953498</v>
      </c>
      <c r="E40" s="470">
        <f>SUM(E41:E45)</f>
        <v>11569875</v>
      </c>
      <c r="F40" s="470">
        <f>SUM(F41:F45)</f>
        <v>0</v>
      </c>
      <c r="G40" s="668">
        <f t="shared" si="2"/>
        <v>0</v>
      </c>
      <c r="H40" s="470">
        <f>SUM(H41:H45)</f>
        <v>71576564</v>
      </c>
      <c r="I40" s="470">
        <f>SUM(I41:I45)</f>
        <v>0</v>
      </c>
      <c r="J40" s="668">
        <f t="shared" si="6"/>
        <v>0</v>
      </c>
      <c r="K40" s="673" t="s">
        <v>72</v>
      </c>
      <c r="L40" s="470">
        <f>SUM(L41:L45)</f>
        <v>13991</v>
      </c>
      <c r="M40" s="470">
        <f>SUM(M41:M45)</f>
        <v>762</v>
      </c>
      <c r="N40" s="668">
        <f t="shared" si="4"/>
        <v>5.44635837323994</v>
      </c>
      <c r="O40" s="470">
        <f>SUM(O41:O45)</f>
        <v>11570</v>
      </c>
      <c r="P40" s="470">
        <f>SUM(P41:P45)</f>
        <v>0</v>
      </c>
      <c r="Q40" s="668">
        <f t="shared" si="5"/>
        <v>0</v>
      </c>
      <c r="R40" s="470">
        <f>SUM(R41:R45)</f>
        <v>71576</v>
      </c>
      <c r="S40" s="470">
        <f>SUM(S41:S45)</f>
        <v>0</v>
      </c>
      <c r="T40" s="668">
        <f t="shared" si="7"/>
        <v>0</v>
      </c>
    </row>
    <row r="41" spans="1:107" s="467" customFormat="1" ht="12.75">
      <c r="A41" s="472" t="s">
        <v>136</v>
      </c>
      <c r="B41" s="27">
        <v>17200</v>
      </c>
      <c r="C41" s="27"/>
      <c r="D41" s="669">
        <f t="shared" si="1"/>
        <v>0</v>
      </c>
      <c r="E41" s="27">
        <v>7400</v>
      </c>
      <c r="F41" s="27"/>
      <c r="G41" s="669">
        <f t="shared" si="2"/>
        <v>0</v>
      </c>
      <c r="H41" s="27"/>
      <c r="I41" s="27"/>
      <c r="J41" s="669" t="e">
        <f t="shared" si="6"/>
        <v>#DIV/0!</v>
      </c>
      <c r="K41" s="472" t="s">
        <v>136</v>
      </c>
      <c r="L41" s="27">
        <f aca="true" t="shared" si="25" ref="L41:M44">ROUND(B41/1000,0)</f>
        <v>17</v>
      </c>
      <c r="M41" s="27">
        <f t="shared" si="25"/>
        <v>0</v>
      </c>
      <c r="N41" s="669">
        <f t="shared" si="4"/>
        <v>0</v>
      </c>
      <c r="O41" s="27">
        <f>ROUND(E41/1000,0)</f>
        <v>7</v>
      </c>
      <c r="P41" s="27"/>
      <c r="Q41" s="669"/>
      <c r="R41" s="27"/>
      <c r="S41" s="27"/>
      <c r="T41" s="669"/>
      <c r="U41" s="466"/>
      <c r="V41" s="466"/>
      <c r="W41" s="466"/>
      <c r="X41" s="466"/>
      <c r="Y41" s="466"/>
      <c r="Z41" s="466"/>
      <c r="AA41" s="466"/>
      <c r="AB41" s="466"/>
      <c r="AC41" s="466"/>
      <c r="AD41" s="466"/>
      <c r="AE41" s="466"/>
      <c r="AF41" s="466"/>
      <c r="AG41" s="466"/>
      <c r="AH41" s="466"/>
      <c r="AI41" s="466"/>
      <c r="AJ41" s="466"/>
      <c r="AK41" s="466"/>
      <c r="AL41" s="466"/>
      <c r="AM41" s="466"/>
      <c r="AN41" s="466"/>
      <c r="AO41" s="466"/>
      <c r="AP41" s="466"/>
      <c r="AQ41" s="466"/>
      <c r="AR41" s="466"/>
      <c r="AS41" s="466"/>
      <c r="AT41" s="466"/>
      <c r="AU41" s="466"/>
      <c r="AV41" s="466"/>
      <c r="AW41" s="466"/>
      <c r="AX41" s="466"/>
      <c r="AY41" s="466"/>
      <c r="AZ41" s="466"/>
      <c r="BA41" s="466"/>
      <c r="BB41" s="466"/>
      <c r="BC41" s="466"/>
      <c r="BD41" s="466"/>
      <c r="BE41" s="466"/>
      <c r="BF41" s="466"/>
      <c r="BG41" s="466"/>
      <c r="BH41" s="466"/>
      <c r="BI41" s="466"/>
      <c r="BJ41" s="466"/>
      <c r="BK41" s="466"/>
      <c r="BL41" s="466"/>
      <c r="BM41" s="466"/>
      <c r="BN41" s="466"/>
      <c r="BO41" s="466"/>
      <c r="BP41" s="466"/>
      <c r="BQ41" s="466"/>
      <c r="BR41" s="466"/>
      <c r="BS41" s="466"/>
      <c r="BT41" s="466"/>
      <c r="BU41" s="466"/>
      <c r="BV41" s="466"/>
      <c r="BW41" s="466"/>
      <c r="BX41" s="466"/>
      <c r="BY41" s="466"/>
      <c r="BZ41" s="466"/>
      <c r="CA41" s="466"/>
      <c r="CB41" s="466"/>
      <c r="CC41" s="466"/>
      <c r="CD41" s="466"/>
      <c r="CE41" s="466"/>
      <c r="CF41" s="466"/>
      <c r="CG41" s="466"/>
      <c r="CH41" s="466"/>
      <c r="CI41" s="466"/>
      <c r="CJ41" s="466"/>
      <c r="CK41" s="466"/>
      <c r="CL41" s="466"/>
      <c r="CM41" s="466"/>
      <c r="CN41" s="466"/>
      <c r="CO41" s="466"/>
      <c r="CP41" s="466"/>
      <c r="CQ41" s="466"/>
      <c r="CR41" s="466"/>
      <c r="CS41" s="466"/>
      <c r="CT41" s="466"/>
      <c r="CU41" s="466"/>
      <c r="CV41" s="466"/>
      <c r="CW41" s="466"/>
      <c r="CX41" s="466"/>
      <c r="CY41" s="466"/>
      <c r="CZ41" s="466"/>
      <c r="DA41" s="466"/>
      <c r="DB41" s="466"/>
      <c r="DC41" s="466"/>
    </row>
    <row r="42" spans="1:107" s="467" customFormat="1" ht="12.75">
      <c r="A42" s="472" t="s">
        <v>723</v>
      </c>
      <c r="B42" s="27">
        <v>26680</v>
      </c>
      <c r="C42" s="27"/>
      <c r="D42" s="669">
        <f t="shared" si="1"/>
        <v>0</v>
      </c>
      <c r="E42" s="27">
        <v>26680</v>
      </c>
      <c r="F42" s="27"/>
      <c r="G42" s="669">
        <f t="shared" si="2"/>
        <v>0</v>
      </c>
      <c r="H42" s="27"/>
      <c r="I42" s="27"/>
      <c r="J42" s="669" t="e">
        <f t="shared" si="6"/>
        <v>#DIV/0!</v>
      </c>
      <c r="K42" s="472" t="s">
        <v>723</v>
      </c>
      <c r="L42" s="27">
        <f t="shared" si="25"/>
        <v>27</v>
      </c>
      <c r="M42" s="27">
        <f t="shared" si="25"/>
        <v>0</v>
      </c>
      <c r="N42" s="669">
        <f t="shared" si="4"/>
        <v>0</v>
      </c>
      <c r="O42" s="27">
        <f aca="true" t="shared" si="26" ref="O42:P44">ROUND(E42/1000,0)</f>
        <v>27</v>
      </c>
      <c r="P42" s="27"/>
      <c r="Q42" s="669"/>
      <c r="R42" s="27"/>
      <c r="S42" s="27"/>
      <c r="T42" s="669"/>
      <c r="U42" s="466"/>
      <c r="V42" s="466"/>
      <c r="W42" s="466"/>
      <c r="X42" s="466"/>
      <c r="Y42" s="466"/>
      <c r="Z42" s="466"/>
      <c r="AA42" s="466"/>
      <c r="AB42" s="466"/>
      <c r="AC42" s="466"/>
      <c r="AD42" s="466"/>
      <c r="AE42" s="466"/>
      <c r="AF42" s="466"/>
      <c r="AG42" s="466"/>
      <c r="AH42" s="466"/>
      <c r="AI42" s="466"/>
      <c r="AJ42" s="466"/>
      <c r="AK42" s="466"/>
      <c r="AL42" s="466"/>
      <c r="AM42" s="466"/>
      <c r="AN42" s="466"/>
      <c r="AO42" s="466"/>
      <c r="AP42" s="466"/>
      <c r="AQ42" s="466"/>
      <c r="AR42" s="466"/>
      <c r="AS42" s="466"/>
      <c r="AT42" s="466"/>
      <c r="AU42" s="466"/>
      <c r="AV42" s="466"/>
      <c r="AW42" s="466"/>
      <c r="AX42" s="466"/>
      <c r="AY42" s="466"/>
      <c r="AZ42" s="466"/>
      <c r="BA42" s="466"/>
      <c r="BB42" s="466"/>
      <c r="BC42" s="466"/>
      <c r="BD42" s="466"/>
      <c r="BE42" s="466"/>
      <c r="BF42" s="466"/>
      <c r="BG42" s="466"/>
      <c r="BH42" s="466"/>
      <c r="BI42" s="466"/>
      <c r="BJ42" s="466"/>
      <c r="BK42" s="466"/>
      <c r="BL42" s="466"/>
      <c r="BM42" s="466"/>
      <c r="BN42" s="466"/>
      <c r="BO42" s="466"/>
      <c r="BP42" s="466"/>
      <c r="BQ42" s="466"/>
      <c r="BR42" s="466"/>
      <c r="BS42" s="466"/>
      <c r="BT42" s="466"/>
      <c r="BU42" s="466"/>
      <c r="BV42" s="466"/>
      <c r="BW42" s="466"/>
      <c r="BX42" s="466"/>
      <c r="BY42" s="466"/>
      <c r="BZ42" s="466"/>
      <c r="CA42" s="466"/>
      <c r="CB42" s="466"/>
      <c r="CC42" s="466"/>
      <c r="CD42" s="466"/>
      <c r="CE42" s="466"/>
      <c r="CF42" s="466"/>
      <c r="CG42" s="466"/>
      <c r="CH42" s="466"/>
      <c r="CI42" s="466"/>
      <c r="CJ42" s="466"/>
      <c r="CK42" s="466"/>
      <c r="CL42" s="466"/>
      <c r="CM42" s="466"/>
      <c r="CN42" s="466"/>
      <c r="CO42" s="466"/>
      <c r="CP42" s="466"/>
      <c r="CQ42" s="466"/>
      <c r="CR42" s="466"/>
      <c r="CS42" s="466"/>
      <c r="CT42" s="466"/>
      <c r="CU42" s="466"/>
      <c r="CV42" s="466"/>
      <c r="CW42" s="466"/>
      <c r="CX42" s="466"/>
      <c r="CY42" s="466"/>
      <c r="CZ42" s="466"/>
      <c r="DA42" s="466"/>
      <c r="DB42" s="466"/>
      <c r="DC42" s="466"/>
    </row>
    <row r="43" spans="1:107" s="467" customFormat="1" ht="12.75">
      <c r="A43" s="472" t="s">
        <v>354</v>
      </c>
      <c r="B43" s="27">
        <v>10849457</v>
      </c>
      <c r="C43" s="27">
        <v>761662</v>
      </c>
      <c r="D43" s="669">
        <f t="shared" si="1"/>
        <v>7.020277604676436</v>
      </c>
      <c r="E43" s="27">
        <v>9882457</v>
      </c>
      <c r="F43" s="27"/>
      <c r="G43" s="669">
        <f t="shared" si="2"/>
        <v>0</v>
      </c>
      <c r="H43" s="27">
        <v>67534464</v>
      </c>
      <c r="I43" s="27"/>
      <c r="J43" s="669">
        <f t="shared" si="6"/>
        <v>0</v>
      </c>
      <c r="K43" s="472" t="s">
        <v>354</v>
      </c>
      <c r="L43" s="27">
        <f t="shared" si="25"/>
        <v>10849</v>
      </c>
      <c r="M43" s="27">
        <f>ROUND(C43/1000,0)</f>
        <v>762</v>
      </c>
      <c r="N43" s="669">
        <f t="shared" si="4"/>
        <v>7.023688819246013</v>
      </c>
      <c r="O43" s="27">
        <f t="shared" si="26"/>
        <v>9882</v>
      </c>
      <c r="P43" s="27">
        <f>ROUND(F43/1000,0)</f>
        <v>0</v>
      </c>
      <c r="Q43" s="669">
        <f t="shared" si="5"/>
        <v>0</v>
      </c>
      <c r="R43" s="27">
        <f>ROUND(H43/1000,0)</f>
        <v>67534</v>
      </c>
      <c r="S43" s="27">
        <f>ROUND(I43/1000,0)</f>
        <v>0</v>
      </c>
      <c r="T43" s="669">
        <f t="shared" si="7"/>
        <v>0</v>
      </c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</row>
    <row r="44" spans="1:107" s="467" customFormat="1" ht="12.75">
      <c r="A44" s="472" t="s">
        <v>724</v>
      </c>
      <c r="B44" s="27">
        <v>249235</v>
      </c>
      <c r="C44" s="27"/>
      <c r="D44" s="669">
        <f t="shared" si="1"/>
        <v>0</v>
      </c>
      <c r="E44" s="27">
        <v>145838</v>
      </c>
      <c r="F44" s="27"/>
      <c r="G44" s="669">
        <f t="shared" si="2"/>
        <v>0</v>
      </c>
      <c r="H44" s="27"/>
      <c r="I44" s="27"/>
      <c r="J44" s="669" t="e">
        <f t="shared" si="6"/>
        <v>#DIV/0!</v>
      </c>
      <c r="K44" s="472" t="s">
        <v>724</v>
      </c>
      <c r="L44" s="27">
        <f t="shared" si="25"/>
        <v>249</v>
      </c>
      <c r="M44" s="27">
        <f t="shared" si="25"/>
        <v>0</v>
      </c>
      <c r="N44" s="669">
        <f t="shared" si="4"/>
        <v>0</v>
      </c>
      <c r="O44" s="27">
        <f t="shared" si="26"/>
        <v>146</v>
      </c>
      <c r="P44" s="27">
        <f t="shared" si="26"/>
        <v>0</v>
      </c>
      <c r="Q44" s="669">
        <f t="shared" si="5"/>
        <v>0</v>
      </c>
      <c r="R44" s="27"/>
      <c r="S44" s="27"/>
      <c r="T44" s="669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</row>
    <row r="45" spans="1:107" s="467" customFormat="1" ht="12.75">
      <c r="A45" s="472" t="s">
        <v>725</v>
      </c>
      <c r="B45" s="27">
        <v>2848800</v>
      </c>
      <c r="C45" s="27"/>
      <c r="D45" s="669">
        <f t="shared" si="1"/>
        <v>0</v>
      </c>
      <c r="E45" s="27">
        <v>1507500</v>
      </c>
      <c r="F45" s="27"/>
      <c r="G45" s="669">
        <f t="shared" si="2"/>
        <v>0</v>
      </c>
      <c r="H45" s="27">
        <v>4042100</v>
      </c>
      <c r="I45" s="27"/>
      <c r="J45" s="669">
        <f t="shared" si="6"/>
        <v>0</v>
      </c>
      <c r="K45" s="472" t="s">
        <v>725</v>
      </c>
      <c r="L45" s="27">
        <f>ROUND(B45/1000,0)</f>
        <v>2849</v>
      </c>
      <c r="M45" s="27">
        <f>ROUND(C45/1000,0)</f>
        <v>0</v>
      </c>
      <c r="N45" s="669">
        <f>M45/L45*100</f>
        <v>0</v>
      </c>
      <c r="O45" s="27">
        <f>ROUND(E45/1000,0)</f>
        <v>1508</v>
      </c>
      <c r="P45" s="27">
        <f>ROUND(F45/1000,0)</f>
        <v>0</v>
      </c>
      <c r="Q45" s="669">
        <f>P45/O45*100</f>
        <v>0</v>
      </c>
      <c r="R45" s="27">
        <f>ROUND(H45/1000,0)</f>
        <v>4042</v>
      </c>
      <c r="S45" s="27">
        <f>ROUND(I45/1000,0)</f>
        <v>0</v>
      </c>
      <c r="T45" s="669">
        <f>S45/R45*100</f>
        <v>0</v>
      </c>
      <c r="U45" s="466"/>
      <c r="V45" s="466"/>
      <c r="W45" s="466"/>
      <c r="X45" s="466"/>
      <c r="Y45" s="466"/>
      <c r="Z45" s="466"/>
      <c r="AA45" s="466"/>
      <c r="AB45" s="466"/>
      <c r="AC45" s="466"/>
      <c r="AD45" s="466"/>
      <c r="AE45" s="466"/>
      <c r="AF45" s="466"/>
      <c r="AG45" s="466"/>
      <c r="AH45" s="466"/>
      <c r="AI45" s="466"/>
      <c r="AJ45" s="466"/>
      <c r="AK45" s="466"/>
      <c r="AL45" s="466"/>
      <c r="AM45" s="466"/>
      <c r="AN45" s="466"/>
      <c r="AO45" s="466"/>
      <c r="AP45" s="466"/>
      <c r="AQ45" s="466"/>
      <c r="AR45" s="466"/>
      <c r="AS45" s="466"/>
      <c r="AT45" s="466"/>
      <c r="AU45" s="466"/>
      <c r="AV45" s="466"/>
      <c r="AW45" s="466"/>
      <c r="AX45" s="466"/>
      <c r="AY45" s="466"/>
      <c r="AZ45" s="466"/>
      <c r="BA45" s="466"/>
      <c r="BB45" s="466"/>
      <c r="BC45" s="466"/>
      <c r="BD45" s="466"/>
      <c r="BE45" s="466"/>
      <c r="BF45" s="466"/>
      <c r="BG45" s="466"/>
      <c r="BH45" s="466"/>
      <c r="BI45" s="466"/>
      <c r="BJ45" s="466"/>
      <c r="BK45" s="466"/>
      <c r="BL45" s="466"/>
      <c r="BM45" s="466"/>
      <c r="BN45" s="466"/>
      <c r="BO45" s="466"/>
      <c r="BP45" s="466"/>
      <c r="BQ45" s="466"/>
      <c r="BR45" s="466"/>
      <c r="BS45" s="466"/>
      <c r="BT45" s="466"/>
      <c r="BU45" s="466"/>
      <c r="BV45" s="466"/>
      <c r="BW45" s="466"/>
      <c r="BX45" s="466"/>
      <c r="BY45" s="466"/>
      <c r="BZ45" s="466"/>
      <c r="CA45" s="466"/>
      <c r="CB45" s="466"/>
      <c r="CC45" s="466"/>
      <c r="CD45" s="466"/>
      <c r="CE45" s="466"/>
      <c r="CF45" s="466"/>
      <c r="CG45" s="466"/>
      <c r="CH45" s="466"/>
      <c r="CI45" s="466"/>
      <c r="CJ45" s="466"/>
      <c r="CK45" s="466"/>
      <c r="CL45" s="466"/>
      <c r="CM45" s="466"/>
      <c r="CN45" s="466"/>
      <c r="CO45" s="466"/>
      <c r="CP45" s="466"/>
      <c r="CQ45" s="466"/>
      <c r="CR45" s="466"/>
      <c r="CS45" s="466"/>
      <c r="CT45" s="466"/>
      <c r="CU45" s="466"/>
      <c r="CV45" s="466"/>
      <c r="CW45" s="466"/>
      <c r="CX45" s="466"/>
      <c r="CY45" s="466"/>
      <c r="CZ45" s="466"/>
      <c r="DA45" s="466"/>
      <c r="DB45" s="466"/>
      <c r="DC45" s="466"/>
    </row>
    <row r="46" spans="1:20" ht="12.75">
      <c r="A46" s="74" t="s">
        <v>74</v>
      </c>
      <c r="B46" s="470">
        <f>SUM(B47:B50)</f>
        <v>9394198</v>
      </c>
      <c r="C46" s="470">
        <f>SUM(C47:C50)</f>
        <v>0</v>
      </c>
      <c r="D46" s="668">
        <f t="shared" si="1"/>
        <v>0</v>
      </c>
      <c r="E46" s="470">
        <f>SUM(E47:E50)</f>
        <v>6755677</v>
      </c>
      <c r="F46" s="470">
        <f>SUM(F47:F50)</f>
        <v>0</v>
      </c>
      <c r="G46" s="668">
        <f t="shared" si="2"/>
        <v>0</v>
      </c>
      <c r="H46" s="470">
        <f>SUM(H47:H50)</f>
        <v>22381290</v>
      </c>
      <c r="I46" s="470">
        <f>SUM(I47:I50)</f>
        <v>0</v>
      </c>
      <c r="J46" s="668">
        <f t="shared" si="6"/>
        <v>0</v>
      </c>
      <c r="K46" s="74" t="s">
        <v>74</v>
      </c>
      <c r="L46" s="470">
        <f>SUM(L47:L50)</f>
        <v>9394</v>
      </c>
      <c r="M46" s="470">
        <f>SUM(M47:M50)</f>
        <v>0</v>
      </c>
      <c r="N46" s="668">
        <f t="shared" si="4"/>
        <v>0</v>
      </c>
      <c r="O46" s="470">
        <f>SUM(O47:O50)</f>
        <v>6755</v>
      </c>
      <c r="P46" s="470">
        <f>SUM(P47:P50)</f>
        <v>0</v>
      </c>
      <c r="Q46" s="668">
        <f t="shared" si="5"/>
        <v>0</v>
      </c>
      <c r="R46" s="470">
        <f>SUM(R47:R50)</f>
        <v>22381</v>
      </c>
      <c r="S46" s="470">
        <f>SUM(S47:S50)</f>
        <v>0</v>
      </c>
      <c r="T46" s="668">
        <f t="shared" si="7"/>
        <v>0</v>
      </c>
    </row>
    <row r="47" spans="1:107" s="467" customFormat="1" ht="12.75">
      <c r="A47" s="472" t="s">
        <v>723</v>
      </c>
      <c r="B47" s="27">
        <v>2873860</v>
      </c>
      <c r="C47" s="27"/>
      <c r="D47" s="669">
        <f t="shared" si="1"/>
        <v>0</v>
      </c>
      <c r="E47" s="27">
        <v>1813595</v>
      </c>
      <c r="F47" s="27"/>
      <c r="G47" s="669">
        <f t="shared" si="2"/>
        <v>0</v>
      </c>
      <c r="H47" s="27">
        <v>5623290</v>
      </c>
      <c r="I47" s="27"/>
      <c r="J47" s="669">
        <f t="shared" si="6"/>
        <v>0</v>
      </c>
      <c r="K47" s="472" t="s">
        <v>723</v>
      </c>
      <c r="L47" s="27">
        <f aca="true" t="shared" si="27" ref="L47:M50">ROUND(B47/1000,0)</f>
        <v>2874</v>
      </c>
      <c r="M47" s="27">
        <f t="shared" si="27"/>
        <v>0</v>
      </c>
      <c r="N47" s="669">
        <f t="shared" si="4"/>
        <v>0</v>
      </c>
      <c r="O47" s="27">
        <f>ROUND(E47/1000,0)-1</f>
        <v>1813</v>
      </c>
      <c r="P47" s="27">
        <f aca="true" t="shared" si="28" ref="O47:P50">ROUND(F47/1000,0)</f>
        <v>0</v>
      </c>
      <c r="Q47" s="669">
        <f t="shared" si="5"/>
        <v>0</v>
      </c>
      <c r="R47" s="27">
        <f>ROUND(H47/1000,0)</f>
        <v>5623</v>
      </c>
      <c r="S47" s="27">
        <f>ROUND(I47/1000,0)</f>
        <v>0</v>
      </c>
      <c r="T47" s="669">
        <f t="shared" si="7"/>
        <v>0</v>
      </c>
      <c r="U47" s="466"/>
      <c r="V47" s="466"/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466"/>
      <c r="BO47" s="466"/>
      <c r="BP47" s="466"/>
      <c r="BQ47" s="466"/>
      <c r="BR47" s="466"/>
      <c r="BS47" s="466"/>
      <c r="BT47" s="466"/>
      <c r="BU47" s="466"/>
      <c r="BV47" s="466"/>
      <c r="BW47" s="466"/>
      <c r="BX47" s="466"/>
      <c r="BY47" s="466"/>
      <c r="BZ47" s="466"/>
      <c r="CA47" s="466"/>
      <c r="CB47" s="466"/>
      <c r="CC47" s="466"/>
      <c r="CD47" s="466"/>
      <c r="CE47" s="466"/>
      <c r="CF47" s="466"/>
      <c r="CG47" s="466"/>
      <c r="CH47" s="466"/>
      <c r="CI47" s="466"/>
      <c r="CJ47" s="466"/>
      <c r="CK47" s="466"/>
      <c r="CL47" s="466"/>
      <c r="CM47" s="466"/>
      <c r="CN47" s="466"/>
      <c r="CO47" s="466"/>
      <c r="CP47" s="466"/>
      <c r="CQ47" s="466"/>
      <c r="CR47" s="466"/>
      <c r="CS47" s="466"/>
      <c r="CT47" s="466"/>
      <c r="CU47" s="466"/>
      <c r="CV47" s="466"/>
      <c r="CW47" s="466"/>
      <c r="CX47" s="466"/>
      <c r="CY47" s="466"/>
      <c r="CZ47" s="466"/>
      <c r="DA47" s="466"/>
      <c r="DB47" s="466"/>
      <c r="DC47" s="466"/>
    </row>
    <row r="48" spans="1:107" s="467" customFormat="1" ht="12.75">
      <c r="A48" s="472" t="s">
        <v>354</v>
      </c>
      <c r="B48" s="27">
        <v>6484820</v>
      </c>
      <c r="C48" s="27"/>
      <c r="D48" s="669">
        <f t="shared" si="1"/>
        <v>0</v>
      </c>
      <c r="E48" s="27">
        <v>4940820</v>
      </c>
      <c r="F48" s="27"/>
      <c r="G48" s="669">
        <f t="shared" si="2"/>
        <v>0</v>
      </c>
      <c r="H48" s="27">
        <v>16758000</v>
      </c>
      <c r="I48" s="27"/>
      <c r="J48" s="669">
        <f t="shared" si="6"/>
        <v>0</v>
      </c>
      <c r="K48" s="472" t="s">
        <v>354</v>
      </c>
      <c r="L48" s="27">
        <f t="shared" si="27"/>
        <v>6485</v>
      </c>
      <c r="M48" s="27">
        <f t="shared" si="27"/>
        <v>0</v>
      </c>
      <c r="N48" s="669">
        <f t="shared" si="4"/>
        <v>0</v>
      </c>
      <c r="O48" s="27">
        <f t="shared" si="28"/>
        <v>4941</v>
      </c>
      <c r="P48" s="27">
        <f t="shared" si="28"/>
        <v>0</v>
      </c>
      <c r="Q48" s="669">
        <f t="shared" si="5"/>
        <v>0</v>
      </c>
      <c r="R48" s="27">
        <f>ROUND(H48/1000,0)</f>
        <v>16758</v>
      </c>
      <c r="S48" s="27">
        <f>ROUND(I48/1000,0)</f>
        <v>0</v>
      </c>
      <c r="T48" s="669">
        <f t="shared" si="7"/>
        <v>0</v>
      </c>
      <c r="U48" s="466"/>
      <c r="V48" s="466"/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466"/>
      <c r="BO48" s="466"/>
      <c r="BP48" s="466"/>
      <c r="BQ48" s="466"/>
      <c r="BR48" s="466"/>
      <c r="BS48" s="466"/>
      <c r="BT48" s="466"/>
      <c r="BU48" s="466"/>
      <c r="BV48" s="466"/>
      <c r="BW48" s="466"/>
      <c r="BX48" s="466"/>
      <c r="BY48" s="466"/>
      <c r="BZ48" s="466"/>
      <c r="CA48" s="466"/>
      <c r="CB48" s="466"/>
      <c r="CC48" s="466"/>
      <c r="CD48" s="466"/>
      <c r="CE48" s="466"/>
      <c r="CF48" s="466"/>
      <c r="CG48" s="466"/>
      <c r="CH48" s="466"/>
      <c r="CI48" s="466"/>
      <c r="CJ48" s="466"/>
      <c r="CK48" s="466"/>
      <c r="CL48" s="466"/>
      <c r="CM48" s="466"/>
      <c r="CN48" s="466"/>
      <c r="CO48" s="466"/>
      <c r="CP48" s="466"/>
      <c r="CQ48" s="466"/>
      <c r="CR48" s="466"/>
      <c r="CS48" s="466"/>
      <c r="CT48" s="466"/>
      <c r="CU48" s="466"/>
      <c r="CV48" s="466"/>
      <c r="CW48" s="466"/>
      <c r="CX48" s="466"/>
      <c r="CY48" s="466"/>
      <c r="CZ48" s="466"/>
      <c r="DA48" s="466"/>
      <c r="DB48" s="466"/>
      <c r="DC48" s="466"/>
    </row>
    <row r="49" spans="1:107" s="467" customFormat="1" ht="12.75">
      <c r="A49" s="472" t="s">
        <v>724</v>
      </c>
      <c r="B49" s="27">
        <v>18269</v>
      </c>
      <c r="C49" s="27"/>
      <c r="D49" s="669">
        <f t="shared" si="1"/>
        <v>0</v>
      </c>
      <c r="E49" s="27">
        <v>1262</v>
      </c>
      <c r="F49" s="27"/>
      <c r="G49" s="669">
        <f t="shared" si="2"/>
        <v>0</v>
      </c>
      <c r="H49" s="27"/>
      <c r="I49" s="27"/>
      <c r="J49" s="669" t="e">
        <f t="shared" si="6"/>
        <v>#DIV/0!</v>
      </c>
      <c r="K49" s="472" t="s">
        <v>724</v>
      </c>
      <c r="L49" s="27">
        <f t="shared" si="27"/>
        <v>18</v>
      </c>
      <c r="M49" s="27">
        <f t="shared" si="27"/>
        <v>0</v>
      </c>
      <c r="N49" s="669">
        <f t="shared" si="4"/>
        <v>0</v>
      </c>
      <c r="O49" s="27">
        <f t="shared" si="28"/>
        <v>1</v>
      </c>
      <c r="P49" s="27">
        <f t="shared" si="28"/>
        <v>0</v>
      </c>
      <c r="Q49" s="669">
        <f t="shared" si="5"/>
        <v>0</v>
      </c>
      <c r="R49" s="27"/>
      <c r="S49" s="27"/>
      <c r="T49" s="669"/>
      <c r="U49" s="466"/>
      <c r="V49" s="466"/>
      <c r="W49" s="466"/>
      <c r="X49" s="466"/>
      <c r="Y49" s="466"/>
      <c r="Z49" s="466"/>
      <c r="AA49" s="466"/>
      <c r="AB49" s="466"/>
      <c r="AC49" s="466"/>
      <c r="AD49" s="466"/>
      <c r="AE49" s="466"/>
      <c r="AF49" s="466"/>
      <c r="AG49" s="466"/>
      <c r="AH49" s="466"/>
      <c r="AI49" s="466"/>
      <c r="AJ49" s="466"/>
      <c r="AK49" s="466"/>
      <c r="AL49" s="466"/>
      <c r="AM49" s="466"/>
      <c r="AN49" s="466"/>
      <c r="AO49" s="466"/>
      <c r="AP49" s="466"/>
      <c r="AQ49" s="466"/>
      <c r="AR49" s="466"/>
      <c r="AS49" s="466"/>
      <c r="AT49" s="466"/>
      <c r="AU49" s="466"/>
      <c r="AV49" s="466"/>
      <c r="AW49" s="466"/>
      <c r="AX49" s="466"/>
      <c r="AY49" s="466"/>
      <c r="AZ49" s="466"/>
      <c r="BA49" s="466"/>
      <c r="BB49" s="466"/>
      <c r="BC49" s="466"/>
      <c r="BD49" s="466"/>
      <c r="BE49" s="466"/>
      <c r="BF49" s="466"/>
      <c r="BG49" s="466"/>
      <c r="BH49" s="466"/>
      <c r="BI49" s="466"/>
      <c r="BJ49" s="466"/>
      <c r="BK49" s="466"/>
      <c r="BL49" s="466"/>
      <c r="BM49" s="466"/>
      <c r="BN49" s="466"/>
      <c r="BO49" s="466"/>
      <c r="BP49" s="466"/>
      <c r="BQ49" s="466"/>
      <c r="BR49" s="466"/>
      <c r="BS49" s="466"/>
      <c r="BT49" s="466"/>
      <c r="BU49" s="466"/>
      <c r="BV49" s="466"/>
      <c r="BW49" s="466"/>
      <c r="BX49" s="466"/>
      <c r="BY49" s="466"/>
      <c r="BZ49" s="466"/>
      <c r="CA49" s="466"/>
      <c r="CB49" s="466"/>
      <c r="CC49" s="466"/>
      <c r="CD49" s="466"/>
      <c r="CE49" s="466"/>
      <c r="CF49" s="466"/>
      <c r="CG49" s="466"/>
      <c r="CH49" s="466"/>
      <c r="CI49" s="466"/>
      <c r="CJ49" s="466"/>
      <c r="CK49" s="466"/>
      <c r="CL49" s="466"/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Y49" s="466"/>
      <c r="CZ49" s="466"/>
      <c r="DA49" s="466"/>
      <c r="DB49" s="466"/>
      <c r="DC49" s="466"/>
    </row>
    <row r="50" spans="1:107" s="467" customFormat="1" ht="12.75">
      <c r="A50" s="472" t="s">
        <v>725</v>
      </c>
      <c r="B50" s="27">
        <v>17249</v>
      </c>
      <c r="C50" s="27"/>
      <c r="D50" s="669">
        <f t="shared" si="1"/>
        <v>0</v>
      </c>
      <c r="E50" s="27"/>
      <c r="F50" s="27"/>
      <c r="G50" s="669" t="e">
        <f t="shared" si="2"/>
        <v>#DIV/0!</v>
      </c>
      <c r="H50" s="27"/>
      <c r="I50" s="27"/>
      <c r="J50" s="669"/>
      <c r="K50" s="472" t="s">
        <v>725</v>
      </c>
      <c r="L50" s="27">
        <f t="shared" si="27"/>
        <v>17</v>
      </c>
      <c r="M50" s="27">
        <f t="shared" si="27"/>
        <v>0</v>
      </c>
      <c r="N50" s="669">
        <f t="shared" si="4"/>
        <v>0</v>
      </c>
      <c r="O50" s="27">
        <f t="shared" si="28"/>
        <v>0</v>
      </c>
      <c r="P50" s="27">
        <f t="shared" si="28"/>
        <v>0</v>
      </c>
      <c r="Q50" s="669"/>
      <c r="R50" s="27"/>
      <c r="S50" s="27"/>
      <c r="T50" s="669"/>
      <c r="U50" s="466"/>
      <c r="V50" s="466"/>
      <c r="W50" s="466"/>
      <c r="X50" s="466"/>
      <c r="Y50" s="466"/>
      <c r="Z50" s="466"/>
      <c r="AA50" s="466"/>
      <c r="AB50" s="466"/>
      <c r="AC50" s="466"/>
      <c r="AD50" s="466"/>
      <c r="AE50" s="466"/>
      <c r="AF50" s="466"/>
      <c r="AG50" s="466"/>
      <c r="AH50" s="466"/>
      <c r="AI50" s="466"/>
      <c r="AJ50" s="466"/>
      <c r="AK50" s="466"/>
      <c r="AL50" s="466"/>
      <c r="AM50" s="466"/>
      <c r="AN50" s="466"/>
      <c r="AO50" s="466"/>
      <c r="AP50" s="466"/>
      <c r="AQ50" s="466"/>
      <c r="AR50" s="466"/>
      <c r="AS50" s="466"/>
      <c r="AT50" s="466"/>
      <c r="AU50" s="466"/>
      <c r="AV50" s="466"/>
      <c r="AW50" s="466"/>
      <c r="AX50" s="466"/>
      <c r="AY50" s="466"/>
      <c r="AZ50" s="466"/>
      <c r="BA50" s="466"/>
      <c r="BB50" s="466"/>
      <c r="BC50" s="466"/>
      <c r="BD50" s="466"/>
      <c r="BE50" s="466"/>
      <c r="BF50" s="466"/>
      <c r="BG50" s="466"/>
      <c r="BH50" s="466"/>
      <c r="BI50" s="466"/>
      <c r="BJ50" s="466"/>
      <c r="BK50" s="466"/>
      <c r="BL50" s="466"/>
      <c r="BM50" s="466"/>
      <c r="BN50" s="466"/>
      <c r="BO50" s="466"/>
      <c r="BP50" s="466"/>
      <c r="BQ50" s="466"/>
      <c r="BR50" s="466"/>
      <c r="BS50" s="466"/>
      <c r="BT50" s="466"/>
      <c r="BU50" s="466"/>
      <c r="BV50" s="466"/>
      <c r="BW50" s="466"/>
      <c r="BX50" s="466"/>
      <c r="BY50" s="466"/>
      <c r="BZ50" s="466"/>
      <c r="CA50" s="466"/>
      <c r="CB50" s="466"/>
      <c r="CC50" s="466"/>
      <c r="CD50" s="466"/>
      <c r="CE50" s="466"/>
      <c r="CF50" s="466"/>
      <c r="CG50" s="466"/>
      <c r="CH50" s="466"/>
      <c r="CI50" s="466"/>
      <c r="CJ50" s="466"/>
      <c r="CK50" s="466"/>
      <c r="CL50" s="466"/>
      <c r="CM50" s="466"/>
      <c r="CN50" s="466"/>
      <c r="CO50" s="466"/>
      <c r="CP50" s="466"/>
      <c r="CQ50" s="466"/>
      <c r="CR50" s="466"/>
      <c r="CS50" s="466"/>
      <c r="CT50" s="466"/>
      <c r="CU50" s="466"/>
      <c r="CV50" s="466"/>
      <c r="CW50" s="466"/>
      <c r="CX50" s="466"/>
      <c r="CY50" s="466"/>
      <c r="CZ50" s="466"/>
      <c r="DA50" s="466"/>
      <c r="DB50" s="466"/>
      <c r="DC50" s="466"/>
    </row>
    <row r="51" spans="1:20" ht="12.75">
      <c r="A51" s="74" t="s">
        <v>76</v>
      </c>
      <c r="B51" s="470">
        <f>SUM(B52:B55)</f>
        <v>2137309</v>
      </c>
      <c r="C51" s="470">
        <f>SUM(C52:C55)</f>
        <v>0</v>
      </c>
      <c r="D51" s="668">
        <f t="shared" si="1"/>
        <v>0</v>
      </c>
      <c r="E51" s="470">
        <f>SUM(E52:E55)</f>
        <v>2105430</v>
      </c>
      <c r="F51" s="470">
        <f>SUM(F52:F55)</f>
        <v>0</v>
      </c>
      <c r="G51" s="668">
        <f t="shared" si="2"/>
        <v>0</v>
      </c>
      <c r="H51" s="470">
        <f>SUM(H52:H55)</f>
        <v>16732560</v>
      </c>
      <c r="I51" s="470">
        <f>SUM(I52:I55)</f>
        <v>0</v>
      </c>
      <c r="J51" s="668">
        <f t="shared" si="6"/>
        <v>0</v>
      </c>
      <c r="K51" s="74" t="s">
        <v>76</v>
      </c>
      <c r="L51" s="470">
        <f>SUM(L52:L55)</f>
        <v>2137</v>
      </c>
      <c r="M51" s="470">
        <f>SUM(M52:M55)</f>
        <v>0</v>
      </c>
      <c r="N51" s="668">
        <f t="shared" si="4"/>
        <v>0</v>
      </c>
      <c r="O51" s="470">
        <f>SUM(O52:O55)</f>
        <v>2105</v>
      </c>
      <c r="P51" s="470">
        <f>SUM(P52:P55)</f>
        <v>0</v>
      </c>
      <c r="Q51" s="668">
        <f t="shared" si="5"/>
        <v>0</v>
      </c>
      <c r="R51" s="470">
        <f>SUM(R52:R55)</f>
        <v>16734</v>
      </c>
      <c r="S51" s="470">
        <f>SUM(S52:S55)</f>
        <v>0</v>
      </c>
      <c r="T51" s="668">
        <f t="shared" si="7"/>
        <v>0</v>
      </c>
    </row>
    <row r="52" spans="1:107" s="467" customFormat="1" ht="12.75">
      <c r="A52" s="472" t="s">
        <v>722</v>
      </c>
      <c r="B52" s="27">
        <v>43888</v>
      </c>
      <c r="C52" s="27"/>
      <c r="D52" s="669">
        <f t="shared" si="1"/>
        <v>0</v>
      </c>
      <c r="E52" s="27">
        <v>40288</v>
      </c>
      <c r="F52" s="27"/>
      <c r="G52" s="669">
        <f t="shared" si="2"/>
        <v>0</v>
      </c>
      <c r="H52" s="27">
        <v>37522</v>
      </c>
      <c r="I52" s="27"/>
      <c r="J52" s="669">
        <f t="shared" si="6"/>
        <v>0</v>
      </c>
      <c r="K52" s="472" t="s">
        <v>722</v>
      </c>
      <c r="L52" s="27">
        <f>ROUND(B52/1000,0)</f>
        <v>44</v>
      </c>
      <c r="M52" s="27">
        <f>ROUND(C52/1000,0)</f>
        <v>0</v>
      </c>
      <c r="N52" s="669">
        <f t="shared" si="4"/>
        <v>0</v>
      </c>
      <c r="O52" s="27">
        <f>ROUND(E52/1000,0)</f>
        <v>40</v>
      </c>
      <c r="P52" s="27">
        <f>ROUND(F52/1000,0)</f>
        <v>0</v>
      </c>
      <c r="Q52" s="669">
        <f t="shared" si="5"/>
        <v>0</v>
      </c>
      <c r="R52" s="27">
        <f>ROUND(H52/1000,0)</f>
        <v>38</v>
      </c>
      <c r="S52" s="27">
        <f>ROUND(I52/1000,0)</f>
        <v>0</v>
      </c>
      <c r="T52" s="669">
        <f t="shared" si="7"/>
        <v>0</v>
      </c>
      <c r="U52" s="466"/>
      <c r="V52" s="466"/>
      <c r="W52" s="466"/>
      <c r="X52" s="466"/>
      <c r="Y52" s="466"/>
      <c r="Z52" s="466"/>
      <c r="AA52" s="466"/>
      <c r="AB52" s="466"/>
      <c r="AC52" s="466"/>
      <c r="AD52" s="466"/>
      <c r="AE52" s="466"/>
      <c r="AF52" s="466"/>
      <c r="AG52" s="466"/>
      <c r="AH52" s="466"/>
      <c r="AI52" s="466"/>
      <c r="AJ52" s="466"/>
      <c r="AK52" s="466"/>
      <c r="AL52" s="466"/>
      <c r="AM52" s="466"/>
      <c r="AN52" s="466"/>
      <c r="AO52" s="466"/>
      <c r="AP52" s="466"/>
      <c r="AQ52" s="466"/>
      <c r="AR52" s="466"/>
      <c r="AS52" s="466"/>
      <c r="AT52" s="466"/>
      <c r="AU52" s="466"/>
      <c r="AV52" s="466"/>
      <c r="AW52" s="466"/>
      <c r="AX52" s="466"/>
      <c r="AY52" s="466"/>
      <c r="AZ52" s="466"/>
      <c r="BA52" s="466"/>
      <c r="BB52" s="466"/>
      <c r="BC52" s="466"/>
      <c r="BD52" s="466"/>
      <c r="BE52" s="466"/>
      <c r="BF52" s="466"/>
      <c r="BG52" s="466"/>
      <c r="BH52" s="466"/>
      <c r="BI52" s="466"/>
      <c r="BJ52" s="466"/>
      <c r="BK52" s="466"/>
      <c r="BL52" s="466"/>
      <c r="BM52" s="466"/>
      <c r="BN52" s="466"/>
      <c r="BO52" s="466"/>
      <c r="BP52" s="466"/>
      <c r="BQ52" s="466"/>
      <c r="BR52" s="466"/>
      <c r="BS52" s="466"/>
      <c r="BT52" s="466"/>
      <c r="BU52" s="466"/>
      <c r="BV52" s="466"/>
      <c r="BW52" s="466"/>
      <c r="BX52" s="466"/>
      <c r="BY52" s="466"/>
      <c r="BZ52" s="466"/>
      <c r="CA52" s="466"/>
      <c r="CB52" s="466"/>
      <c r="CC52" s="466"/>
      <c r="CD52" s="466"/>
      <c r="CE52" s="466"/>
      <c r="CF52" s="466"/>
      <c r="CG52" s="466"/>
      <c r="CH52" s="466"/>
      <c r="CI52" s="466"/>
      <c r="CJ52" s="466"/>
      <c r="CK52" s="466"/>
      <c r="CL52" s="466"/>
      <c r="CM52" s="466"/>
      <c r="CN52" s="466"/>
      <c r="CO52" s="466"/>
      <c r="CP52" s="466"/>
      <c r="CQ52" s="466"/>
      <c r="CR52" s="466"/>
      <c r="CS52" s="466"/>
      <c r="CT52" s="466"/>
      <c r="CU52" s="466"/>
      <c r="CV52" s="466"/>
      <c r="CW52" s="466"/>
      <c r="CX52" s="466"/>
      <c r="CY52" s="466"/>
      <c r="CZ52" s="466"/>
      <c r="DA52" s="466"/>
      <c r="DB52" s="466"/>
      <c r="DC52" s="466"/>
    </row>
    <row r="53" spans="1:107" s="467" customFormat="1" ht="12.75">
      <c r="A53" s="472" t="s">
        <v>136</v>
      </c>
      <c r="B53" s="27">
        <v>29487</v>
      </c>
      <c r="C53" s="27"/>
      <c r="D53" s="669">
        <f t="shared" si="1"/>
        <v>0</v>
      </c>
      <c r="E53" s="27">
        <v>28208</v>
      </c>
      <c r="F53" s="27"/>
      <c r="G53" s="669">
        <f t="shared" si="2"/>
        <v>0</v>
      </c>
      <c r="H53" s="27">
        <v>40008</v>
      </c>
      <c r="I53" s="27"/>
      <c r="J53" s="669">
        <f t="shared" si="6"/>
        <v>0</v>
      </c>
      <c r="K53" s="472" t="s">
        <v>136</v>
      </c>
      <c r="L53" s="27">
        <f>ROUND(B53/1000,0)</f>
        <v>29</v>
      </c>
      <c r="M53" s="27">
        <f>ROUND(C53/1000,0)</f>
        <v>0</v>
      </c>
      <c r="N53" s="669">
        <f t="shared" si="4"/>
        <v>0</v>
      </c>
      <c r="O53" s="27">
        <f aca="true" t="shared" si="29" ref="O53:P55">ROUND(E53/1000,0)</f>
        <v>28</v>
      </c>
      <c r="P53" s="27">
        <f t="shared" si="29"/>
        <v>0</v>
      </c>
      <c r="Q53" s="669">
        <f t="shared" si="5"/>
        <v>0</v>
      </c>
      <c r="R53" s="27">
        <f aca="true" t="shared" si="30" ref="R53:S55">ROUND(H53/1000,0)</f>
        <v>40</v>
      </c>
      <c r="S53" s="27">
        <f t="shared" si="30"/>
        <v>0</v>
      </c>
      <c r="T53" s="669">
        <f t="shared" si="7"/>
        <v>0</v>
      </c>
      <c r="U53" s="466"/>
      <c r="V53" s="466"/>
      <c r="W53" s="466"/>
      <c r="X53" s="466"/>
      <c r="Y53" s="466"/>
      <c r="Z53" s="466"/>
      <c r="AA53" s="466"/>
      <c r="AB53" s="466"/>
      <c r="AC53" s="466"/>
      <c r="AD53" s="466"/>
      <c r="AE53" s="466"/>
      <c r="AF53" s="466"/>
      <c r="AG53" s="466"/>
      <c r="AH53" s="466"/>
      <c r="AI53" s="466"/>
      <c r="AJ53" s="466"/>
      <c r="AK53" s="466"/>
      <c r="AL53" s="466"/>
      <c r="AM53" s="466"/>
      <c r="AN53" s="466"/>
      <c r="AO53" s="466"/>
      <c r="AP53" s="466"/>
      <c r="AQ53" s="466"/>
      <c r="AR53" s="466"/>
      <c r="AS53" s="466"/>
      <c r="AT53" s="466"/>
      <c r="AU53" s="466"/>
      <c r="AV53" s="466"/>
      <c r="AW53" s="466"/>
      <c r="AX53" s="466"/>
      <c r="AY53" s="466"/>
      <c r="AZ53" s="466"/>
      <c r="BA53" s="466"/>
      <c r="BB53" s="466"/>
      <c r="BC53" s="466"/>
      <c r="BD53" s="466"/>
      <c r="BE53" s="466"/>
      <c r="BF53" s="466"/>
      <c r="BG53" s="466"/>
      <c r="BH53" s="466"/>
      <c r="BI53" s="466"/>
      <c r="BJ53" s="466"/>
      <c r="BK53" s="466"/>
      <c r="BL53" s="466"/>
      <c r="BM53" s="466"/>
      <c r="BN53" s="466"/>
      <c r="BO53" s="466"/>
      <c r="BP53" s="466"/>
      <c r="BQ53" s="466"/>
      <c r="BR53" s="466"/>
      <c r="BS53" s="466"/>
      <c r="BT53" s="466"/>
      <c r="BU53" s="466"/>
      <c r="BV53" s="466"/>
      <c r="BW53" s="466"/>
      <c r="BX53" s="466"/>
      <c r="BY53" s="466"/>
      <c r="BZ53" s="466"/>
      <c r="CA53" s="466"/>
      <c r="CB53" s="466"/>
      <c r="CC53" s="466"/>
      <c r="CD53" s="466"/>
      <c r="CE53" s="466"/>
      <c r="CF53" s="466"/>
      <c r="CG53" s="466"/>
      <c r="CH53" s="466"/>
      <c r="CI53" s="466"/>
      <c r="CJ53" s="466"/>
      <c r="CK53" s="466"/>
      <c r="CL53" s="466"/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Y53" s="466"/>
      <c r="CZ53" s="466"/>
      <c r="DA53" s="466"/>
      <c r="DB53" s="466"/>
      <c r="DC53" s="466"/>
    </row>
    <row r="54" spans="1:107" s="467" customFormat="1" ht="12.75">
      <c r="A54" s="472" t="s">
        <v>723</v>
      </c>
      <c r="B54" s="27">
        <v>242510</v>
      </c>
      <c r="C54" s="27"/>
      <c r="D54" s="669">
        <f t="shared" si="1"/>
        <v>0</v>
      </c>
      <c r="E54" s="27">
        <v>242510</v>
      </c>
      <c r="F54" s="27"/>
      <c r="G54" s="669">
        <f t="shared" si="2"/>
        <v>0</v>
      </c>
      <c r="H54" s="27">
        <v>727530</v>
      </c>
      <c r="I54" s="27"/>
      <c r="J54" s="669">
        <f t="shared" si="6"/>
        <v>0</v>
      </c>
      <c r="K54" s="472" t="s">
        <v>723</v>
      </c>
      <c r="L54" s="27">
        <f>ROUND(B54/1000,0)-1</f>
        <v>242</v>
      </c>
      <c r="M54" s="27">
        <f>ROUND(C54/1000,0)</f>
        <v>0</v>
      </c>
      <c r="N54" s="669">
        <f t="shared" si="4"/>
        <v>0</v>
      </c>
      <c r="O54" s="27">
        <f>ROUND(E54/1000,0)-1</f>
        <v>242</v>
      </c>
      <c r="P54" s="27">
        <f t="shared" si="29"/>
        <v>0</v>
      </c>
      <c r="Q54" s="669">
        <f t="shared" si="5"/>
        <v>0</v>
      </c>
      <c r="R54" s="27">
        <f>ROUND(H54/1000,0)</f>
        <v>728</v>
      </c>
      <c r="S54" s="27">
        <f t="shared" si="30"/>
        <v>0</v>
      </c>
      <c r="T54" s="669">
        <f t="shared" si="7"/>
        <v>0</v>
      </c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6"/>
      <c r="BC54" s="466"/>
      <c r="BD54" s="466"/>
      <c r="BE54" s="466"/>
      <c r="BF54" s="466"/>
      <c r="BG54" s="466"/>
      <c r="BH54" s="466"/>
      <c r="BI54" s="466"/>
      <c r="BJ54" s="466"/>
      <c r="BK54" s="466"/>
      <c r="BL54" s="466"/>
      <c r="BM54" s="466"/>
      <c r="BN54" s="466"/>
      <c r="BO54" s="466"/>
      <c r="BP54" s="466"/>
      <c r="BQ54" s="466"/>
      <c r="BR54" s="466"/>
      <c r="BS54" s="466"/>
      <c r="BT54" s="466"/>
      <c r="BU54" s="466"/>
      <c r="BV54" s="466"/>
      <c r="BW54" s="466"/>
      <c r="BX54" s="466"/>
      <c r="BY54" s="466"/>
      <c r="BZ54" s="466"/>
      <c r="CA54" s="466"/>
      <c r="CB54" s="466"/>
      <c r="CC54" s="466"/>
      <c r="CD54" s="466"/>
      <c r="CE54" s="466"/>
      <c r="CF54" s="466"/>
      <c r="CG54" s="466"/>
      <c r="CH54" s="466"/>
      <c r="CI54" s="466"/>
      <c r="CJ54" s="466"/>
      <c r="CK54" s="466"/>
      <c r="CL54" s="466"/>
      <c r="CM54" s="466"/>
      <c r="CN54" s="466"/>
      <c r="CO54" s="466"/>
      <c r="CP54" s="466"/>
      <c r="CQ54" s="466"/>
      <c r="CR54" s="466"/>
      <c r="CS54" s="466"/>
      <c r="CT54" s="466"/>
      <c r="CU54" s="466"/>
      <c r="CV54" s="466"/>
      <c r="CW54" s="466"/>
      <c r="CX54" s="466"/>
      <c r="CY54" s="466"/>
      <c r="CZ54" s="466"/>
      <c r="DA54" s="466"/>
      <c r="DB54" s="466"/>
      <c r="DC54" s="466"/>
    </row>
    <row r="55" spans="1:107" s="467" customFormat="1" ht="12.75">
      <c r="A55" s="472" t="s">
        <v>354</v>
      </c>
      <c r="B55" s="27">
        <v>1821424</v>
      </c>
      <c r="C55" s="27"/>
      <c r="D55" s="669">
        <f t="shared" si="1"/>
        <v>0</v>
      </c>
      <c r="E55" s="27">
        <v>1794424</v>
      </c>
      <c r="F55" s="27"/>
      <c r="G55" s="669">
        <f t="shared" si="2"/>
        <v>0</v>
      </c>
      <c r="H55" s="27">
        <v>15927500</v>
      </c>
      <c r="I55" s="27"/>
      <c r="J55" s="669">
        <f t="shared" si="6"/>
        <v>0</v>
      </c>
      <c r="K55" s="472" t="s">
        <v>354</v>
      </c>
      <c r="L55" s="27">
        <f>ROUND(B55/1000,0)+1</f>
        <v>1822</v>
      </c>
      <c r="M55" s="27">
        <f>ROUND(C55/1000,0)</f>
        <v>0</v>
      </c>
      <c r="N55" s="669">
        <f t="shared" si="4"/>
        <v>0</v>
      </c>
      <c r="O55" s="27">
        <f>ROUND(E55/1000,0)+1</f>
        <v>1795</v>
      </c>
      <c r="P55" s="27">
        <f t="shared" si="29"/>
        <v>0</v>
      </c>
      <c r="Q55" s="669">
        <f t="shared" si="5"/>
        <v>0</v>
      </c>
      <c r="R55" s="27">
        <f t="shared" si="30"/>
        <v>15928</v>
      </c>
      <c r="S55" s="27">
        <f t="shared" si="30"/>
        <v>0</v>
      </c>
      <c r="T55" s="669">
        <f t="shared" si="7"/>
        <v>0</v>
      </c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  <c r="AE55" s="466"/>
      <c r="AF55" s="466"/>
      <c r="AG55" s="466"/>
      <c r="AH55" s="466"/>
      <c r="AI55" s="466"/>
      <c r="AJ55" s="466"/>
      <c r="AK55" s="466"/>
      <c r="AL55" s="466"/>
      <c r="AM55" s="466"/>
      <c r="AN55" s="466"/>
      <c r="AO55" s="466"/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G55" s="466"/>
      <c r="BH55" s="466"/>
      <c r="BI55" s="466"/>
      <c r="BJ55" s="466"/>
      <c r="BK55" s="466"/>
      <c r="BL55" s="466"/>
      <c r="BM55" s="466"/>
      <c r="BN55" s="466"/>
      <c r="BO55" s="466"/>
      <c r="BP55" s="466"/>
      <c r="BQ55" s="466"/>
      <c r="BR55" s="466"/>
      <c r="BS55" s="466"/>
      <c r="BT55" s="466"/>
      <c r="BU55" s="466"/>
      <c r="BV55" s="466"/>
      <c r="BW55" s="466"/>
      <c r="BX55" s="466"/>
      <c r="BY55" s="466"/>
      <c r="BZ55" s="466"/>
      <c r="CA55" s="466"/>
      <c r="CB55" s="466"/>
      <c r="CC55" s="466"/>
      <c r="CD55" s="466"/>
      <c r="CE55" s="466"/>
      <c r="CF55" s="466"/>
      <c r="CG55" s="466"/>
      <c r="CH55" s="466"/>
      <c r="CI55" s="466"/>
      <c r="CJ55" s="466"/>
      <c r="CK55" s="466"/>
      <c r="CL55" s="466"/>
      <c r="CM55" s="466"/>
      <c r="CN55" s="466"/>
      <c r="CO55" s="466"/>
      <c r="CP55" s="466"/>
      <c r="CQ55" s="466"/>
      <c r="CR55" s="466"/>
      <c r="CS55" s="466"/>
      <c r="CT55" s="466"/>
      <c r="CU55" s="466"/>
      <c r="CV55" s="466"/>
      <c r="CW55" s="466"/>
      <c r="CX55" s="466"/>
      <c r="CY55" s="466"/>
      <c r="CZ55" s="466"/>
      <c r="DA55" s="466"/>
      <c r="DB55" s="466"/>
      <c r="DC55" s="466"/>
    </row>
    <row r="56" spans="1:20" ht="12.75">
      <c r="A56" s="74" t="s">
        <v>78</v>
      </c>
      <c r="B56" s="470">
        <f>SUM(B57:B58)</f>
        <v>4420580</v>
      </c>
      <c r="C56" s="470">
        <f aca="true" t="shared" si="31" ref="C56:I56">SUM(C57:C58)</f>
        <v>0</v>
      </c>
      <c r="D56" s="668">
        <f t="shared" si="1"/>
        <v>0</v>
      </c>
      <c r="E56" s="470">
        <f t="shared" si="31"/>
        <v>4151580</v>
      </c>
      <c r="F56" s="470">
        <f t="shared" si="31"/>
        <v>0</v>
      </c>
      <c r="G56" s="668">
        <f t="shared" si="2"/>
        <v>0</v>
      </c>
      <c r="H56" s="470">
        <f t="shared" si="31"/>
        <v>17784580</v>
      </c>
      <c r="I56" s="470">
        <f t="shared" si="31"/>
        <v>0</v>
      </c>
      <c r="J56" s="668">
        <f t="shared" si="6"/>
        <v>0</v>
      </c>
      <c r="K56" s="74" t="s">
        <v>78</v>
      </c>
      <c r="L56" s="470">
        <f aca="true" t="shared" si="32" ref="L56:S56">SUM(L57:L58)</f>
        <v>4421</v>
      </c>
      <c r="M56" s="470">
        <f t="shared" si="32"/>
        <v>0</v>
      </c>
      <c r="N56" s="668">
        <f t="shared" si="4"/>
        <v>0</v>
      </c>
      <c r="O56" s="470">
        <f t="shared" si="32"/>
        <v>4151</v>
      </c>
      <c r="P56" s="470">
        <f t="shared" si="32"/>
        <v>0</v>
      </c>
      <c r="Q56" s="668">
        <f t="shared" si="5"/>
        <v>0</v>
      </c>
      <c r="R56" s="470">
        <f t="shared" si="32"/>
        <v>17785</v>
      </c>
      <c r="S56" s="470">
        <f t="shared" si="32"/>
        <v>0</v>
      </c>
      <c r="T56" s="668">
        <f t="shared" si="7"/>
        <v>0</v>
      </c>
    </row>
    <row r="57" spans="1:107" s="467" customFormat="1" ht="12.75">
      <c r="A57" s="472" t="s">
        <v>723</v>
      </c>
      <c r="B57" s="27">
        <v>75580</v>
      </c>
      <c r="C57" s="27"/>
      <c r="D57" s="669">
        <f t="shared" si="1"/>
        <v>0</v>
      </c>
      <c r="E57" s="27">
        <v>75580</v>
      </c>
      <c r="F57" s="27"/>
      <c r="G57" s="669">
        <f t="shared" si="2"/>
        <v>0</v>
      </c>
      <c r="H57" s="27">
        <v>75580</v>
      </c>
      <c r="I57" s="27"/>
      <c r="J57" s="669">
        <f t="shared" si="6"/>
        <v>0</v>
      </c>
      <c r="K57" s="472" t="s">
        <v>723</v>
      </c>
      <c r="L57" s="27">
        <f>ROUND(B57/1000,0)</f>
        <v>76</v>
      </c>
      <c r="M57" s="27">
        <f>ROUND(C57/1000,0)</f>
        <v>0</v>
      </c>
      <c r="N57" s="669">
        <f t="shared" si="4"/>
        <v>0</v>
      </c>
      <c r="O57" s="27">
        <f>ROUND(E57/1000,0)-1</f>
        <v>75</v>
      </c>
      <c r="P57" s="27">
        <f>ROUND(F57/1000,0)</f>
        <v>0</v>
      </c>
      <c r="Q57" s="669">
        <f t="shared" si="5"/>
        <v>0</v>
      </c>
      <c r="R57" s="27">
        <f>ROUND(H57/1000,0)</f>
        <v>76</v>
      </c>
      <c r="S57" s="27">
        <f>ROUND(I57/1000,0)</f>
        <v>0</v>
      </c>
      <c r="T57" s="669">
        <f t="shared" si="7"/>
        <v>0</v>
      </c>
      <c r="U57" s="466"/>
      <c r="V57" s="466"/>
      <c r="W57" s="466"/>
      <c r="X57" s="466"/>
      <c r="Y57" s="466"/>
      <c r="Z57" s="466"/>
      <c r="AA57" s="466"/>
      <c r="AB57" s="466"/>
      <c r="AC57" s="466"/>
      <c r="AD57" s="466"/>
      <c r="AE57" s="466"/>
      <c r="AF57" s="466"/>
      <c r="AG57" s="466"/>
      <c r="AH57" s="466"/>
      <c r="AI57" s="466"/>
      <c r="AJ57" s="466"/>
      <c r="AK57" s="466"/>
      <c r="AL57" s="466"/>
      <c r="AM57" s="466"/>
      <c r="AN57" s="466"/>
      <c r="AO57" s="466"/>
      <c r="AP57" s="466"/>
      <c r="AQ57" s="466"/>
      <c r="AR57" s="466"/>
      <c r="AS57" s="466"/>
      <c r="AT57" s="466"/>
      <c r="AU57" s="466"/>
      <c r="AV57" s="466"/>
      <c r="AW57" s="466"/>
      <c r="AX57" s="466"/>
      <c r="AY57" s="466"/>
      <c r="AZ57" s="466"/>
      <c r="BA57" s="466"/>
      <c r="BB57" s="466"/>
      <c r="BC57" s="466"/>
      <c r="BD57" s="466"/>
      <c r="BE57" s="466"/>
      <c r="BF57" s="466"/>
      <c r="BG57" s="466"/>
      <c r="BH57" s="466"/>
      <c r="BI57" s="466"/>
      <c r="BJ57" s="466"/>
      <c r="BK57" s="466"/>
      <c r="BL57" s="466"/>
      <c r="BM57" s="466"/>
      <c r="BN57" s="466"/>
      <c r="BO57" s="466"/>
      <c r="BP57" s="466"/>
      <c r="BQ57" s="466"/>
      <c r="BR57" s="466"/>
      <c r="BS57" s="466"/>
      <c r="BT57" s="466"/>
      <c r="BU57" s="466"/>
      <c r="BV57" s="466"/>
      <c r="BW57" s="466"/>
      <c r="BX57" s="466"/>
      <c r="BY57" s="466"/>
      <c r="BZ57" s="466"/>
      <c r="CA57" s="466"/>
      <c r="CB57" s="466"/>
      <c r="CC57" s="466"/>
      <c r="CD57" s="466"/>
      <c r="CE57" s="466"/>
      <c r="CF57" s="466"/>
      <c r="CG57" s="466"/>
      <c r="CH57" s="466"/>
      <c r="CI57" s="466"/>
      <c r="CJ57" s="466"/>
      <c r="CK57" s="466"/>
      <c r="CL57" s="466"/>
      <c r="CM57" s="466"/>
      <c r="CN57" s="466"/>
      <c r="CO57" s="466"/>
      <c r="CP57" s="466"/>
      <c r="CQ57" s="466"/>
      <c r="CR57" s="466"/>
      <c r="CS57" s="466"/>
      <c r="CT57" s="466"/>
      <c r="CU57" s="466"/>
      <c r="CV57" s="466"/>
      <c r="CW57" s="466"/>
      <c r="CX57" s="466"/>
      <c r="CY57" s="466"/>
      <c r="CZ57" s="466"/>
      <c r="DA57" s="466"/>
      <c r="DB57" s="466"/>
      <c r="DC57" s="466"/>
    </row>
    <row r="58" spans="1:107" s="467" customFormat="1" ht="12.75">
      <c r="A58" s="472" t="s">
        <v>354</v>
      </c>
      <c r="B58" s="27">
        <v>4345000</v>
      </c>
      <c r="C58" s="27"/>
      <c r="D58" s="669">
        <f t="shared" si="1"/>
        <v>0</v>
      </c>
      <c r="E58" s="27">
        <v>4076000</v>
      </c>
      <c r="F58" s="27"/>
      <c r="G58" s="669">
        <f t="shared" si="2"/>
        <v>0</v>
      </c>
      <c r="H58" s="27">
        <v>17709000</v>
      </c>
      <c r="I58" s="27"/>
      <c r="J58" s="669">
        <f t="shared" si="6"/>
        <v>0</v>
      </c>
      <c r="K58" s="472" t="s">
        <v>354</v>
      </c>
      <c r="L58" s="27">
        <f>ROUND(B58/1000,0)</f>
        <v>4345</v>
      </c>
      <c r="M58" s="27">
        <f>ROUND(C58/1000,0)</f>
        <v>0</v>
      </c>
      <c r="N58" s="669">
        <f t="shared" si="4"/>
        <v>0</v>
      </c>
      <c r="O58" s="27">
        <f>ROUND(E58/1000,0)</f>
        <v>4076</v>
      </c>
      <c r="P58" s="27">
        <f>ROUND(F58/1000,0)</f>
        <v>0</v>
      </c>
      <c r="Q58" s="669">
        <f t="shared" si="5"/>
        <v>0</v>
      </c>
      <c r="R58" s="27">
        <f>ROUND(H58/1000,0)</f>
        <v>17709</v>
      </c>
      <c r="S58" s="27">
        <f>ROUND(I58/1000,0)</f>
        <v>0</v>
      </c>
      <c r="T58" s="669">
        <f t="shared" si="7"/>
        <v>0</v>
      </c>
      <c r="U58" s="466"/>
      <c r="V58" s="466"/>
      <c r="W58" s="466"/>
      <c r="X58" s="466"/>
      <c r="Y58" s="466"/>
      <c r="Z58" s="466"/>
      <c r="AA58" s="466"/>
      <c r="AB58" s="466"/>
      <c r="AC58" s="466"/>
      <c r="AD58" s="466"/>
      <c r="AE58" s="466"/>
      <c r="AF58" s="466"/>
      <c r="AG58" s="466"/>
      <c r="AH58" s="466"/>
      <c r="AI58" s="466"/>
      <c r="AJ58" s="466"/>
      <c r="AK58" s="466"/>
      <c r="AL58" s="466"/>
      <c r="AM58" s="466"/>
      <c r="AN58" s="466"/>
      <c r="AO58" s="466"/>
      <c r="AP58" s="466"/>
      <c r="AQ58" s="466"/>
      <c r="AR58" s="466"/>
      <c r="AS58" s="466"/>
      <c r="AT58" s="466"/>
      <c r="AU58" s="466"/>
      <c r="AV58" s="466"/>
      <c r="AW58" s="466"/>
      <c r="AX58" s="466"/>
      <c r="AY58" s="466"/>
      <c r="AZ58" s="466"/>
      <c r="BA58" s="466"/>
      <c r="BB58" s="466"/>
      <c r="BC58" s="466"/>
      <c r="BD58" s="466"/>
      <c r="BE58" s="466"/>
      <c r="BF58" s="466"/>
      <c r="BG58" s="466"/>
      <c r="BH58" s="466"/>
      <c r="BI58" s="466"/>
      <c r="BJ58" s="466"/>
      <c r="BK58" s="466"/>
      <c r="BL58" s="466"/>
      <c r="BM58" s="466"/>
      <c r="BN58" s="466"/>
      <c r="BO58" s="466"/>
      <c r="BP58" s="466"/>
      <c r="BQ58" s="466"/>
      <c r="BR58" s="466"/>
      <c r="BS58" s="466"/>
      <c r="BT58" s="466"/>
      <c r="BU58" s="466"/>
      <c r="BV58" s="466"/>
      <c r="BW58" s="466"/>
      <c r="BX58" s="466"/>
      <c r="BY58" s="466"/>
      <c r="BZ58" s="466"/>
      <c r="CA58" s="466"/>
      <c r="CB58" s="466"/>
      <c r="CC58" s="466"/>
      <c r="CD58" s="466"/>
      <c r="CE58" s="466"/>
      <c r="CF58" s="466"/>
      <c r="CG58" s="466"/>
      <c r="CH58" s="466"/>
      <c r="CI58" s="466"/>
      <c r="CJ58" s="466"/>
      <c r="CK58" s="466"/>
      <c r="CL58" s="466"/>
      <c r="CM58" s="466"/>
      <c r="CN58" s="466"/>
      <c r="CO58" s="466"/>
      <c r="CP58" s="466"/>
      <c r="CQ58" s="466"/>
      <c r="CR58" s="466"/>
      <c r="CS58" s="466"/>
      <c r="CT58" s="466"/>
      <c r="CU58" s="466"/>
      <c r="CV58" s="466"/>
      <c r="CW58" s="466"/>
      <c r="CX58" s="466"/>
      <c r="CY58" s="466"/>
      <c r="CZ58" s="466"/>
      <c r="DA58" s="466"/>
      <c r="DB58" s="466"/>
      <c r="DC58" s="466"/>
    </row>
    <row r="59" spans="1:20" ht="12.75">
      <c r="A59" s="74" t="s">
        <v>80</v>
      </c>
      <c r="B59" s="470">
        <f>SUM(B60:B62)</f>
        <v>1930383</v>
      </c>
      <c r="C59" s="470">
        <f aca="true" t="shared" si="33" ref="C59:I59">SUM(C60:C62)</f>
        <v>33983</v>
      </c>
      <c r="D59" s="668">
        <f t="shared" si="1"/>
        <v>1.760427852918307</v>
      </c>
      <c r="E59" s="470">
        <f t="shared" si="33"/>
        <v>3176974</v>
      </c>
      <c r="F59" s="470">
        <f t="shared" si="33"/>
        <v>38774</v>
      </c>
      <c r="G59" s="668">
        <f t="shared" si="2"/>
        <v>1.2204695411419797</v>
      </c>
      <c r="H59" s="470">
        <f t="shared" si="33"/>
        <v>973330</v>
      </c>
      <c r="I59" s="470">
        <f t="shared" si="33"/>
        <v>72330</v>
      </c>
      <c r="J59" s="668">
        <f t="shared" si="6"/>
        <v>7.431189832841893</v>
      </c>
      <c r="K59" s="74" t="s">
        <v>80</v>
      </c>
      <c r="L59" s="470">
        <f aca="true" t="shared" si="34" ref="L59:S59">SUM(L60:L62)</f>
        <v>1930</v>
      </c>
      <c r="M59" s="470">
        <f t="shared" si="34"/>
        <v>34</v>
      </c>
      <c r="N59" s="668">
        <f t="shared" si="4"/>
        <v>1.7616580310880827</v>
      </c>
      <c r="O59" s="470">
        <f t="shared" si="34"/>
        <v>3177</v>
      </c>
      <c r="P59" s="470">
        <f t="shared" si="34"/>
        <v>39</v>
      </c>
      <c r="Q59" s="668">
        <f t="shared" si="5"/>
        <v>1.2275731822474032</v>
      </c>
      <c r="R59" s="470">
        <f t="shared" si="34"/>
        <v>973</v>
      </c>
      <c r="S59" s="470">
        <f t="shared" si="34"/>
        <v>72</v>
      </c>
      <c r="T59" s="668">
        <f t="shared" si="7"/>
        <v>7.399794450154163</v>
      </c>
    </row>
    <row r="60" spans="1:107" s="467" customFormat="1" ht="12.75">
      <c r="A60" s="472" t="s">
        <v>136</v>
      </c>
      <c r="B60" s="27">
        <v>33983</v>
      </c>
      <c r="C60" s="27">
        <v>33983</v>
      </c>
      <c r="D60" s="669">
        <f t="shared" si="1"/>
        <v>100</v>
      </c>
      <c r="E60" s="27">
        <v>38774</v>
      </c>
      <c r="F60" s="27">
        <v>38774</v>
      </c>
      <c r="G60" s="669">
        <f t="shared" si="2"/>
        <v>100</v>
      </c>
      <c r="H60" s="27">
        <v>72330</v>
      </c>
      <c r="I60" s="27">
        <v>72330</v>
      </c>
      <c r="J60" s="669">
        <f t="shared" si="6"/>
        <v>100</v>
      </c>
      <c r="K60" s="472" t="s">
        <v>136</v>
      </c>
      <c r="L60" s="27">
        <f aca="true" t="shared" si="35" ref="L60:M62">ROUND(B60/1000,0)</f>
        <v>34</v>
      </c>
      <c r="M60" s="27">
        <f t="shared" si="35"/>
        <v>34</v>
      </c>
      <c r="N60" s="669">
        <f t="shared" si="4"/>
        <v>100</v>
      </c>
      <c r="O60" s="27">
        <f aca="true" t="shared" si="36" ref="O60:P62">ROUND(E60/1000,0)</f>
        <v>39</v>
      </c>
      <c r="P60" s="27">
        <f>ROUND(F60/1000,0)</f>
        <v>39</v>
      </c>
      <c r="Q60" s="669">
        <f t="shared" si="5"/>
        <v>100</v>
      </c>
      <c r="R60" s="27">
        <f aca="true" t="shared" si="37" ref="R60:S62">ROUND(H60/1000,0)</f>
        <v>72</v>
      </c>
      <c r="S60" s="27">
        <f t="shared" si="37"/>
        <v>72</v>
      </c>
      <c r="T60" s="669">
        <f t="shared" si="7"/>
        <v>100</v>
      </c>
      <c r="U60" s="466"/>
      <c r="V60" s="466"/>
      <c r="W60" s="466"/>
      <c r="X60" s="466"/>
      <c r="Y60" s="466"/>
      <c r="Z60" s="466"/>
      <c r="AA60" s="466"/>
      <c r="AB60" s="466"/>
      <c r="AC60" s="466"/>
      <c r="AD60" s="466"/>
      <c r="AE60" s="466"/>
      <c r="AF60" s="466"/>
      <c r="AG60" s="466"/>
      <c r="AH60" s="466"/>
      <c r="AI60" s="466"/>
      <c r="AJ60" s="466"/>
      <c r="AK60" s="466"/>
      <c r="AL60" s="466"/>
      <c r="AM60" s="466"/>
      <c r="AN60" s="466"/>
      <c r="AO60" s="466"/>
      <c r="AP60" s="466"/>
      <c r="AQ60" s="466"/>
      <c r="AR60" s="466"/>
      <c r="AS60" s="466"/>
      <c r="AT60" s="466"/>
      <c r="AU60" s="466"/>
      <c r="AV60" s="466"/>
      <c r="AW60" s="466"/>
      <c r="AX60" s="466"/>
      <c r="AY60" s="466"/>
      <c r="AZ60" s="466"/>
      <c r="BA60" s="466"/>
      <c r="BB60" s="466"/>
      <c r="BC60" s="466"/>
      <c r="BD60" s="466"/>
      <c r="BE60" s="466"/>
      <c r="BF60" s="466"/>
      <c r="BG60" s="466"/>
      <c r="BH60" s="466"/>
      <c r="BI60" s="466"/>
      <c r="BJ60" s="466"/>
      <c r="BK60" s="466"/>
      <c r="BL60" s="466"/>
      <c r="BM60" s="466"/>
      <c r="BN60" s="466"/>
      <c r="BO60" s="466"/>
      <c r="BP60" s="466"/>
      <c r="BQ60" s="466"/>
      <c r="BR60" s="466"/>
      <c r="BS60" s="466"/>
      <c r="BT60" s="466"/>
      <c r="BU60" s="466"/>
      <c r="BV60" s="466"/>
      <c r="BW60" s="466"/>
      <c r="BX60" s="466"/>
      <c r="BY60" s="466"/>
      <c r="BZ60" s="466"/>
      <c r="CA60" s="466"/>
      <c r="CB60" s="466"/>
      <c r="CC60" s="466"/>
      <c r="CD60" s="466"/>
      <c r="CE60" s="466"/>
      <c r="CF60" s="466"/>
      <c r="CG60" s="466"/>
      <c r="CH60" s="466"/>
      <c r="CI60" s="466"/>
      <c r="CJ60" s="466"/>
      <c r="CK60" s="466"/>
      <c r="CL60" s="466"/>
      <c r="CM60" s="466"/>
      <c r="CN60" s="466"/>
      <c r="CO60" s="466"/>
      <c r="CP60" s="466"/>
      <c r="CQ60" s="466"/>
      <c r="CR60" s="466"/>
      <c r="CS60" s="466"/>
      <c r="CT60" s="466"/>
      <c r="CU60" s="466"/>
      <c r="CV60" s="466"/>
      <c r="CW60" s="466"/>
      <c r="CX60" s="466"/>
      <c r="CY60" s="466"/>
      <c r="CZ60" s="466"/>
      <c r="DA60" s="466"/>
      <c r="DB60" s="466"/>
      <c r="DC60" s="466"/>
    </row>
    <row r="61" spans="1:107" s="467" customFormat="1" ht="12.75">
      <c r="A61" s="472" t="s">
        <v>723</v>
      </c>
      <c r="B61" s="27">
        <v>514400</v>
      </c>
      <c r="C61" s="27"/>
      <c r="D61" s="669">
        <f t="shared" si="1"/>
        <v>0</v>
      </c>
      <c r="E61" s="27">
        <v>514400</v>
      </c>
      <c r="F61" s="27"/>
      <c r="G61" s="669">
        <f t="shared" si="2"/>
        <v>0</v>
      </c>
      <c r="H61" s="27"/>
      <c r="I61" s="27"/>
      <c r="J61" s="669" t="e">
        <f t="shared" si="6"/>
        <v>#DIV/0!</v>
      </c>
      <c r="K61" s="472" t="s">
        <v>723</v>
      </c>
      <c r="L61" s="27">
        <f t="shared" si="35"/>
        <v>514</v>
      </c>
      <c r="M61" s="27">
        <f t="shared" si="35"/>
        <v>0</v>
      </c>
      <c r="N61" s="669">
        <f t="shared" si="4"/>
        <v>0</v>
      </c>
      <c r="O61" s="27">
        <f t="shared" si="36"/>
        <v>514</v>
      </c>
      <c r="P61" s="27">
        <f t="shared" si="36"/>
        <v>0</v>
      </c>
      <c r="Q61" s="669">
        <f t="shared" si="5"/>
        <v>0</v>
      </c>
      <c r="R61" s="27"/>
      <c r="S61" s="27"/>
      <c r="T61" s="669"/>
      <c r="U61" s="466"/>
      <c r="V61" s="466"/>
      <c r="W61" s="466"/>
      <c r="X61" s="466"/>
      <c r="Y61" s="466"/>
      <c r="Z61" s="466"/>
      <c r="AA61" s="466"/>
      <c r="AB61" s="466"/>
      <c r="AC61" s="466"/>
      <c r="AD61" s="466"/>
      <c r="AE61" s="466"/>
      <c r="AF61" s="466"/>
      <c r="AG61" s="466"/>
      <c r="AH61" s="466"/>
      <c r="AI61" s="466"/>
      <c r="AJ61" s="466"/>
      <c r="AK61" s="466"/>
      <c r="AL61" s="466"/>
      <c r="AM61" s="466"/>
      <c r="AN61" s="466"/>
      <c r="AO61" s="466"/>
      <c r="AP61" s="466"/>
      <c r="AQ61" s="466"/>
      <c r="AR61" s="466"/>
      <c r="AS61" s="466"/>
      <c r="AT61" s="466"/>
      <c r="AU61" s="466"/>
      <c r="AV61" s="466"/>
      <c r="AW61" s="466"/>
      <c r="AX61" s="466"/>
      <c r="AY61" s="466"/>
      <c r="AZ61" s="466"/>
      <c r="BA61" s="466"/>
      <c r="BB61" s="466"/>
      <c r="BC61" s="466"/>
      <c r="BD61" s="466"/>
      <c r="BE61" s="466"/>
      <c r="BF61" s="466"/>
      <c r="BG61" s="466"/>
      <c r="BH61" s="466"/>
      <c r="BI61" s="466"/>
      <c r="BJ61" s="466"/>
      <c r="BK61" s="466"/>
      <c r="BL61" s="466"/>
      <c r="BM61" s="466"/>
      <c r="BN61" s="466"/>
      <c r="BO61" s="466"/>
      <c r="BP61" s="466"/>
      <c r="BQ61" s="466"/>
      <c r="BR61" s="466"/>
      <c r="BS61" s="466"/>
      <c r="BT61" s="466"/>
      <c r="BU61" s="466"/>
      <c r="BV61" s="466"/>
      <c r="BW61" s="466"/>
      <c r="BX61" s="466"/>
      <c r="BY61" s="466"/>
      <c r="BZ61" s="466"/>
      <c r="CA61" s="466"/>
      <c r="CB61" s="466"/>
      <c r="CC61" s="466"/>
      <c r="CD61" s="466"/>
      <c r="CE61" s="466"/>
      <c r="CF61" s="466"/>
      <c r="CG61" s="466"/>
      <c r="CH61" s="466"/>
      <c r="CI61" s="466"/>
      <c r="CJ61" s="466"/>
      <c r="CK61" s="466"/>
      <c r="CL61" s="466"/>
      <c r="CM61" s="466"/>
      <c r="CN61" s="466"/>
      <c r="CO61" s="466"/>
      <c r="CP61" s="466"/>
      <c r="CQ61" s="466"/>
      <c r="CR61" s="466"/>
      <c r="CS61" s="466"/>
      <c r="CT61" s="466"/>
      <c r="CU61" s="466"/>
      <c r="CV61" s="466"/>
      <c r="CW61" s="466"/>
      <c r="CX61" s="466"/>
      <c r="CY61" s="466"/>
      <c r="CZ61" s="466"/>
      <c r="DA61" s="466"/>
      <c r="DB61" s="466"/>
      <c r="DC61" s="466"/>
    </row>
    <row r="62" spans="1:107" s="467" customFormat="1" ht="12.75">
      <c r="A62" s="472" t="s">
        <v>354</v>
      </c>
      <c r="B62" s="27">
        <v>1382000</v>
      </c>
      <c r="C62" s="27"/>
      <c r="D62" s="669">
        <f t="shared" si="1"/>
        <v>0</v>
      </c>
      <c r="E62" s="27">
        <v>2623800</v>
      </c>
      <c r="F62" s="27"/>
      <c r="G62" s="669">
        <f t="shared" si="2"/>
        <v>0</v>
      </c>
      <c r="H62" s="27">
        <v>901000</v>
      </c>
      <c r="I62" s="27"/>
      <c r="J62" s="669">
        <f t="shared" si="6"/>
        <v>0</v>
      </c>
      <c r="K62" s="472" t="s">
        <v>354</v>
      </c>
      <c r="L62" s="27">
        <f t="shared" si="35"/>
        <v>1382</v>
      </c>
      <c r="M62" s="27">
        <f t="shared" si="35"/>
        <v>0</v>
      </c>
      <c r="N62" s="669">
        <f t="shared" si="4"/>
        <v>0</v>
      </c>
      <c r="O62" s="27">
        <f t="shared" si="36"/>
        <v>2624</v>
      </c>
      <c r="P62" s="27">
        <f t="shared" si="36"/>
        <v>0</v>
      </c>
      <c r="Q62" s="669">
        <f t="shared" si="5"/>
        <v>0</v>
      </c>
      <c r="R62" s="27">
        <f t="shared" si="37"/>
        <v>901</v>
      </c>
      <c r="S62" s="27">
        <f t="shared" si="37"/>
        <v>0</v>
      </c>
      <c r="T62" s="669">
        <f t="shared" si="7"/>
        <v>0</v>
      </c>
      <c r="U62" s="466"/>
      <c r="V62" s="466"/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466"/>
      <c r="BO62" s="466"/>
      <c r="BP62" s="466"/>
      <c r="BQ62" s="466"/>
      <c r="BR62" s="466"/>
      <c r="BS62" s="466"/>
      <c r="BT62" s="466"/>
      <c r="BU62" s="466"/>
      <c r="BV62" s="466"/>
      <c r="BW62" s="466"/>
      <c r="BX62" s="466"/>
      <c r="BY62" s="466"/>
      <c r="BZ62" s="466"/>
      <c r="CA62" s="466"/>
      <c r="CB62" s="466"/>
      <c r="CC62" s="466"/>
      <c r="CD62" s="466"/>
      <c r="CE62" s="466"/>
      <c r="CF62" s="466"/>
      <c r="CG62" s="466"/>
      <c r="CH62" s="466"/>
      <c r="CI62" s="466"/>
      <c r="CJ62" s="466"/>
      <c r="CK62" s="466"/>
      <c r="CL62" s="466"/>
      <c r="CM62" s="466"/>
      <c r="CN62" s="466"/>
      <c r="CO62" s="466"/>
      <c r="CP62" s="466"/>
      <c r="CQ62" s="466"/>
      <c r="CR62" s="466"/>
      <c r="CS62" s="466"/>
      <c r="CT62" s="466"/>
      <c r="CU62" s="466"/>
      <c r="CV62" s="466"/>
      <c r="CW62" s="466"/>
      <c r="CX62" s="466"/>
      <c r="CY62" s="466"/>
      <c r="CZ62" s="466"/>
      <c r="DA62" s="466"/>
      <c r="DB62" s="466"/>
      <c r="DC62" s="466"/>
    </row>
    <row r="63" spans="1:20" ht="12.75">
      <c r="A63" s="74" t="s">
        <v>391</v>
      </c>
      <c r="B63" s="470">
        <f>SUM(B64:B65)</f>
        <v>2884000</v>
      </c>
      <c r="C63" s="470">
        <f aca="true" t="shared" si="38" ref="C63:H63">SUM(C64:C65)</f>
        <v>975000</v>
      </c>
      <c r="D63" s="668">
        <f t="shared" si="1"/>
        <v>33.80721220527046</v>
      </c>
      <c r="E63" s="470">
        <f t="shared" si="38"/>
        <v>1642000</v>
      </c>
      <c r="F63" s="470">
        <f t="shared" si="38"/>
        <v>872000</v>
      </c>
      <c r="G63" s="668">
        <f t="shared" si="2"/>
        <v>53.10596833130329</v>
      </c>
      <c r="H63" s="470">
        <f t="shared" si="38"/>
        <v>2880000</v>
      </c>
      <c r="I63" s="470">
        <f>SUM(I64:I65)</f>
        <v>1745000</v>
      </c>
      <c r="J63" s="668">
        <f t="shared" si="6"/>
        <v>60.59027777777778</v>
      </c>
      <c r="K63" s="74" t="s">
        <v>391</v>
      </c>
      <c r="L63" s="470">
        <f aca="true" t="shared" si="39" ref="L63:S63">SUM(L64:L65)</f>
        <v>2884</v>
      </c>
      <c r="M63" s="470">
        <f t="shared" si="39"/>
        <v>975</v>
      </c>
      <c r="N63" s="668">
        <f t="shared" si="4"/>
        <v>33.80721220527046</v>
      </c>
      <c r="O63" s="470">
        <f t="shared" si="39"/>
        <v>1642</v>
      </c>
      <c r="P63" s="470">
        <f t="shared" si="39"/>
        <v>872</v>
      </c>
      <c r="Q63" s="668">
        <f t="shared" si="5"/>
        <v>53.10596833130329</v>
      </c>
      <c r="R63" s="470">
        <f t="shared" si="39"/>
        <v>2880</v>
      </c>
      <c r="S63" s="470">
        <f t="shared" si="39"/>
        <v>1745</v>
      </c>
      <c r="T63" s="668">
        <f t="shared" si="7"/>
        <v>60.59027777777778</v>
      </c>
    </row>
    <row r="64" spans="1:107" s="467" customFormat="1" ht="12.75">
      <c r="A64" s="472" t="s">
        <v>723</v>
      </c>
      <c r="B64" s="27">
        <v>10000</v>
      </c>
      <c r="C64" s="27">
        <v>10000</v>
      </c>
      <c r="D64" s="669">
        <f t="shared" si="1"/>
        <v>100</v>
      </c>
      <c r="E64" s="27">
        <v>10000</v>
      </c>
      <c r="F64" s="27">
        <v>10000</v>
      </c>
      <c r="G64" s="669">
        <f t="shared" si="2"/>
        <v>100</v>
      </c>
      <c r="H64" s="27">
        <v>50000</v>
      </c>
      <c r="I64" s="27">
        <v>50000</v>
      </c>
      <c r="J64" s="669">
        <f t="shared" si="6"/>
        <v>100</v>
      </c>
      <c r="K64" s="472" t="s">
        <v>723</v>
      </c>
      <c r="L64" s="27">
        <f>ROUND(B64/1000,0)</f>
        <v>10</v>
      </c>
      <c r="M64" s="27">
        <f>ROUND(C64/1000,0)</f>
        <v>10</v>
      </c>
      <c r="N64" s="669">
        <f t="shared" si="4"/>
        <v>100</v>
      </c>
      <c r="O64" s="27">
        <f>ROUND(E64/1000,0)</f>
        <v>10</v>
      </c>
      <c r="P64" s="27">
        <f>ROUND(F64/1000,0)</f>
        <v>10</v>
      </c>
      <c r="Q64" s="669">
        <f t="shared" si="5"/>
        <v>100</v>
      </c>
      <c r="R64" s="27">
        <f>ROUND(H64/1000,0)</f>
        <v>50</v>
      </c>
      <c r="S64" s="27">
        <f>ROUND(I64/1000,0)</f>
        <v>50</v>
      </c>
      <c r="T64" s="669">
        <f t="shared" si="7"/>
        <v>100</v>
      </c>
      <c r="U64" s="466"/>
      <c r="V64" s="466"/>
      <c r="W64" s="466"/>
      <c r="X64" s="466"/>
      <c r="Y64" s="466"/>
      <c r="Z64" s="466"/>
      <c r="AA64" s="466"/>
      <c r="AB64" s="466"/>
      <c r="AC64" s="466"/>
      <c r="AD64" s="466"/>
      <c r="AE64" s="466"/>
      <c r="AF64" s="466"/>
      <c r="AG64" s="466"/>
      <c r="AH64" s="466"/>
      <c r="AI64" s="466"/>
      <c r="AJ64" s="466"/>
      <c r="AK64" s="466"/>
      <c r="AL64" s="466"/>
      <c r="AM64" s="466"/>
      <c r="AN64" s="466"/>
      <c r="AO64" s="466"/>
      <c r="AP64" s="466"/>
      <c r="AQ64" s="466"/>
      <c r="AR64" s="466"/>
      <c r="AS64" s="466"/>
      <c r="AT64" s="466"/>
      <c r="AU64" s="466"/>
      <c r="AV64" s="466"/>
      <c r="AW64" s="466"/>
      <c r="AX64" s="466"/>
      <c r="AY64" s="466"/>
      <c r="AZ64" s="466"/>
      <c r="BA64" s="466"/>
      <c r="BB64" s="466"/>
      <c r="BC64" s="466"/>
      <c r="BD64" s="466"/>
      <c r="BE64" s="466"/>
      <c r="BF64" s="466"/>
      <c r="BG64" s="466"/>
      <c r="BH64" s="466"/>
      <c r="BI64" s="466"/>
      <c r="BJ64" s="466"/>
      <c r="BK64" s="466"/>
      <c r="BL64" s="466"/>
      <c r="BM64" s="466"/>
      <c r="BN64" s="466"/>
      <c r="BO64" s="466"/>
      <c r="BP64" s="466"/>
      <c r="BQ64" s="466"/>
      <c r="BR64" s="466"/>
      <c r="BS64" s="466"/>
      <c r="BT64" s="466"/>
      <c r="BU64" s="466"/>
      <c r="BV64" s="466"/>
      <c r="BW64" s="466"/>
      <c r="BX64" s="466"/>
      <c r="BY64" s="466"/>
      <c r="BZ64" s="466"/>
      <c r="CA64" s="466"/>
      <c r="CB64" s="466"/>
      <c r="CC64" s="466"/>
      <c r="CD64" s="466"/>
      <c r="CE64" s="466"/>
      <c r="CF64" s="466"/>
      <c r="CG64" s="466"/>
      <c r="CH64" s="466"/>
      <c r="CI64" s="466"/>
      <c r="CJ64" s="466"/>
      <c r="CK64" s="466"/>
      <c r="CL64" s="466"/>
      <c r="CM64" s="466"/>
      <c r="CN64" s="466"/>
      <c r="CO64" s="466"/>
      <c r="CP64" s="466"/>
      <c r="CQ64" s="466"/>
      <c r="CR64" s="466"/>
      <c r="CS64" s="466"/>
      <c r="CT64" s="466"/>
      <c r="CU64" s="466"/>
      <c r="CV64" s="466"/>
      <c r="CW64" s="466"/>
      <c r="CX64" s="466"/>
      <c r="CY64" s="466"/>
      <c r="CZ64" s="466"/>
      <c r="DA64" s="466"/>
      <c r="DB64" s="466"/>
      <c r="DC64" s="466"/>
    </row>
    <row r="65" spans="1:107" s="467" customFormat="1" ht="12.75">
      <c r="A65" s="472" t="s">
        <v>354</v>
      </c>
      <c r="B65" s="27">
        <v>2874000</v>
      </c>
      <c r="C65" s="27">
        <f>165000+800000</f>
        <v>965000</v>
      </c>
      <c r="D65" s="669">
        <f t="shared" si="1"/>
        <v>33.57689631176061</v>
      </c>
      <c r="E65" s="27">
        <v>1632000</v>
      </c>
      <c r="F65" s="27">
        <f>62000+800000</f>
        <v>862000</v>
      </c>
      <c r="G65" s="669">
        <f t="shared" si="2"/>
        <v>52.818627450980394</v>
      </c>
      <c r="H65" s="27">
        <v>2830000</v>
      </c>
      <c r="I65" s="27">
        <v>1695000</v>
      </c>
      <c r="J65" s="669">
        <f t="shared" si="6"/>
        <v>59.8939929328622</v>
      </c>
      <c r="K65" s="472" t="s">
        <v>354</v>
      </c>
      <c r="L65" s="27">
        <f>ROUND(B65/1000,0)</f>
        <v>2874</v>
      </c>
      <c r="M65" s="27">
        <f>ROUND(C65/1000,0)</f>
        <v>965</v>
      </c>
      <c r="N65" s="669">
        <f t="shared" si="4"/>
        <v>33.57689631176061</v>
      </c>
      <c r="O65" s="27">
        <f>ROUND(E65/1000,0)</f>
        <v>1632</v>
      </c>
      <c r="P65" s="27">
        <f>ROUND(F65/1000,0)</f>
        <v>862</v>
      </c>
      <c r="Q65" s="669">
        <f t="shared" si="5"/>
        <v>52.818627450980394</v>
      </c>
      <c r="R65" s="27">
        <f>ROUND(H65/1000,0)</f>
        <v>2830</v>
      </c>
      <c r="S65" s="27">
        <f>ROUND(I65/1000,0)</f>
        <v>1695</v>
      </c>
      <c r="T65" s="669">
        <f t="shared" si="7"/>
        <v>59.8939929328622</v>
      </c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  <c r="AT65" s="466"/>
      <c r="AU65" s="466"/>
      <c r="AV65" s="466"/>
      <c r="AW65" s="466"/>
      <c r="AX65" s="466"/>
      <c r="AY65" s="466"/>
      <c r="AZ65" s="466"/>
      <c r="BA65" s="466"/>
      <c r="BB65" s="466"/>
      <c r="BC65" s="466"/>
      <c r="BD65" s="466"/>
      <c r="BE65" s="466"/>
      <c r="BF65" s="466"/>
      <c r="BG65" s="466"/>
      <c r="BH65" s="466"/>
      <c r="BI65" s="466"/>
      <c r="BJ65" s="466"/>
      <c r="BK65" s="466"/>
      <c r="BL65" s="466"/>
      <c r="BM65" s="466"/>
      <c r="BN65" s="466"/>
      <c r="BO65" s="466"/>
      <c r="BP65" s="466"/>
      <c r="BQ65" s="466"/>
      <c r="BR65" s="466"/>
      <c r="BS65" s="466"/>
      <c r="BT65" s="466"/>
      <c r="BU65" s="466"/>
      <c r="BV65" s="466"/>
      <c r="BW65" s="466"/>
      <c r="BX65" s="466"/>
      <c r="BY65" s="466"/>
      <c r="BZ65" s="466"/>
      <c r="CA65" s="466"/>
      <c r="CB65" s="466"/>
      <c r="CC65" s="466"/>
      <c r="CD65" s="466"/>
      <c r="CE65" s="466"/>
      <c r="CF65" s="466"/>
      <c r="CG65" s="466"/>
      <c r="CH65" s="466"/>
      <c r="CI65" s="466"/>
      <c r="CJ65" s="466"/>
      <c r="CK65" s="466"/>
      <c r="CL65" s="466"/>
      <c r="CM65" s="466"/>
      <c r="CN65" s="466"/>
      <c r="CO65" s="466"/>
      <c r="CP65" s="466"/>
      <c r="CQ65" s="466"/>
      <c r="CR65" s="466"/>
      <c r="CS65" s="466"/>
      <c r="CT65" s="466"/>
      <c r="CU65" s="466"/>
      <c r="CV65" s="466"/>
      <c r="CW65" s="466"/>
      <c r="CX65" s="466"/>
      <c r="CY65" s="466"/>
      <c r="CZ65" s="466"/>
      <c r="DA65" s="466"/>
      <c r="DB65" s="466"/>
      <c r="DC65" s="466"/>
    </row>
    <row r="66" spans="1:20" ht="12.75">
      <c r="A66" s="74" t="s">
        <v>84</v>
      </c>
      <c r="B66" s="470">
        <f>SUM(B67:B68)</f>
        <v>2105510</v>
      </c>
      <c r="C66" s="470">
        <f aca="true" t="shared" si="40" ref="C66:H66">SUM(C67:C68)</f>
        <v>0</v>
      </c>
      <c r="D66" s="668">
        <f t="shared" si="1"/>
        <v>0</v>
      </c>
      <c r="E66" s="470">
        <f t="shared" si="40"/>
        <v>888660</v>
      </c>
      <c r="F66" s="470">
        <f t="shared" si="40"/>
        <v>0</v>
      </c>
      <c r="G66" s="668">
        <f t="shared" si="2"/>
        <v>0</v>
      </c>
      <c r="H66" s="470">
        <f t="shared" si="40"/>
        <v>618660</v>
      </c>
      <c r="I66" s="470">
        <f>SUM(I67:I68)</f>
        <v>0</v>
      </c>
      <c r="J66" s="668">
        <f t="shared" si="6"/>
        <v>0</v>
      </c>
      <c r="K66" s="74" t="s">
        <v>84</v>
      </c>
      <c r="L66" s="470">
        <f aca="true" t="shared" si="41" ref="L66:S66">SUM(L67:L68)</f>
        <v>2105</v>
      </c>
      <c r="M66" s="470">
        <f t="shared" si="41"/>
        <v>0</v>
      </c>
      <c r="N66" s="668">
        <f t="shared" si="4"/>
        <v>0</v>
      </c>
      <c r="O66" s="470">
        <f t="shared" si="41"/>
        <v>889</v>
      </c>
      <c r="P66" s="470">
        <f t="shared" si="41"/>
        <v>0</v>
      </c>
      <c r="Q66" s="668">
        <f t="shared" si="5"/>
        <v>0</v>
      </c>
      <c r="R66" s="470">
        <f t="shared" si="41"/>
        <v>619</v>
      </c>
      <c r="S66" s="470">
        <f t="shared" si="41"/>
        <v>0</v>
      </c>
      <c r="T66" s="668">
        <f t="shared" si="7"/>
        <v>0</v>
      </c>
    </row>
    <row r="67" spans="1:107" s="467" customFormat="1" ht="12.75">
      <c r="A67" s="472" t="s">
        <v>723</v>
      </c>
      <c r="B67" s="27">
        <v>390510</v>
      </c>
      <c r="C67" s="27"/>
      <c r="D67" s="669">
        <f t="shared" si="1"/>
        <v>0</v>
      </c>
      <c r="E67" s="27">
        <v>558660</v>
      </c>
      <c r="F67" s="27"/>
      <c r="G67" s="669">
        <f t="shared" si="2"/>
        <v>0</v>
      </c>
      <c r="H67" s="27">
        <v>558660</v>
      </c>
      <c r="I67" s="27"/>
      <c r="J67" s="669">
        <f t="shared" si="6"/>
        <v>0</v>
      </c>
      <c r="K67" s="472" t="s">
        <v>723</v>
      </c>
      <c r="L67" s="27">
        <f>ROUND(B67/1000,0)-1</f>
        <v>390</v>
      </c>
      <c r="M67" s="27">
        <f>ROUND(C67/1000,0)</f>
        <v>0</v>
      </c>
      <c r="N67" s="669">
        <f t="shared" si="4"/>
        <v>0</v>
      </c>
      <c r="O67" s="27">
        <f>ROUND(E67/1000,0)</f>
        <v>559</v>
      </c>
      <c r="P67" s="27">
        <f>ROUND(F67/1000,0)</f>
        <v>0</v>
      </c>
      <c r="Q67" s="669">
        <f t="shared" si="5"/>
        <v>0</v>
      </c>
      <c r="R67" s="27">
        <f>ROUND(H67/1000,0)</f>
        <v>559</v>
      </c>
      <c r="S67" s="27">
        <f>ROUND(I67/1000,0)</f>
        <v>0</v>
      </c>
      <c r="T67" s="669">
        <f t="shared" si="7"/>
        <v>0</v>
      </c>
      <c r="U67" s="466"/>
      <c r="V67" s="466"/>
      <c r="W67" s="466"/>
      <c r="X67" s="466"/>
      <c r="Y67" s="466"/>
      <c r="Z67" s="466"/>
      <c r="AA67" s="466"/>
      <c r="AB67" s="466"/>
      <c r="AC67" s="466"/>
      <c r="AD67" s="466"/>
      <c r="AE67" s="466"/>
      <c r="AF67" s="466"/>
      <c r="AG67" s="466"/>
      <c r="AH67" s="466"/>
      <c r="AI67" s="466"/>
      <c r="AJ67" s="466"/>
      <c r="AK67" s="466"/>
      <c r="AL67" s="466"/>
      <c r="AM67" s="466"/>
      <c r="AN67" s="466"/>
      <c r="AO67" s="466"/>
      <c r="AP67" s="466"/>
      <c r="AQ67" s="466"/>
      <c r="AR67" s="466"/>
      <c r="AS67" s="466"/>
      <c r="AT67" s="466"/>
      <c r="AU67" s="466"/>
      <c r="AV67" s="466"/>
      <c r="AW67" s="466"/>
      <c r="AX67" s="466"/>
      <c r="AY67" s="466"/>
      <c r="AZ67" s="466"/>
      <c r="BA67" s="466"/>
      <c r="BB67" s="466"/>
      <c r="BC67" s="466"/>
      <c r="BD67" s="466"/>
      <c r="BE67" s="466"/>
      <c r="BF67" s="466"/>
      <c r="BG67" s="466"/>
      <c r="BH67" s="466"/>
      <c r="BI67" s="466"/>
      <c r="BJ67" s="466"/>
      <c r="BK67" s="466"/>
      <c r="BL67" s="466"/>
      <c r="BM67" s="466"/>
      <c r="BN67" s="466"/>
      <c r="BO67" s="466"/>
      <c r="BP67" s="466"/>
      <c r="BQ67" s="466"/>
      <c r="BR67" s="466"/>
      <c r="BS67" s="466"/>
      <c r="BT67" s="466"/>
      <c r="BU67" s="466"/>
      <c r="BV67" s="466"/>
      <c r="BW67" s="466"/>
      <c r="BX67" s="466"/>
      <c r="BY67" s="466"/>
      <c r="BZ67" s="466"/>
      <c r="CA67" s="466"/>
      <c r="CB67" s="466"/>
      <c r="CC67" s="466"/>
      <c r="CD67" s="466"/>
      <c r="CE67" s="466"/>
      <c r="CF67" s="466"/>
      <c r="CG67" s="466"/>
      <c r="CH67" s="466"/>
      <c r="CI67" s="466"/>
      <c r="CJ67" s="466"/>
      <c r="CK67" s="466"/>
      <c r="CL67" s="466"/>
      <c r="CM67" s="466"/>
      <c r="CN67" s="466"/>
      <c r="CO67" s="466"/>
      <c r="CP67" s="466"/>
      <c r="CQ67" s="466"/>
      <c r="CR67" s="466"/>
      <c r="CS67" s="466"/>
      <c r="CT67" s="466"/>
      <c r="CU67" s="466"/>
      <c r="CV67" s="466"/>
      <c r="CW67" s="466"/>
      <c r="CX67" s="466"/>
      <c r="CY67" s="466"/>
      <c r="CZ67" s="466"/>
      <c r="DA67" s="466"/>
      <c r="DB67" s="466"/>
      <c r="DC67" s="466"/>
    </row>
    <row r="68" spans="1:107" s="467" customFormat="1" ht="12.75">
      <c r="A68" s="472" t="s">
        <v>354</v>
      </c>
      <c r="B68" s="27">
        <v>1715000</v>
      </c>
      <c r="C68" s="27"/>
      <c r="D68" s="669">
        <f t="shared" si="1"/>
        <v>0</v>
      </c>
      <c r="E68" s="27">
        <v>330000</v>
      </c>
      <c r="F68" s="27"/>
      <c r="G68" s="669">
        <f t="shared" si="2"/>
        <v>0</v>
      </c>
      <c r="H68" s="27">
        <v>60000</v>
      </c>
      <c r="I68" s="27"/>
      <c r="J68" s="669">
        <f t="shared" si="6"/>
        <v>0</v>
      </c>
      <c r="K68" s="472" t="s">
        <v>354</v>
      </c>
      <c r="L68" s="27">
        <f>ROUND(B68/1000,0)</f>
        <v>1715</v>
      </c>
      <c r="M68" s="27">
        <f>ROUND(C68/1000,0)</f>
        <v>0</v>
      </c>
      <c r="N68" s="669">
        <f t="shared" si="4"/>
        <v>0</v>
      </c>
      <c r="O68" s="27">
        <f>ROUND(E68/1000,0)</f>
        <v>330</v>
      </c>
      <c r="P68" s="27">
        <f>ROUND(F68/1000,0)</f>
        <v>0</v>
      </c>
      <c r="Q68" s="669">
        <f t="shared" si="5"/>
        <v>0</v>
      </c>
      <c r="R68" s="27">
        <f>ROUND(H68/1000,0)</f>
        <v>60</v>
      </c>
      <c r="S68" s="27">
        <f>ROUND(I68/1000,0)</f>
        <v>0</v>
      </c>
      <c r="T68" s="669">
        <f t="shared" si="7"/>
        <v>0</v>
      </c>
      <c r="U68" s="466"/>
      <c r="V68" s="466"/>
      <c r="W68" s="466"/>
      <c r="X68" s="466"/>
      <c r="Y68" s="466"/>
      <c r="Z68" s="466"/>
      <c r="AA68" s="466"/>
      <c r="AB68" s="466"/>
      <c r="AC68" s="466"/>
      <c r="AD68" s="466"/>
      <c r="AE68" s="466"/>
      <c r="AF68" s="466"/>
      <c r="AG68" s="466"/>
      <c r="AH68" s="466"/>
      <c r="AI68" s="466"/>
      <c r="AJ68" s="466"/>
      <c r="AK68" s="466"/>
      <c r="AL68" s="466"/>
      <c r="AM68" s="466"/>
      <c r="AN68" s="466"/>
      <c r="AO68" s="466"/>
      <c r="AP68" s="466"/>
      <c r="AQ68" s="466"/>
      <c r="AR68" s="466"/>
      <c r="AS68" s="466"/>
      <c r="AT68" s="466"/>
      <c r="AU68" s="466"/>
      <c r="AV68" s="466"/>
      <c r="AW68" s="466"/>
      <c r="AX68" s="466"/>
      <c r="AY68" s="466"/>
      <c r="AZ68" s="466"/>
      <c r="BA68" s="466"/>
      <c r="BB68" s="466"/>
      <c r="BC68" s="466"/>
      <c r="BD68" s="466"/>
      <c r="BE68" s="466"/>
      <c r="BF68" s="466"/>
      <c r="BG68" s="466"/>
      <c r="BH68" s="466"/>
      <c r="BI68" s="466"/>
      <c r="BJ68" s="466"/>
      <c r="BK68" s="466"/>
      <c r="BL68" s="466"/>
      <c r="BM68" s="466"/>
      <c r="BN68" s="466"/>
      <c r="BO68" s="466"/>
      <c r="BP68" s="466"/>
      <c r="BQ68" s="466"/>
      <c r="BR68" s="466"/>
      <c r="BS68" s="466"/>
      <c r="BT68" s="466"/>
      <c r="BU68" s="466"/>
      <c r="BV68" s="466"/>
      <c r="BW68" s="466"/>
      <c r="BX68" s="466"/>
      <c r="BY68" s="466"/>
      <c r="BZ68" s="466"/>
      <c r="CA68" s="466"/>
      <c r="CB68" s="466"/>
      <c r="CC68" s="466"/>
      <c r="CD68" s="466"/>
      <c r="CE68" s="466"/>
      <c r="CF68" s="466"/>
      <c r="CG68" s="466"/>
      <c r="CH68" s="466"/>
      <c r="CI68" s="466"/>
      <c r="CJ68" s="466"/>
      <c r="CK68" s="466"/>
      <c r="CL68" s="466"/>
      <c r="CM68" s="466"/>
      <c r="CN68" s="466"/>
      <c r="CO68" s="466"/>
      <c r="CP68" s="466"/>
      <c r="CQ68" s="466"/>
      <c r="CR68" s="466"/>
      <c r="CS68" s="466"/>
      <c r="CT68" s="466"/>
      <c r="CU68" s="466"/>
      <c r="CV68" s="466"/>
      <c r="CW68" s="466"/>
      <c r="CX68" s="466"/>
      <c r="CY68" s="466"/>
      <c r="CZ68" s="466"/>
      <c r="DA68" s="466"/>
      <c r="DB68" s="466"/>
      <c r="DC68" s="466"/>
    </row>
    <row r="69" spans="1:20" ht="12.75">
      <c r="A69" s="74" t="s">
        <v>726</v>
      </c>
      <c r="B69" s="470">
        <f>SUM(B70:B71)</f>
        <v>429090</v>
      </c>
      <c r="C69" s="470">
        <f aca="true" t="shared" si="42" ref="C69:I69">SUM(C70:C71)</f>
        <v>0</v>
      </c>
      <c r="D69" s="668">
        <f t="shared" si="1"/>
        <v>0</v>
      </c>
      <c r="E69" s="470">
        <f t="shared" si="42"/>
        <v>429090</v>
      </c>
      <c r="F69" s="470">
        <f t="shared" si="42"/>
        <v>0</v>
      </c>
      <c r="G69" s="668">
        <f t="shared" si="2"/>
        <v>0</v>
      </c>
      <c r="H69" s="470">
        <f t="shared" si="42"/>
        <v>1853180</v>
      </c>
      <c r="I69" s="470">
        <f t="shared" si="42"/>
        <v>0</v>
      </c>
      <c r="J69" s="668"/>
      <c r="K69" s="74" t="s">
        <v>726</v>
      </c>
      <c r="L69" s="470">
        <f aca="true" t="shared" si="43" ref="L69:S69">SUM(L70:L71)</f>
        <v>429</v>
      </c>
      <c r="M69" s="470">
        <f t="shared" si="43"/>
        <v>0</v>
      </c>
      <c r="N69" s="668">
        <f t="shared" si="4"/>
        <v>0</v>
      </c>
      <c r="O69" s="470">
        <f t="shared" si="43"/>
        <v>429</v>
      </c>
      <c r="P69" s="470">
        <f t="shared" si="43"/>
        <v>0</v>
      </c>
      <c r="Q69" s="668">
        <f t="shared" si="5"/>
        <v>0</v>
      </c>
      <c r="R69" s="470">
        <f t="shared" si="43"/>
        <v>1853</v>
      </c>
      <c r="S69" s="470">
        <f t="shared" si="43"/>
        <v>0</v>
      </c>
      <c r="T69" s="668">
        <f t="shared" si="7"/>
        <v>0</v>
      </c>
    </row>
    <row r="70" spans="1:107" s="467" customFormat="1" ht="12.75">
      <c r="A70" s="472" t="s">
        <v>723</v>
      </c>
      <c r="B70" s="27">
        <v>61090</v>
      </c>
      <c r="C70" s="27"/>
      <c r="D70" s="669">
        <f t="shared" si="1"/>
        <v>0</v>
      </c>
      <c r="E70" s="27">
        <v>61090</v>
      </c>
      <c r="F70" s="27"/>
      <c r="G70" s="669">
        <f t="shared" si="2"/>
        <v>0</v>
      </c>
      <c r="H70" s="27">
        <v>242180</v>
      </c>
      <c r="I70" s="27"/>
      <c r="J70" s="669"/>
      <c r="K70" s="472" t="s">
        <v>723</v>
      </c>
      <c r="L70" s="27">
        <f>ROUND(B70/1000,0)</f>
        <v>61</v>
      </c>
      <c r="M70" s="27">
        <f>ROUND(C70/1000,0)</f>
        <v>0</v>
      </c>
      <c r="N70" s="669">
        <f t="shared" si="4"/>
        <v>0</v>
      </c>
      <c r="O70" s="27">
        <f>ROUND(E70/1000,0)</f>
        <v>61</v>
      </c>
      <c r="P70" s="27">
        <f>ROUND(F70/1000,0)</f>
        <v>0</v>
      </c>
      <c r="Q70" s="669">
        <f t="shared" si="5"/>
        <v>0</v>
      </c>
      <c r="R70" s="27">
        <f>ROUND(H70/1000,0)</f>
        <v>242</v>
      </c>
      <c r="S70" s="27">
        <f>ROUND(I70/1000,0)</f>
        <v>0</v>
      </c>
      <c r="T70" s="669">
        <f t="shared" si="7"/>
        <v>0</v>
      </c>
      <c r="U70" s="466"/>
      <c r="V70" s="466"/>
      <c r="W70" s="466"/>
      <c r="X70" s="466"/>
      <c r="Y70" s="466"/>
      <c r="Z70" s="466"/>
      <c r="AA70" s="466"/>
      <c r="AB70" s="466"/>
      <c r="AC70" s="466"/>
      <c r="AD70" s="466"/>
      <c r="AE70" s="466"/>
      <c r="AF70" s="466"/>
      <c r="AG70" s="466"/>
      <c r="AH70" s="466"/>
      <c r="AI70" s="466"/>
      <c r="AJ70" s="466"/>
      <c r="AK70" s="466"/>
      <c r="AL70" s="466"/>
      <c r="AM70" s="466"/>
      <c r="AN70" s="466"/>
      <c r="AO70" s="466"/>
      <c r="AP70" s="466"/>
      <c r="AQ70" s="466"/>
      <c r="AR70" s="466"/>
      <c r="AS70" s="466"/>
      <c r="AT70" s="466"/>
      <c r="AU70" s="466"/>
      <c r="AV70" s="466"/>
      <c r="AW70" s="466"/>
      <c r="AX70" s="466"/>
      <c r="AY70" s="466"/>
      <c r="AZ70" s="466"/>
      <c r="BA70" s="466"/>
      <c r="BB70" s="466"/>
      <c r="BC70" s="466"/>
      <c r="BD70" s="466"/>
      <c r="BE70" s="466"/>
      <c r="BF70" s="466"/>
      <c r="BG70" s="466"/>
      <c r="BH70" s="466"/>
      <c r="BI70" s="466"/>
      <c r="BJ70" s="466"/>
      <c r="BK70" s="466"/>
      <c r="BL70" s="466"/>
      <c r="BM70" s="466"/>
      <c r="BN70" s="466"/>
      <c r="BO70" s="466"/>
      <c r="BP70" s="466"/>
      <c r="BQ70" s="466"/>
      <c r="BR70" s="466"/>
      <c r="BS70" s="466"/>
      <c r="BT70" s="466"/>
      <c r="BU70" s="466"/>
      <c r="BV70" s="466"/>
      <c r="BW70" s="466"/>
      <c r="BX70" s="466"/>
      <c r="BY70" s="466"/>
      <c r="BZ70" s="466"/>
      <c r="CA70" s="466"/>
      <c r="CB70" s="466"/>
      <c r="CC70" s="466"/>
      <c r="CD70" s="466"/>
      <c r="CE70" s="466"/>
      <c r="CF70" s="466"/>
      <c r="CG70" s="466"/>
      <c r="CH70" s="466"/>
      <c r="CI70" s="466"/>
      <c r="CJ70" s="466"/>
      <c r="CK70" s="466"/>
      <c r="CL70" s="466"/>
      <c r="CM70" s="466"/>
      <c r="CN70" s="466"/>
      <c r="CO70" s="466"/>
      <c r="CP70" s="466"/>
      <c r="CQ70" s="466"/>
      <c r="CR70" s="466"/>
      <c r="CS70" s="466"/>
      <c r="CT70" s="466"/>
      <c r="CU70" s="466"/>
      <c r="CV70" s="466"/>
      <c r="CW70" s="466"/>
      <c r="CX70" s="466"/>
      <c r="CY70" s="466"/>
      <c r="CZ70" s="466"/>
      <c r="DA70" s="466"/>
      <c r="DB70" s="466"/>
      <c r="DC70" s="466"/>
    </row>
    <row r="71" spans="1:107" s="467" customFormat="1" ht="12.75">
      <c r="A71" s="472" t="s">
        <v>354</v>
      </c>
      <c r="B71" s="27">
        <v>368000</v>
      </c>
      <c r="C71" s="27"/>
      <c r="D71" s="669">
        <f t="shared" si="1"/>
        <v>0</v>
      </c>
      <c r="E71" s="27">
        <v>368000</v>
      </c>
      <c r="F71" s="27"/>
      <c r="G71" s="669">
        <f t="shared" si="2"/>
        <v>0</v>
      </c>
      <c r="H71" s="27">
        <v>1611000</v>
      </c>
      <c r="I71" s="27"/>
      <c r="J71" s="669"/>
      <c r="K71" s="472" t="s">
        <v>354</v>
      </c>
      <c r="L71" s="27">
        <f>ROUND(B71/1000,0)</f>
        <v>368</v>
      </c>
      <c r="M71" s="27">
        <f>ROUND(C71/1000,0)</f>
        <v>0</v>
      </c>
      <c r="N71" s="669">
        <f t="shared" si="4"/>
        <v>0</v>
      </c>
      <c r="O71" s="27">
        <f>ROUND(E71/1000,0)</f>
        <v>368</v>
      </c>
      <c r="P71" s="27">
        <f>ROUND(F71/1000,0)</f>
        <v>0</v>
      </c>
      <c r="Q71" s="669">
        <f t="shared" si="5"/>
        <v>0</v>
      </c>
      <c r="R71" s="27">
        <f>ROUND(H71/1000,0)</f>
        <v>1611</v>
      </c>
      <c r="S71" s="27">
        <f>ROUND(I71/1000,0)</f>
        <v>0</v>
      </c>
      <c r="T71" s="669">
        <f t="shared" si="7"/>
        <v>0</v>
      </c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466"/>
      <c r="BO71" s="466"/>
      <c r="BP71" s="466"/>
      <c r="BQ71" s="466"/>
      <c r="BR71" s="466"/>
      <c r="BS71" s="466"/>
      <c r="BT71" s="466"/>
      <c r="BU71" s="466"/>
      <c r="BV71" s="466"/>
      <c r="BW71" s="466"/>
      <c r="BX71" s="466"/>
      <c r="BY71" s="466"/>
      <c r="BZ71" s="466"/>
      <c r="CA71" s="466"/>
      <c r="CB71" s="466"/>
      <c r="CC71" s="466"/>
      <c r="CD71" s="466"/>
      <c r="CE71" s="466"/>
      <c r="CF71" s="466"/>
      <c r="CG71" s="466"/>
      <c r="CH71" s="466"/>
      <c r="CI71" s="466"/>
      <c r="CJ71" s="466"/>
      <c r="CK71" s="466"/>
      <c r="CL71" s="466"/>
      <c r="CM71" s="466"/>
      <c r="CN71" s="466"/>
      <c r="CO71" s="466"/>
      <c r="CP71" s="466"/>
      <c r="CQ71" s="466"/>
      <c r="CR71" s="466"/>
      <c r="CS71" s="466"/>
      <c r="CT71" s="466"/>
      <c r="CU71" s="466"/>
      <c r="CV71" s="466"/>
      <c r="CW71" s="466"/>
      <c r="CX71" s="466"/>
      <c r="CY71" s="466"/>
      <c r="CZ71" s="466"/>
      <c r="DA71" s="466"/>
      <c r="DB71" s="466"/>
      <c r="DC71" s="466"/>
    </row>
    <row r="72" spans="1:20" ht="12.75">
      <c r="A72" s="74" t="s">
        <v>88</v>
      </c>
      <c r="B72" s="470">
        <f>SUM(B73:B76)</f>
        <v>174585</v>
      </c>
      <c r="C72" s="470">
        <f>SUM(C73:C76)</f>
        <v>0</v>
      </c>
      <c r="D72" s="668">
        <f t="shared" si="1"/>
        <v>0</v>
      </c>
      <c r="E72" s="470">
        <f>SUM(E73:E76)</f>
        <v>159876</v>
      </c>
      <c r="F72" s="470">
        <f>SUM(F73:F76)</f>
        <v>0</v>
      </c>
      <c r="G72" s="668">
        <f t="shared" si="2"/>
        <v>0</v>
      </c>
      <c r="H72" s="470">
        <f>SUM(H73:H76)</f>
        <v>1268784</v>
      </c>
      <c r="I72" s="470">
        <f>SUM(I73:I76)</f>
        <v>0</v>
      </c>
      <c r="J72" s="668">
        <f t="shared" si="6"/>
        <v>0</v>
      </c>
      <c r="K72" s="74" t="s">
        <v>88</v>
      </c>
      <c r="L72" s="470">
        <f>SUM(L73:L76)</f>
        <v>174</v>
      </c>
      <c r="M72" s="470">
        <f>SUM(M73:M76)</f>
        <v>0</v>
      </c>
      <c r="N72" s="668">
        <f t="shared" si="4"/>
        <v>0</v>
      </c>
      <c r="O72" s="470">
        <f>SUM(O73:O76)</f>
        <v>159</v>
      </c>
      <c r="P72" s="470">
        <f>SUM(P73:P76)</f>
        <v>0</v>
      </c>
      <c r="Q72" s="668">
        <f t="shared" si="5"/>
        <v>0</v>
      </c>
      <c r="R72" s="470">
        <f>SUM(R73:R76)</f>
        <v>1268</v>
      </c>
      <c r="S72" s="470">
        <f>SUM(S73:S76)</f>
        <v>0</v>
      </c>
      <c r="T72" s="668">
        <f t="shared" si="7"/>
        <v>0</v>
      </c>
    </row>
    <row r="73" spans="1:107" s="467" customFormat="1" ht="12.75">
      <c r="A73" s="472" t="s">
        <v>722</v>
      </c>
      <c r="B73" s="27">
        <v>103272</v>
      </c>
      <c r="C73" s="27"/>
      <c r="D73" s="669">
        <f t="shared" si="1"/>
        <v>0</v>
      </c>
      <c r="E73" s="27">
        <v>103272</v>
      </c>
      <c r="F73" s="27"/>
      <c r="G73" s="669">
        <f t="shared" si="2"/>
        <v>0</v>
      </c>
      <c r="H73" s="27">
        <v>820548</v>
      </c>
      <c r="I73" s="27"/>
      <c r="J73" s="669">
        <f t="shared" si="6"/>
        <v>0</v>
      </c>
      <c r="K73" s="472" t="s">
        <v>722</v>
      </c>
      <c r="L73" s="27">
        <f>ROUND(B73/1000,0)</f>
        <v>103</v>
      </c>
      <c r="M73" s="27">
        <f>ROUND(C73/1000,0)</f>
        <v>0</v>
      </c>
      <c r="N73" s="669">
        <f>M73/L73*100</f>
        <v>0</v>
      </c>
      <c r="O73" s="27">
        <f>ROUND(E73/1000,0)</f>
        <v>103</v>
      </c>
      <c r="P73" s="27">
        <f>ROUND(F73/1000,0)</f>
        <v>0</v>
      </c>
      <c r="Q73" s="669">
        <f>P73/O73*100</f>
        <v>0</v>
      </c>
      <c r="R73" s="27">
        <f>ROUND(H73/1000,0)-1</f>
        <v>820</v>
      </c>
      <c r="S73" s="27">
        <f>ROUND(I73/1000,0)</f>
        <v>0</v>
      </c>
      <c r="T73" s="669">
        <f>S73/R73*100</f>
        <v>0</v>
      </c>
      <c r="U73" s="466"/>
      <c r="V73" s="466"/>
      <c r="W73" s="466"/>
      <c r="X73" s="466"/>
      <c r="Y73" s="466"/>
      <c r="Z73" s="466"/>
      <c r="AA73" s="466"/>
      <c r="AB73" s="466"/>
      <c r="AC73" s="466"/>
      <c r="AD73" s="466"/>
      <c r="AE73" s="466"/>
      <c r="AF73" s="466"/>
      <c r="AG73" s="466"/>
      <c r="AH73" s="466"/>
      <c r="AI73" s="466"/>
      <c r="AJ73" s="466"/>
      <c r="AK73" s="466"/>
      <c r="AL73" s="466"/>
      <c r="AM73" s="466"/>
      <c r="AN73" s="466"/>
      <c r="AO73" s="466"/>
      <c r="AP73" s="466"/>
      <c r="AQ73" s="466"/>
      <c r="AR73" s="466"/>
      <c r="AS73" s="466"/>
      <c r="AT73" s="466"/>
      <c r="AU73" s="466"/>
      <c r="AV73" s="466"/>
      <c r="AW73" s="466"/>
      <c r="AX73" s="466"/>
      <c r="AY73" s="466"/>
      <c r="AZ73" s="466"/>
      <c r="BA73" s="466"/>
      <c r="BB73" s="466"/>
      <c r="BC73" s="466"/>
      <c r="BD73" s="466"/>
      <c r="BE73" s="466"/>
      <c r="BF73" s="466"/>
      <c r="BG73" s="466"/>
      <c r="BH73" s="466"/>
      <c r="BI73" s="466"/>
      <c r="BJ73" s="466"/>
      <c r="BK73" s="466"/>
      <c r="BL73" s="466"/>
      <c r="BM73" s="466"/>
      <c r="BN73" s="466"/>
      <c r="BO73" s="466"/>
      <c r="BP73" s="466"/>
      <c r="BQ73" s="466"/>
      <c r="BR73" s="466"/>
      <c r="BS73" s="466"/>
      <c r="BT73" s="466"/>
      <c r="BU73" s="466"/>
      <c r="BV73" s="466"/>
      <c r="BW73" s="466"/>
      <c r="BX73" s="466"/>
      <c r="BY73" s="466"/>
      <c r="BZ73" s="466"/>
      <c r="CA73" s="466"/>
      <c r="CB73" s="466"/>
      <c r="CC73" s="466"/>
      <c r="CD73" s="466"/>
      <c r="CE73" s="466"/>
      <c r="CF73" s="466"/>
      <c r="CG73" s="466"/>
      <c r="CH73" s="466"/>
      <c r="CI73" s="466"/>
      <c r="CJ73" s="466"/>
      <c r="CK73" s="466"/>
      <c r="CL73" s="466"/>
      <c r="CM73" s="466"/>
      <c r="CN73" s="466"/>
      <c r="CO73" s="466"/>
      <c r="CP73" s="466"/>
      <c r="CQ73" s="466"/>
      <c r="CR73" s="466"/>
      <c r="CS73" s="466"/>
      <c r="CT73" s="466"/>
      <c r="CU73" s="466"/>
      <c r="CV73" s="466"/>
      <c r="CW73" s="466"/>
      <c r="CX73" s="466"/>
      <c r="CY73" s="466"/>
      <c r="CZ73" s="466"/>
      <c r="DA73" s="466"/>
      <c r="DB73" s="466"/>
      <c r="DC73" s="466"/>
    </row>
    <row r="74" spans="1:107" s="467" customFormat="1" ht="12.75">
      <c r="A74" s="472" t="s">
        <v>136</v>
      </c>
      <c r="B74" s="27">
        <v>58103</v>
      </c>
      <c r="C74" s="27"/>
      <c r="D74" s="669">
        <f t="shared" si="1"/>
        <v>0</v>
      </c>
      <c r="E74" s="27">
        <v>54394</v>
      </c>
      <c r="F74" s="27"/>
      <c r="G74" s="669">
        <f t="shared" si="2"/>
        <v>0</v>
      </c>
      <c r="H74" s="27">
        <v>437186</v>
      </c>
      <c r="I74" s="27"/>
      <c r="J74" s="669">
        <f t="shared" si="6"/>
        <v>0</v>
      </c>
      <c r="K74" s="472" t="s">
        <v>136</v>
      </c>
      <c r="L74" s="27">
        <f>ROUND(B74/1000,0)</f>
        <v>58</v>
      </c>
      <c r="M74" s="27">
        <f aca="true" t="shared" si="44" ref="M74:S76">ROUND(C74/1000,0)</f>
        <v>0</v>
      </c>
      <c r="N74" s="669">
        <f t="shared" si="4"/>
        <v>0</v>
      </c>
      <c r="O74" s="27">
        <f>ROUND(E74/1000,0)</f>
        <v>54</v>
      </c>
      <c r="P74" s="27">
        <f t="shared" si="44"/>
        <v>0</v>
      </c>
      <c r="Q74" s="669">
        <f t="shared" si="5"/>
        <v>0</v>
      </c>
      <c r="R74" s="27">
        <f t="shared" si="44"/>
        <v>437</v>
      </c>
      <c r="S74" s="27">
        <f t="shared" si="44"/>
        <v>0</v>
      </c>
      <c r="T74" s="669">
        <f t="shared" si="7"/>
        <v>0</v>
      </c>
      <c r="U74" s="466"/>
      <c r="V74" s="466"/>
      <c r="W74" s="466"/>
      <c r="X74" s="466"/>
      <c r="Y74" s="466"/>
      <c r="Z74" s="466"/>
      <c r="AA74" s="466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6"/>
      <c r="AR74" s="466"/>
      <c r="AS74" s="466"/>
      <c r="AT74" s="466"/>
      <c r="AU74" s="466"/>
      <c r="AV74" s="466"/>
      <c r="AW74" s="466"/>
      <c r="AX74" s="466"/>
      <c r="AY74" s="466"/>
      <c r="AZ74" s="466"/>
      <c r="BA74" s="466"/>
      <c r="BB74" s="466"/>
      <c r="BC74" s="466"/>
      <c r="BD74" s="466"/>
      <c r="BE74" s="466"/>
      <c r="BF74" s="466"/>
      <c r="BG74" s="466"/>
      <c r="BH74" s="466"/>
      <c r="BI74" s="466"/>
      <c r="BJ74" s="466"/>
      <c r="BK74" s="466"/>
      <c r="BL74" s="466"/>
      <c r="BM74" s="466"/>
      <c r="BN74" s="466"/>
      <c r="BO74" s="466"/>
      <c r="BP74" s="466"/>
      <c r="BQ74" s="466"/>
      <c r="BR74" s="466"/>
      <c r="BS74" s="466"/>
      <c r="BT74" s="466"/>
      <c r="BU74" s="466"/>
      <c r="BV74" s="466"/>
      <c r="BW74" s="466"/>
      <c r="BX74" s="466"/>
      <c r="BY74" s="466"/>
      <c r="BZ74" s="466"/>
      <c r="CA74" s="466"/>
      <c r="CB74" s="466"/>
      <c r="CC74" s="466"/>
      <c r="CD74" s="466"/>
      <c r="CE74" s="466"/>
      <c r="CF74" s="466"/>
      <c r="CG74" s="466"/>
      <c r="CH74" s="466"/>
      <c r="CI74" s="466"/>
      <c r="CJ74" s="466"/>
      <c r="CK74" s="466"/>
      <c r="CL74" s="466"/>
      <c r="CM74" s="466"/>
      <c r="CN74" s="466"/>
      <c r="CO74" s="466"/>
      <c r="CP74" s="466"/>
      <c r="CQ74" s="466"/>
      <c r="CR74" s="466"/>
      <c r="CS74" s="466"/>
      <c r="CT74" s="466"/>
      <c r="CU74" s="466"/>
      <c r="CV74" s="466"/>
      <c r="CW74" s="466"/>
      <c r="CX74" s="466"/>
      <c r="CY74" s="466"/>
      <c r="CZ74" s="466"/>
      <c r="DA74" s="466"/>
      <c r="DB74" s="466"/>
      <c r="DC74" s="466"/>
    </row>
    <row r="75" spans="1:107" s="467" customFormat="1" ht="12.75">
      <c r="A75" s="472" t="s">
        <v>723</v>
      </c>
      <c r="B75" s="27">
        <v>2210</v>
      </c>
      <c r="C75" s="27"/>
      <c r="D75" s="669">
        <f t="shared" si="1"/>
        <v>0</v>
      </c>
      <c r="E75" s="27">
        <v>2210</v>
      </c>
      <c r="F75" s="27"/>
      <c r="G75" s="669">
        <f t="shared" si="2"/>
        <v>0</v>
      </c>
      <c r="H75" s="27">
        <v>11050</v>
      </c>
      <c r="I75" s="27"/>
      <c r="J75" s="669">
        <f t="shared" si="6"/>
        <v>0</v>
      </c>
      <c r="K75" s="472" t="s">
        <v>723</v>
      </c>
      <c r="L75" s="27">
        <f>ROUND(B75/1000,0)</f>
        <v>2</v>
      </c>
      <c r="M75" s="27">
        <f t="shared" si="44"/>
        <v>0</v>
      </c>
      <c r="N75" s="669">
        <f t="shared" si="4"/>
        <v>0</v>
      </c>
      <c r="O75" s="27">
        <f t="shared" si="44"/>
        <v>2</v>
      </c>
      <c r="P75" s="27">
        <f t="shared" si="44"/>
        <v>0</v>
      </c>
      <c r="Q75" s="669">
        <f t="shared" si="5"/>
        <v>0</v>
      </c>
      <c r="R75" s="27">
        <f t="shared" si="44"/>
        <v>11</v>
      </c>
      <c r="S75" s="27">
        <f t="shared" si="44"/>
        <v>0</v>
      </c>
      <c r="T75" s="669">
        <f t="shared" si="7"/>
        <v>0</v>
      </c>
      <c r="U75" s="466"/>
      <c r="V75" s="466"/>
      <c r="W75" s="466"/>
      <c r="X75" s="466"/>
      <c r="Y75" s="466"/>
      <c r="Z75" s="466"/>
      <c r="AA75" s="466"/>
      <c r="AB75" s="466"/>
      <c r="AC75" s="466"/>
      <c r="AD75" s="466"/>
      <c r="AE75" s="466"/>
      <c r="AF75" s="466"/>
      <c r="AG75" s="466"/>
      <c r="AH75" s="466"/>
      <c r="AI75" s="466"/>
      <c r="AJ75" s="466"/>
      <c r="AK75" s="466"/>
      <c r="AL75" s="466"/>
      <c r="AM75" s="466"/>
      <c r="AN75" s="466"/>
      <c r="AO75" s="466"/>
      <c r="AP75" s="466"/>
      <c r="AQ75" s="466"/>
      <c r="AR75" s="466"/>
      <c r="AS75" s="466"/>
      <c r="AT75" s="466"/>
      <c r="AU75" s="466"/>
      <c r="AV75" s="466"/>
      <c r="AW75" s="466"/>
      <c r="AX75" s="466"/>
      <c r="AY75" s="466"/>
      <c r="AZ75" s="466"/>
      <c r="BA75" s="466"/>
      <c r="BB75" s="466"/>
      <c r="BC75" s="466"/>
      <c r="BD75" s="466"/>
      <c r="BE75" s="466"/>
      <c r="BF75" s="466"/>
      <c r="BG75" s="466"/>
      <c r="BH75" s="466"/>
      <c r="BI75" s="466"/>
      <c r="BJ75" s="466"/>
      <c r="BK75" s="466"/>
      <c r="BL75" s="466"/>
      <c r="BM75" s="466"/>
      <c r="BN75" s="466"/>
      <c r="BO75" s="466"/>
      <c r="BP75" s="466"/>
      <c r="BQ75" s="466"/>
      <c r="BR75" s="466"/>
      <c r="BS75" s="466"/>
      <c r="BT75" s="466"/>
      <c r="BU75" s="466"/>
      <c r="BV75" s="466"/>
      <c r="BW75" s="466"/>
      <c r="BX75" s="466"/>
      <c r="BY75" s="466"/>
      <c r="BZ75" s="466"/>
      <c r="CA75" s="466"/>
      <c r="CB75" s="466"/>
      <c r="CC75" s="466"/>
      <c r="CD75" s="466"/>
      <c r="CE75" s="466"/>
      <c r="CF75" s="466"/>
      <c r="CG75" s="466"/>
      <c r="CH75" s="466"/>
      <c r="CI75" s="466"/>
      <c r="CJ75" s="466"/>
      <c r="CK75" s="466"/>
      <c r="CL75" s="466"/>
      <c r="CM75" s="466"/>
      <c r="CN75" s="466"/>
      <c r="CO75" s="466"/>
      <c r="CP75" s="466"/>
      <c r="CQ75" s="466"/>
      <c r="CR75" s="466"/>
      <c r="CS75" s="466"/>
      <c r="CT75" s="466"/>
      <c r="CU75" s="466"/>
      <c r="CV75" s="466"/>
      <c r="CW75" s="466"/>
      <c r="CX75" s="466"/>
      <c r="CY75" s="466"/>
      <c r="CZ75" s="466"/>
      <c r="DA75" s="466"/>
      <c r="DB75" s="466"/>
      <c r="DC75" s="466"/>
    </row>
    <row r="76" spans="1:107" s="467" customFormat="1" ht="12.75">
      <c r="A76" s="472" t="s">
        <v>354</v>
      </c>
      <c r="B76" s="27">
        <v>11000</v>
      </c>
      <c r="C76" s="27"/>
      <c r="D76" s="669">
        <f aca="true" t="shared" si="45" ref="D76:D86">C76/B76*100</f>
        <v>0</v>
      </c>
      <c r="E76" s="27"/>
      <c r="F76" s="27"/>
      <c r="G76" s="669"/>
      <c r="H76" s="27"/>
      <c r="I76" s="27"/>
      <c r="J76" s="669"/>
      <c r="K76" s="472" t="s">
        <v>354</v>
      </c>
      <c r="L76" s="27">
        <f>ROUND(B76/1000,0)</f>
        <v>11</v>
      </c>
      <c r="M76" s="27">
        <f t="shared" si="44"/>
        <v>0</v>
      </c>
      <c r="N76" s="669">
        <f aca="true" t="shared" si="46" ref="N76:N86">M76/L76*100</f>
        <v>0</v>
      </c>
      <c r="O76" s="27"/>
      <c r="P76" s="27"/>
      <c r="Q76" s="669"/>
      <c r="R76" s="27"/>
      <c r="S76" s="27"/>
      <c r="T76" s="669"/>
      <c r="U76" s="466"/>
      <c r="V76" s="466"/>
      <c r="W76" s="466"/>
      <c r="X76" s="466"/>
      <c r="Y76" s="466"/>
      <c r="Z76" s="466"/>
      <c r="AA76" s="466"/>
      <c r="AB76" s="466"/>
      <c r="AC76" s="466"/>
      <c r="AD76" s="466"/>
      <c r="AE76" s="466"/>
      <c r="AF76" s="466"/>
      <c r="AG76" s="466"/>
      <c r="AH76" s="466"/>
      <c r="AI76" s="466"/>
      <c r="AJ76" s="466"/>
      <c r="AK76" s="466"/>
      <c r="AL76" s="466"/>
      <c r="AM76" s="466"/>
      <c r="AN76" s="466"/>
      <c r="AO76" s="466"/>
      <c r="AP76" s="466"/>
      <c r="AQ76" s="466"/>
      <c r="AR76" s="466"/>
      <c r="AS76" s="466"/>
      <c r="AT76" s="466"/>
      <c r="AU76" s="466"/>
      <c r="AV76" s="466"/>
      <c r="AW76" s="466"/>
      <c r="AX76" s="466"/>
      <c r="AY76" s="466"/>
      <c r="AZ76" s="466"/>
      <c r="BA76" s="466"/>
      <c r="BB76" s="466"/>
      <c r="BC76" s="466"/>
      <c r="BD76" s="466"/>
      <c r="BE76" s="466"/>
      <c r="BF76" s="466"/>
      <c r="BG76" s="466"/>
      <c r="BH76" s="466"/>
      <c r="BI76" s="466"/>
      <c r="BJ76" s="466"/>
      <c r="BK76" s="466"/>
      <c r="BL76" s="466"/>
      <c r="BM76" s="466"/>
      <c r="BN76" s="466"/>
      <c r="BO76" s="466"/>
      <c r="BP76" s="466"/>
      <c r="BQ76" s="466"/>
      <c r="BR76" s="466"/>
      <c r="BS76" s="466"/>
      <c r="BT76" s="466"/>
      <c r="BU76" s="466"/>
      <c r="BV76" s="466"/>
      <c r="BW76" s="466"/>
      <c r="BX76" s="466"/>
      <c r="BY76" s="466"/>
      <c r="BZ76" s="466"/>
      <c r="CA76" s="466"/>
      <c r="CB76" s="466"/>
      <c r="CC76" s="466"/>
      <c r="CD76" s="466"/>
      <c r="CE76" s="466"/>
      <c r="CF76" s="466"/>
      <c r="CG76" s="466"/>
      <c r="CH76" s="466"/>
      <c r="CI76" s="466"/>
      <c r="CJ76" s="466"/>
      <c r="CK76" s="466"/>
      <c r="CL76" s="466"/>
      <c r="CM76" s="466"/>
      <c r="CN76" s="466"/>
      <c r="CO76" s="466"/>
      <c r="CP76" s="466"/>
      <c r="CQ76" s="466"/>
      <c r="CR76" s="466"/>
      <c r="CS76" s="466"/>
      <c r="CT76" s="466"/>
      <c r="CU76" s="466"/>
      <c r="CV76" s="466"/>
      <c r="CW76" s="466"/>
      <c r="CX76" s="466"/>
      <c r="CY76" s="466"/>
      <c r="CZ76" s="466"/>
      <c r="DA76" s="466"/>
      <c r="DB76" s="466"/>
      <c r="DC76" s="466"/>
    </row>
    <row r="77" spans="1:20" ht="12.75">
      <c r="A77" s="74" t="s">
        <v>90</v>
      </c>
      <c r="B77" s="470">
        <f>SUM(B78)</f>
        <v>500</v>
      </c>
      <c r="C77" s="470">
        <f aca="true" t="shared" si="47" ref="C77:I77">SUM(C78)</f>
        <v>0</v>
      </c>
      <c r="D77" s="668">
        <f t="shared" si="45"/>
        <v>0</v>
      </c>
      <c r="E77" s="470">
        <f t="shared" si="47"/>
        <v>500</v>
      </c>
      <c r="F77" s="470">
        <f t="shared" si="47"/>
        <v>0</v>
      </c>
      <c r="G77" s="668">
        <f aca="true" t="shared" si="48" ref="G77:G86">F77/E77*100</f>
        <v>0</v>
      </c>
      <c r="H77" s="470">
        <f t="shared" si="47"/>
        <v>1000</v>
      </c>
      <c r="I77" s="470">
        <f t="shared" si="47"/>
        <v>0</v>
      </c>
      <c r="J77" s="668">
        <f aca="true" t="shared" si="49" ref="J77:J86">I77/H77*100</f>
        <v>0</v>
      </c>
      <c r="K77" s="74" t="s">
        <v>90</v>
      </c>
      <c r="L77" s="470">
        <f aca="true" t="shared" si="50" ref="L77:S77">SUM(L78)</f>
        <v>1</v>
      </c>
      <c r="M77" s="470">
        <f t="shared" si="50"/>
        <v>0</v>
      </c>
      <c r="N77" s="668">
        <f t="shared" si="46"/>
        <v>0</v>
      </c>
      <c r="O77" s="470">
        <f t="shared" si="50"/>
        <v>1</v>
      </c>
      <c r="P77" s="470">
        <f t="shared" si="50"/>
        <v>0</v>
      </c>
      <c r="Q77" s="668">
        <f aca="true" t="shared" si="51" ref="Q77:Q86">P77/O77*100</f>
        <v>0</v>
      </c>
      <c r="R77" s="470">
        <f t="shared" si="50"/>
        <v>1</v>
      </c>
      <c r="S77" s="470">
        <f t="shared" si="50"/>
        <v>0</v>
      </c>
      <c r="T77" s="668">
        <f aca="true" t="shared" si="52" ref="T77:T84">S77/R77*100</f>
        <v>0</v>
      </c>
    </row>
    <row r="78" spans="1:107" s="467" customFormat="1" ht="12.75">
      <c r="A78" s="472" t="s">
        <v>723</v>
      </c>
      <c r="B78" s="27">
        <v>500</v>
      </c>
      <c r="C78" s="27"/>
      <c r="D78" s="669">
        <f t="shared" si="45"/>
        <v>0</v>
      </c>
      <c r="E78" s="27">
        <v>500</v>
      </c>
      <c r="F78" s="27"/>
      <c r="G78" s="669">
        <f t="shared" si="48"/>
        <v>0</v>
      </c>
      <c r="H78" s="27">
        <v>1000</v>
      </c>
      <c r="I78" s="27"/>
      <c r="J78" s="669">
        <f t="shared" si="49"/>
        <v>0</v>
      </c>
      <c r="K78" s="472" t="s">
        <v>723</v>
      </c>
      <c r="L78" s="27">
        <f aca="true" t="shared" si="53" ref="L78:S78">ROUND(B78/1000,0)</f>
        <v>1</v>
      </c>
      <c r="M78" s="27">
        <f t="shared" si="53"/>
        <v>0</v>
      </c>
      <c r="N78" s="669">
        <f t="shared" si="46"/>
        <v>0</v>
      </c>
      <c r="O78" s="27">
        <f t="shared" si="53"/>
        <v>1</v>
      </c>
      <c r="P78" s="27">
        <f t="shared" si="53"/>
        <v>0</v>
      </c>
      <c r="Q78" s="669">
        <f t="shared" si="51"/>
        <v>0</v>
      </c>
      <c r="R78" s="27">
        <f t="shared" si="53"/>
        <v>1</v>
      </c>
      <c r="S78" s="27">
        <f t="shared" si="53"/>
        <v>0</v>
      </c>
      <c r="T78" s="669">
        <f t="shared" si="52"/>
        <v>0</v>
      </c>
      <c r="U78" s="466"/>
      <c r="V78" s="466"/>
      <c r="W78" s="466"/>
      <c r="X78" s="466"/>
      <c r="Y78" s="466"/>
      <c r="Z78" s="466"/>
      <c r="AA78" s="466"/>
      <c r="AB78" s="466"/>
      <c r="AC78" s="466"/>
      <c r="AD78" s="466"/>
      <c r="AE78" s="466"/>
      <c r="AF78" s="466"/>
      <c r="AG78" s="466"/>
      <c r="AH78" s="466"/>
      <c r="AI78" s="466"/>
      <c r="AJ78" s="466"/>
      <c r="AK78" s="466"/>
      <c r="AL78" s="466"/>
      <c r="AM78" s="466"/>
      <c r="AN78" s="466"/>
      <c r="AO78" s="466"/>
      <c r="AP78" s="466"/>
      <c r="AQ78" s="466"/>
      <c r="AR78" s="466"/>
      <c r="AS78" s="466"/>
      <c r="AT78" s="466"/>
      <c r="AU78" s="466"/>
      <c r="AV78" s="466"/>
      <c r="AW78" s="466"/>
      <c r="AX78" s="466"/>
      <c r="AY78" s="466"/>
      <c r="AZ78" s="466"/>
      <c r="BA78" s="466"/>
      <c r="BB78" s="466"/>
      <c r="BC78" s="466"/>
      <c r="BD78" s="466"/>
      <c r="BE78" s="466"/>
      <c r="BF78" s="466"/>
      <c r="BG78" s="466"/>
      <c r="BH78" s="466"/>
      <c r="BI78" s="466"/>
      <c r="BJ78" s="466"/>
      <c r="BK78" s="466"/>
      <c r="BL78" s="466"/>
      <c r="BM78" s="466"/>
      <c r="BN78" s="466"/>
      <c r="BO78" s="466"/>
      <c r="BP78" s="466"/>
      <c r="BQ78" s="466"/>
      <c r="BR78" s="466"/>
      <c r="BS78" s="466"/>
      <c r="BT78" s="466"/>
      <c r="BU78" s="466"/>
      <c r="BV78" s="466"/>
      <c r="BW78" s="466"/>
      <c r="BX78" s="466"/>
      <c r="BY78" s="466"/>
      <c r="BZ78" s="466"/>
      <c r="CA78" s="466"/>
      <c r="CB78" s="466"/>
      <c r="CC78" s="466"/>
      <c r="CD78" s="466"/>
      <c r="CE78" s="466"/>
      <c r="CF78" s="466"/>
      <c r="CG78" s="466"/>
      <c r="CH78" s="466"/>
      <c r="CI78" s="466"/>
      <c r="CJ78" s="466"/>
      <c r="CK78" s="466"/>
      <c r="CL78" s="466"/>
      <c r="CM78" s="466"/>
      <c r="CN78" s="466"/>
      <c r="CO78" s="466"/>
      <c r="CP78" s="466"/>
      <c r="CQ78" s="466"/>
      <c r="CR78" s="466"/>
      <c r="CS78" s="466"/>
      <c r="CT78" s="466"/>
      <c r="CU78" s="466"/>
      <c r="CV78" s="466"/>
      <c r="CW78" s="466"/>
      <c r="CX78" s="466"/>
      <c r="CY78" s="466"/>
      <c r="CZ78" s="466"/>
      <c r="DA78" s="466"/>
      <c r="DB78" s="466"/>
      <c r="DC78" s="466"/>
    </row>
    <row r="79" spans="1:20" ht="12.75">
      <c r="A79" s="74" t="s">
        <v>98</v>
      </c>
      <c r="B79" s="470">
        <f>SUM(B80)</f>
        <v>600</v>
      </c>
      <c r="C79" s="470">
        <f>SUM(C80)</f>
        <v>0</v>
      </c>
      <c r="D79" s="668">
        <f t="shared" si="45"/>
        <v>0</v>
      </c>
      <c r="E79" s="470">
        <f>SUM(E80)</f>
        <v>600</v>
      </c>
      <c r="F79" s="470">
        <f>SUM(F80)</f>
        <v>0</v>
      </c>
      <c r="G79" s="668">
        <f t="shared" si="48"/>
        <v>0</v>
      </c>
      <c r="H79" s="470">
        <f>SUM(H80)</f>
        <v>0</v>
      </c>
      <c r="I79" s="470">
        <f>SUM(I80)</f>
        <v>0</v>
      </c>
      <c r="J79" s="669" t="e">
        <f t="shared" si="49"/>
        <v>#DIV/0!</v>
      </c>
      <c r="K79" s="74" t="s">
        <v>98</v>
      </c>
      <c r="L79" s="470">
        <f>SUM(L80)</f>
        <v>1</v>
      </c>
      <c r="M79" s="470">
        <f>SUM(M80)</f>
        <v>0</v>
      </c>
      <c r="N79" s="668">
        <f t="shared" si="46"/>
        <v>0</v>
      </c>
      <c r="O79" s="470">
        <f>SUM(O80)</f>
        <v>1</v>
      </c>
      <c r="P79" s="470">
        <f>SUM(P80)</f>
        <v>0</v>
      </c>
      <c r="Q79" s="668">
        <f t="shared" si="51"/>
        <v>0</v>
      </c>
      <c r="R79" s="470">
        <f>SUM(R80)</f>
        <v>0</v>
      </c>
      <c r="S79" s="470">
        <f>SUM(S80)</f>
        <v>0</v>
      </c>
      <c r="T79" s="668"/>
    </row>
    <row r="80" spans="1:107" s="467" customFormat="1" ht="12.75">
      <c r="A80" s="472" t="s">
        <v>723</v>
      </c>
      <c r="B80" s="27">
        <v>600</v>
      </c>
      <c r="C80" s="27"/>
      <c r="D80" s="669">
        <f t="shared" si="45"/>
        <v>0</v>
      </c>
      <c r="E80" s="27">
        <v>600</v>
      </c>
      <c r="F80" s="27"/>
      <c r="G80" s="669">
        <f t="shared" si="48"/>
        <v>0</v>
      </c>
      <c r="H80" s="27"/>
      <c r="I80" s="27"/>
      <c r="J80" s="669" t="e">
        <f t="shared" si="49"/>
        <v>#DIV/0!</v>
      </c>
      <c r="K80" s="472" t="s">
        <v>723</v>
      </c>
      <c r="L80" s="27">
        <f>ROUND(B80/1000,0)</f>
        <v>1</v>
      </c>
      <c r="M80" s="27">
        <f>ROUND(C80/1000,0)</f>
        <v>0</v>
      </c>
      <c r="N80" s="669">
        <f t="shared" si="46"/>
        <v>0</v>
      </c>
      <c r="O80" s="27">
        <f>ROUND(E80/1000,0)</f>
        <v>1</v>
      </c>
      <c r="P80" s="27">
        <f>ROUND(F80/1000,0)</f>
        <v>0</v>
      </c>
      <c r="Q80" s="669">
        <f t="shared" si="51"/>
        <v>0</v>
      </c>
      <c r="R80" s="27"/>
      <c r="S80" s="27"/>
      <c r="T80" s="669"/>
      <c r="U80" s="466"/>
      <c r="V80" s="466"/>
      <c r="W80" s="466"/>
      <c r="X80" s="466"/>
      <c r="Y80" s="466"/>
      <c r="Z80" s="466"/>
      <c r="AA80" s="466"/>
      <c r="AB80" s="466"/>
      <c r="AC80" s="466"/>
      <c r="AD80" s="466"/>
      <c r="AE80" s="466"/>
      <c r="AF80" s="466"/>
      <c r="AG80" s="466"/>
      <c r="AH80" s="466"/>
      <c r="AI80" s="466"/>
      <c r="AJ80" s="466"/>
      <c r="AK80" s="466"/>
      <c r="AL80" s="466"/>
      <c r="AM80" s="466"/>
      <c r="AN80" s="466"/>
      <c r="AO80" s="466"/>
      <c r="AP80" s="466"/>
      <c r="AQ80" s="466"/>
      <c r="AR80" s="466"/>
      <c r="AS80" s="466"/>
      <c r="AT80" s="466"/>
      <c r="AU80" s="466"/>
      <c r="AV80" s="466"/>
      <c r="AW80" s="466"/>
      <c r="AX80" s="466"/>
      <c r="AY80" s="466"/>
      <c r="AZ80" s="466"/>
      <c r="BA80" s="466"/>
      <c r="BB80" s="466"/>
      <c r="BC80" s="466"/>
      <c r="BD80" s="466"/>
      <c r="BE80" s="466"/>
      <c r="BF80" s="466"/>
      <c r="BG80" s="466"/>
      <c r="BH80" s="466"/>
      <c r="BI80" s="466"/>
      <c r="BJ80" s="466"/>
      <c r="BK80" s="466"/>
      <c r="BL80" s="466"/>
      <c r="BM80" s="466"/>
      <c r="BN80" s="466"/>
      <c r="BO80" s="466"/>
      <c r="BP80" s="466"/>
      <c r="BQ80" s="466"/>
      <c r="BR80" s="466"/>
      <c r="BS80" s="466"/>
      <c r="BT80" s="466"/>
      <c r="BU80" s="466"/>
      <c r="BV80" s="466"/>
      <c r="BW80" s="466"/>
      <c r="BX80" s="466"/>
      <c r="BY80" s="466"/>
      <c r="BZ80" s="466"/>
      <c r="CA80" s="466"/>
      <c r="CB80" s="466"/>
      <c r="CC80" s="466"/>
      <c r="CD80" s="466"/>
      <c r="CE80" s="466"/>
      <c r="CF80" s="466"/>
      <c r="CG80" s="466"/>
      <c r="CH80" s="466"/>
      <c r="CI80" s="466"/>
      <c r="CJ80" s="466"/>
      <c r="CK80" s="466"/>
      <c r="CL80" s="466"/>
      <c r="CM80" s="466"/>
      <c r="CN80" s="466"/>
      <c r="CO80" s="466"/>
      <c r="CP80" s="466"/>
      <c r="CQ80" s="466"/>
      <c r="CR80" s="466"/>
      <c r="CS80" s="466"/>
      <c r="CT80" s="466"/>
      <c r="CU80" s="466"/>
      <c r="CV80" s="466"/>
      <c r="CW80" s="466"/>
      <c r="CX80" s="466"/>
      <c r="CY80" s="466"/>
      <c r="CZ80" s="466"/>
      <c r="DA80" s="466"/>
      <c r="DB80" s="466"/>
      <c r="DC80" s="466"/>
    </row>
    <row r="81" spans="1:20" ht="12.75">
      <c r="A81" s="74" t="s">
        <v>102</v>
      </c>
      <c r="B81" s="470">
        <f>B82</f>
        <v>143476</v>
      </c>
      <c r="C81" s="470">
        <f aca="true" t="shared" si="54" ref="C81:I81">C82</f>
        <v>0</v>
      </c>
      <c r="D81" s="668">
        <f t="shared" si="45"/>
        <v>0</v>
      </c>
      <c r="E81" s="470">
        <f t="shared" si="54"/>
        <v>190356</v>
      </c>
      <c r="F81" s="470">
        <f t="shared" si="54"/>
        <v>0</v>
      </c>
      <c r="G81" s="668">
        <f t="shared" si="48"/>
        <v>0</v>
      </c>
      <c r="H81" s="470">
        <f t="shared" si="54"/>
        <v>190356</v>
      </c>
      <c r="I81" s="470">
        <f t="shared" si="54"/>
        <v>0</v>
      </c>
      <c r="J81" s="669">
        <f t="shared" si="49"/>
        <v>0</v>
      </c>
      <c r="K81" s="74" t="s">
        <v>102</v>
      </c>
      <c r="L81" s="470">
        <f>L82</f>
        <v>144</v>
      </c>
      <c r="M81" s="470">
        <f>M82</f>
        <v>0</v>
      </c>
      <c r="N81" s="668">
        <f t="shared" si="46"/>
        <v>0</v>
      </c>
      <c r="O81" s="470">
        <f>O82</f>
        <v>190</v>
      </c>
      <c r="P81" s="470">
        <f>P82</f>
        <v>0</v>
      </c>
      <c r="Q81" s="668">
        <f t="shared" si="51"/>
        <v>0</v>
      </c>
      <c r="R81" s="470">
        <f>R82</f>
        <v>190</v>
      </c>
      <c r="S81" s="470">
        <f>S82</f>
        <v>0</v>
      </c>
      <c r="T81" s="668">
        <f t="shared" si="52"/>
        <v>0</v>
      </c>
    </row>
    <row r="82" spans="1:107" s="467" customFormat="1" ht="12.75">
      <c r="A82" s="472" t="s">
        <v>725</v>
      </c>
      <c r="B82" s="27">
        <v>143476</v>
      </c>
      <c r="C82" s="27"/>
      <c r="D82" s="669">
        <f t="shared" si="45"/>
        <v>0</v>
      </c>
      <c r="E82" s="27">
        <v>190356</v>
      </c>
      <c r="F82" s="27"/>
      <c r="G82" s="669">
        <f t="shared" si="48"/>
        <v>0</v>
      </c>
      <c r="H82" s="27">
        <v>190356</v>
      </c>
      <c r="I82" s="27"/>
      <c r="J82" s="669">
        <f t="shared" si="49"/>
        <v>0</v>
      </c>
      <c r="K82" s="472" t="s">
        <v>725</v>
      </c>
      <c r="L82" s="27">
        <f>ROUND(B82/1000,0)+1</f>
        <v>144</v>
      </c>
      <c r="M82" s="27">
        <f>ROUND(C82/1000,0)</f>
        <v>0</v>
      </c>
      <c r="N82" s="669">
        <f t="shared" si="46"/>
        <v>0</v>
      </c>
      <c r="O82" s="27">
        <f aca="true" t="shared" si="55" ref="O82:P84">ROUND(E82/1000,0)</f>
        <v>190</v>
      </c>
      <c r="P82" s="27">
        <f t="shared" si="55"/>
        <v>0</v>
      </c>
      <c r="Q82" s="669">
        <f t="shared" si="51"/>
        <v>0</v>
      </c>
      <c r="R82" s="27">
        <f aca="true" t="shared" si="56" ref="R82:S84">ROUND(H82/1000,0)</f>
        <v>190</v>
      </c>
      <c r="S82" s="27">
        <f t="shared" si="56"/>
        <v>0</v>
      </c>
      <c r="T82" s="669">
        <f t="shared" si="52"/>
        <v>0</v>
      </c>
      <c r="U82" s="466"/>
      <c r="V82" s="466"/>
      <c r="W82" s="466"/>
      <c r="X82" s="466"/>
      <c r="Y82" s="466"/>
      <c r="Z82" s="466"/>
      <c r="AA82" s="466"/>
      <c r="AB82" s="466"/>
      <c r="AC82" s="466"/>
      <c r="AD82" s="466"/>
      <c r="AE82" s="466"/>
      <c r="AF82" s="466"/>
      <c r="AG82" s="466"/>
      <c r="AH82" s="466"/>
      <c r="AI82" s="466"/>
      <c r="AJ82" s="466"/>
      <c r="AK82" s="466"/>
      <c r="AL82" s="466"/>
      <c r="AM82" s="466"/>
      <c r="AN82" s="466"/>
      <c r="AO82" s="466"/>
      <c r="AP82" s="466"/>
      <c r="AQ82" s="466"/>
      <c r="AR82" s="466"/>
      <c r="AS82" s="466"/>
      <c r="AT82" s="466"/>
      <c r="AU82" s="466"/>
      <c r="AV82" s="466"/>
      <c r="AW82" s="466"/>
      <c r="AX82" s="466"/>
      <c r="AY82" s="466"/>
      <c r="AZ82" s="466"/>
      <c r="BA82" s="466"/>
      <c r="BB82" s="466"/>
      <c r="BC82" s="466"/>
      <c r="BD82" s="466"/>
      <c r="BE82" s="466"/>
      <c r="BF82" s="466"/>
      <c r="BG82" s="466"/>
      <c r="BH82" s="466"/>
      <c r="BI82" s="466"/>
      <c r="BJ82" s="466"/>
      <c r="BK82" s="466"/>
      <c r="BL82" s="466"/>
      <c r="BM82" s="466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6"/>
      <c r="CE82" s="466"/>
      <c r="CF82" s="466"/>
      <c r="CG82" s="466"/>
      <c r="CH82" s="466"/>
      <c r="CI82" s="466"/>
      <c r="CJ82" s="466"/>
      <c r="CK82" s="466"/>
      <c r="CL82" s="466"/>
      <c r="CM82" s="466"/>
      <c r="CN82" s="466"/>
      <c r="CO82" s="466"/>
      <c r="CP82" s="466"/>
      <c r="CQ82" s="466"/>
      <c r="CR82" s="466"/>
      <c r="CS82" s="466"/>
      <c r="CT82" s="466"/>
      <c r="CU82" s="466"/>
      <c r="CV82" s="466"/>
      <c r="CW82" s="466"/>
      <c r="CX82" s="466"/>
      <c r="CY82" s="466"/>
      <c r="CZ82" s="466"/>
      <c r="DA82" s="466"/>
      <c r="DB82" s="466"/>
      <c r="DC82" s="466"/>
    </row>
    <row r="83" spans="1:20" ht="12.75">
      <c r="A83" s="74" t="s">
        <v>103</v>
      </c>
      <c r="B83" s="470">
        <f>SUM(B84)</f>
        <v>216000</v>
      </c>
      <c r="C83" s="470">
        <f aca="true" t="shared" si="57" ref="C83:I83">SUM(C84)</f>
        <v>0</v>
      </c>
      <c r="D83" s="668">
        <f t="shared" si="45"/>
        <v>0</v>
      </c>
      <c r="E83" s="470">
        <f t="shared" si="57"/>
        <v>200000</v>
      </c>
      <c r="F83" s="470">
        <f t="shared" si="57"/>
        <v>0</v>
      </c>
      <c r="G83" s="668">
        <f t="shared" si="48"/>
        <v>0</v>
      </c>
      <c r="H83" s="470">
        <f t="shared" si="57"/>
        <v>400000</v>
      </c>
      <c r="I83" s="470">
        <f t="shared" si="57"/>
        <v>0</v>
      </c>
      <c r="J83" s="669">
        <f t="shared" si="49"/>
        <v>0</v>
      </c>
      <c r="K83" s="74" t="s">
        <v>103</v>
      </c>
      <c r="L83" s="470">
        <f>SUM(L84)</f>
        <v>216</v>
      </c>
      <c r="M83" s="470">
        <f>ROUND(C83/1000,0)</f>
        <v>0</v>
      </c>
      <c r="N83" s="668">
        <f t="shared" si="46"/>
        <v>0</v>
      </c>
      <c r="O83" s="470">
        <f t="shared" si="55"/>
        <v>200</v>
      </c>
      <c r="P83" s="470">
        <f t="shared" si="55"/>
        <v>0</v>
      </c>
      <c r="Q83" s="668">
        <f t="shared" si="51"/>
        <v>0</v>
      </c>
      <c r="R83" s="470">
        <f t="shared" si="56"/>
        <v>400</v>
      </c>
      <c r="S83" s="470">
        <f t="shared" si="56"/>
        <v>0</v>
      </c>
      <c r="T83" s="668">
        <f t="shared" si="52"/>
        <v>0</v>
      </c>
    </row>
    <row r="84" spans="1:107" s="467" customFormat="1" ht="12.75">
      <c r="A84" s="472" t="s">
        <v>354</v>
      </c>
      <c r="B84" s="27">
        <v>216000</v>
      </c>
      <c r="C84" s="27"/>
      <c r="D84" s="669">
        <f t="shared" si="45"/>
        <v>0</v>
      </c>
      <c r="E84" s="27">
        <v>200000</v>
      </c>
      <c r="F84" s="27"/>
      <c r="G84" s="669">
        <f t="shared" si="48"/>
        <v>0</v>
      </c>
      <c r="H84" s="27">
        <v>400000</v>
      </c>
      <c r="I84" s="27"/>
      <c r="J84" s="669">
        <f t="shared" si="49"/>
        <v>0</v>
      </c>
      <c r="K84" s="472" t="s">
        <v>354</v>
      </c>
      <c r="L84" s="27">
        <f>ROUND(B84/1000,0)</f>
        <v>216</v>
      </c>
      <c r="M84" s="27">
        <f>ROUND(C84/1000,0)</f>
        <v>0</v>
      </c>
      <c r="N84" s="669">
        <f t="shared" si="46"/>
        <v>0</v>
      </c>
      <c r="O84" s="27">
        <f t="shared" si="55"/>
        <v>200</v>
      </c>
      <c r="P84" s="27">
        <f t="shared" si="55"/>
        <v>0</v>
      </c>
      <c r="Q84" s="669">
        <f t="shared" si="51"/>
        <v>0</v>
      </c>
      <c r="R84" s="27">
        <f t="shared" si="56"/>
        <v>400</v>
      </c>
      <c r="S84" s="27">
        <f t="shared" si="56"/>
        <v>0</v>
      </c>
      <c r="T84" s="669">
        <f t="shared" si="52"/>
        <v>0</v>
      </c>
      <c r="U84" s="466"/>
      <c r="V84" s="466"/>
      <c r="W84" s="466"/>
      <c r="X84" s="466"/>
      <c r="Y84" s="466"/>
      <c r="Z84" s="466"/>
      <c r="AA84" s="466"/>
      <c r="AB84" s="466"/>
      <c r="AC84" s="466"/>
      <c r="AD84" s="466"/>
      <c r="AE84" s="466"/>
      <c r="AF84" s="466"/>
      <c r="AG84" s="466"/>
      <c r="AH84" s="466"/>
      <c r="AI84" s="466"/>
      <c r="AJ84" s="466"/>
      <c r="AK84" s="466"/>
      <c r="AL84" s="466"/>
      <c r="AM84" s="466"/>
      <c r="AN84" s="466"/>
      <c r="AO84" s="466"/>
      <c r="AP84" s="466"/>
      <c r="AQ84" s="466"/>
      <c r="AR84" s="466"/>
      <c r="AS84" s="466"/>
      <c r="AT84" s="466"/>
      <c r="AU84" s="466"/>
      <c r="AV84" s="466"/>
      <c r="AW84" s="466"/>
      <c r="AX84" s="466"/>
      <c r="AY84" s="466"/>
      <c r="AZ84" s="466"/>
      <c r="BA84" s="466"/>
      <c r="BB84" s="466"/>
      <c r="BC84" s="466"/>
      <c r="BD84" s="466"/>
      <c r="BE84" s="466"/>
      <c r="BF84" s="466"/>
      <c r="BG84" s="466"/>
      <c r="BH84" s="466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6"/>
      <c r="CE84" s="466"/>
      <c r="CF84" s="466"/>
      <c r="CG84" s="466"/>
      <c r="CH84" s="466"/>
      <c r="CI84" s="466"/>
      <c r="CJ84" s="466"/>
      <c r="CK84" s="466"/>
      <c r="CL84" s="466"/>
      <c r="CM84" s="466"/>
      <c r="CN84" s="466"/>
      <c r="CO84" s="466"/>
      <c r="CP84" s="466"/>
      <c r="CQ84" s="466"/>
      <c r="CR84" s="466"/>
      <c r="CS84" s="466"/>
      <c r="CT84" s="466"/>
      <c r="CU84" s="466"/>
      <c r="CV84" s="466"/>
      <c r="CW84" s="466"/>
      <c r="CX84" s="466"/>
      <c r="CY84" s="466"/>
      <c r="CZ84" s="466"/>
      <c r="DA84" s="466"/>
      <c r="DB84" s="466"/>
      <c r="DC84" s="466"/>
    </row>
    <row r="85" spans="1:20" ht="24">
      <c r="A85" s="74" t="s">
        <v>727</v>
      </c>
      <c r="B85" s="470">
        <f>B86</f>
        <v>540000</v>
      </c>
      <c r="C85" s="470">
        <f aca="true" t="shared" si="58" ref="C85:I85">C86</f>
        <v>0</v>
      </c>
      <c r="D85" s="668">
        <f t="shared" si="45"/>
        <v>0</v>
      </c>
      <c r="E85" s="470">
        <f t="shared" si="58"/>
        <v>110000</v>
      </c>
      <c r="F85" s="470">
        <f t="shared" si="58"/>
        <v>0</v>
      </c>
      <c r="G85" s="668">
        <f t="shared" si="48"/>
        <v>0</v>
      </c>
      <c r="H85" s="470">
        <f t="shared" si="58"/>
        <v>0</v>
      </c>
      <c r="I85" s="470">
        <f t="shared" si="58"/>
        <v>0</v>
      </c>
      <c r="J85" s="668" t="e">
        <f t="shared" si="49"/>
        <v>#DIV/0!</v>
      </c>
      <c r="K85" s="59" t="s">
        <v>727</v>
      </c>
      <c r="L85" s="470">
        <f>L86</f>
        <v>540</v>
      </c>
      <c r="M85" s="470">
        <f>M86</f>
        <v>0</v>
      </c>
      <c r="N85" s="668">
        <f t="shared" si="46"/>
        <v>0</v>
      </c>
      <c r="O85" s="470">
        <f>O86</f>
        <v>110</v>
      </c>
      <c r="P85" s="470">
        <f>P86</f>
        <v>0</v>
      </c>
      <c r="Q85" s="668">
        <f t="shared" si="51"/>
        <v>0</v>
      </c>
      <c r="R85" s="470"/>
      <c r="S85" s="470"/>
      <c r="T85" s="668"/>
    </row>
    <row r="86" spans="1:107" s="467" customFormat="1" ht="12.75">
      <c r="A86" s="472" t="s">
        <v>354</v>
      </c>
      <c r="B86" s="27">
        <v>540000</v>
      </c>
      <c r="C86" s="27"/>
      <c r="D86" s="669">
        <f t="shared" si="45"/>
        <v>0</v>
      </c>
      <c r="E86" s="27">
        <v>110000</v>
      </c>
      <c r="F86" s="27"/>
      <c r="G86" s="669">
        <f t="shared" si="48"/>
        <v>0</v>
      </c>
      <c r="H86" s="27"/>
      <c r="I86" s="27"/>
      <c r="J86" s="669" t="e">
        <f t="shared" si="49"/>
        <v>#DIV/0!</v>
      </c>
      <c r="K86" s="472" t="s">
        <v>354</v>
      </c>
      <c r="L86" s="27">
        <f>ROUND(B86/1000,0)</f>
        <v>540</v>
      </c>
      <c r="M86" s="27">
        <f>ROUND(C86/1000,0)</f>
        <v>0</v>
      </c>
      <c r="N86" s="669">
        <f t="shared" si="46"/>
        <v>0</v>
      </c>
      <c r="O86" s="27">
        <f>ROUND(E86/1000,0)</f>
        <v>110</v>
      </c>
      <c r="P86" s="27">
        <f>ROUND(F86/1000,0)</f>
        <v>0</v>
      </c>
      <c r="Q86" s="669">
        <f t="shared" si="51"/>
        <v>0</v>
      </c>
      <c r="R86" s="27"/>
      <c r="S86" s="27"/>
      <c r="T86" s="669"/>
      <c r="U86" s="466"/>
      <c r="V86" s="466"/>
      <c r="W86" s="466"/>
      <c r="X86" s="466"/>
      <c r="Y86" s="466"/>
      <c r="Z86" s="466"/>
      <c r="AA86" s="466"/>
      <c r="AB86" s="466"/>
      <c r="AC86" s="466"/>
      <c r="AD86" s="466"/>
      <c r="AE86" s="466"/>
      <c r="AF86" s="466"/>
      <c r="AG86" s="466"/>
      <c r="AH86" s="466"/>
      <c r="AI86" s="466"/>
      <c r="AJ86" s="466"/>
      <c r="AK86" s="466"/>
      <c r="AL86" s="466"/>
      <c r="AM86" s="466"/>
      <c r="AN86" s="466"/>
      <c r="AO86" s="466"/>
      <c r="AP86" s="466"/>
      <c r="AQ86" s="466"/>
      <c r="AR86" s="466"/>
      <c r="AS86" s="466"/>
      <c r="AT86" s="466"/>
      <c r="AU86" s="466"/>
      <c r="AV86" s="466"/>
      <c r="AW86" s="466"/>
      <c r="AX86" s="466"/>
      <c r="AY86" s="466"/>
      <c r="AZ86" s="466"/>
      <c r="BA86" s="466"/>
      <c r="BB86" s="466"/>
      <c r="BC86" s="466"/>
      <c r="BD86" s="466"/>
      <c r="BE86" s="466"/>
      <c r="BF86" s="466"/>
      <c r="BG86" s="466"/>
      <c r="BH86" s="466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6"/>
      <c r="CE86" s="466"/>
      <c r="CF86" s="466"/>
      <c r="CG86" s="466"/>
      <c r="CH86" s="466"/>
      <c r="CI86" s="466"/>
      <c r="CJ86" s="466"/>
      <c r="CK86" s="466"/>
      <c r="CL86" s="466"/>
      <c r="CM86" s="466"/>
      <c r="CN86" s="466"/>
      <c r="CO86" s="466"/>
      <c r="CP86" s="466"/>
      <c r="CQ86" s="466"/>
      <c r="CR86" s="466"/>
      <c r="CS86" s="466"/>
      <c r="CT86" s="466"/>
      <c r="CU86" s="466"/>
      <c r="CV86" s="466"/>
      <c r="CW86" s="466"/>
      <c r="CX86" s="466"/>
      <c r="CY86" s="466"/>
      <c r="CZ86" s="466"/>
      <c r="DA86" s="466"/>
      <c r="DB86" s="466"/>
      <c r="DC86" s="466"/>
    </row>
    <row r="90" spans="1:20" ht="12.75">
      <c r="A90" s="1"/>
      <c r="B90" s="610"/>
      <c r="C90" s="625"/>
      <c r="D90" s="625"/>
      <c r="E90" s="674"/>
      <c r="F90" s="675"/>
      <c r="G90" s="675"/>
      <c r="H90" s="675"/>
      <c r="I90" s="675"/>
      <c r="J90" s="1"/>
      <c r="K90" s="867" t="s">
        <v>913</v>
      </c>
      <c r="L90" s="867"/>
      <c r="M90" s="867"/>
      <c r="N90" s="867"/>
      <c r="O90" s="867"/>
      <c r="P90" s="867"/>
      <c r="Q90" s="867"/>
      <c r="R90" s="679"/>
      <c r="S90" s="675"/>
      <c r="T90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0</v>
      </c>
    </row>
    <row r="96" spans="10:20" ht="12.75">
      <c r="J96" s="1"/>
      <c r="K96" s="38" t="s">
        <v>885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A6:J6"/>
    <mergeCell ref="K6:T6"/>
    <mergeCell ref="B9:D9"/>
    <mergeCell ref="E9:G9"/>
    <mergeCell ref="H9:J9"/>
    <mergeCell ref="A4:J4"/>
    <mergeCell ref="K4:T4"/>
    <mergeCell ref="A5:J5"/>
    <mergeCell ref="K5:T5"/>
    <mergeCell ref="L9:N9"/>
    <mergeCell ref="O9:Q9"/>
    <mergeCell ref="R9:T9"/>
    <mergeCell ref="K90:Q90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A59" sqref="A59"/>
    </sheetView>
  </sheetViews>
  <sheetFormatPr defaultColWidth="9.140625" defaultRowHeight="12.75"/>
  <cols>
    <col min="1" max="1" width="43.00390625" style="49" customWidth="1"/>
    <col min="2" max="2" width="9.57421875" style="49" customWidth="1"/>
    <col min="3" max="3" width="8.140625" style="49" customWidth="1"/>
    <col min="4" max="4" width="6.140625" style="49" customWidth="1"/>
    <col min="5" max="5" width="9.57421875" style="49" customWidth="1"/>
    <col min="6" max="6" width="7.421875" style="49" customWidth="1"/>
    <col min="7" max="7" width="6.140625" style="49" customWidth="1"/>
    <col min="8" max="8" width="9.57421875" style="49" customWidth="1"/>
    <col min="9" max="9" width="8.140625" style="49" customWidth="1"/>
    <col min="10" max="10" width="6.57421875" style="49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728</v>
      </c>
    </row>
    <row r="2" spans="1:19" ht="17.25" customHeight="1">
      <c r="A2" s="51" t="s">
        <v>39</v>
      </c>
      <c r="B2" s="51"/>
      <c r="C2" s="174"/>
      <c r="D2" s="51"/>
      <c r="E2" s="51"/>
      <c r="F2" s="174"/>
      <c r="G2" s="174"/>
      <c r="H2" s="174"/>
      <c r="I2" s="174"/>
      <c r="K2" s="51" t="s">
        <v>39</v>
      </c>
      <c r="L2" s="51"/>
      <c r="M2" s="174"/>
      <c r="N2" s="51"/>
      <c r="O2" s="51"/>
      <c r="P2" s="174"/>
      <c r="Q2" s="174"/>
      <c r="R2" s="174"/>
      <c r="S2" s="174"/>
    </row>
    <row r="3" spans="1:20" ht="12.75">
      <c r="A3" s="51"/>
      <c r="B3" s="51"/>
      <c r="C3" s="174"/>
      <c r="D3" s="51"/>
      <c r="E3" s="51"/>
      <c r="F3" s="174"/>
      <c r="G3" s="174"/>
      <c r="H3" s="174"/>
      <c r="I3" s="174"/>
      <c r="J3" s="1"/>
      <c r="K3" s="51"/>
      <c r="L3" s="51"/>
      <c r="M3" s="174"/>
      <c r="N3" s="51"/>
      <c r="O3" s="51"/>
      <c r="P3" s="174"/>
      <c r="Q3" s="174"/>
      <c r="R3" s="174"/>
      <c r="S3" s="174"/>
      <c r="T3" s="1"/>
    </row>
    <row r="4" spans="1:20" ht="18.75" customHeight="1">
      <c r="A4" s="866" t="s">
        <v>713</v>
      </c>
      <c r="B4" s="866"/>
      <c r="C4" s="866"/>
      <c r="D4" s="866"/>
      <c r="E4" s="866"/>
      <c r="F4" s="866"/>
      <c r="G4" s="866"/>
      <c r="H4" s="866"/>
      <c r="I4" s="866"/>
      <c r="J4" s="866"/>
      <c r="K4" s="866" t="s">
        <v>712</v>
      </c>
      <c r="L4" s="866"/>
      <c r="M4" s="866"/>
      <c r="N4" s="866"/>
      <c r="O4" s="866"/>
      <c r="P4" s="866"/>
      <c r="Q4" s="866"/>
      <c r="R4" s="866"/>
      <c r="S4" s="866"/>
      <c r="T4" s="866"/>
    </row>
    <row r="5" spans="1:20" ht="18.75" customHeight="1">
      <c r="A5" s="866" t="s">
        <v>729</v>
      </c>
      <c r="B5" s="866"/>
      <c r="C5" s="866"/>
      <c r="D5" s="866"/>
      <c r="E5" s="866"/>
      <c r="F5" s="866"/>
      <c r="G5" s="866"/>
      <c r="H5" s="866"/>
      <c r="I5" s="866"/>
      <c r="J5" s="866"/>
      <c r="K5" s="866" t="s">
        <v>729</v>
      </c>
      <c r="L5" s="866"/>
      <c r="M5" s="866"/>
      <c r="N5" s="866"/>
      <c r="O5" s="866"/>
      <c r="P5" s="866"/>
      <c r="Q5" s="866"/>
      <c r="R5" s="866"/>
      <c r="S5" s="866"/>
      <c r="T5" s="866"/>
    </row>
    <row r="6" spans="1:20" ht="19.5" customHeight="1">
      <c r="A6" s="866" t="s">
        <v>914</v>
      </c>
      <c r="B6" s="866"/>
      <c r="C6" s="866"/>
      <c r="D6" s="866"/>
      <c r="E6" s="866"/>
      <c r="F6" s="866"/>
      <c r="G6" s="866"/>
      <c r="H6" s="866"/>
      <c r="I6" s="866"/>
      <c r="J6" s="866"/>
      <c r="K6" s="851" t="s">
        <v>833</v>
      </c>
      <c r="L6" s="851"/>
      <c r="M6" s="851"/>
      <c r="N6" s="851"/>
      <c r="O6" s="851"/>
      <c r="P6" s="851"/>
      <c r="Q6" s="851"/>
      <c r="R6" s="851"/>
      <c r="S6" s="851"/>
      <c r="T6" s="851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382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957</v>
      </c>
    </row>
    <row r="9" spans="1:20" s="38" customFormat="1" ht="24" customHeight="1">
      <c r="A9" s="662"/>
      <c r="B9" s="920" t="s">
        <v>715</v>
      </c>
      <c r="C9" s="921"/>
      <c r="D9" s="922"/>
      <c r="E9" s="920" t="s">
        <v>716</v>
      </c>
      <c r="F9" s="921"/>
      <c r="G9" s="922"/>
      <c r="H9" s="923" t="s">
        <v>717</v>
      </c>
      <c r="I9" s="924"/>
      <c r="J9" s="925"/>
      <c r="K9" s="662"/>
      <c r="L9" s="920" t="s">
        <v>715</v>
      </c>
      <c r="M9" s="921"/>
      <c r="N9" s="922"/>
      <c r="O9" s="920" t="s">
        <v>716</v>
      </c>
      <c r="P9" s="921"/>
      <c r="Q9" s="922"/>
      <c r="R9" s="923" t="s">
        <v>717</v>
      </c>
      <c r="S9" s="924"/>
      <c r="T9" s="925"/>
    </row>
    <row r="10" spans="1:20" ht="56.25">
      <c r="A10" s="580" t="s">
        <v>791</v>
      </c>
      <c r="B10" s="663" t="s">
        <v>718</v>
      </c>
      <c r="C10" s="9" t="s">
        <v>719</v>
      </c>
      <c r="D10" s="9" t="s">
        <v>453</v>
      </c>
      <c r="E10" s="9" t="s">
        <v>718</v>
      </c>
      <c r="F10" s="9" t="s">
        <v>719</v>
      </c>
      <c r="G10" s="9" t="s">
        <v>720</v>
      </c>
      <c r="H10" s="9" t="s">
        <v>718</v>
      </c>
      <c r="I10" s="9" t="s">
        <v>719</v>
      </c>
      <c r="J10" s="9" t="s">
        <v>721</v>
      </c>
      <c r="K10" s="580" t="s">
        <v>791</v>
      </c>
      <c r="L10" s="663" t="s">
        <v>718</v>
      </c>
      <c r="M10" s="9" t="s">
        <v>719</v>
      </c>
      <c r="N10" s="9" t="s">
        <v>453</v>
      </c>
      <c r="O10" s="9" t="s">
        <v>718</v>
      </c>
      <c r="P10" s="9" t="s">
        <v>719</v>
      </c>
      <c r="Q10" s="9" t="s">
        <v>720</v>
      </c>
      <c r="R10" s="9" t="s">
        <v>718</v>
      </c>
      <c r="S10" s="9" t="s">
        <v>719</v>
      </c>
      <c r="T10" s="9" t="s">
        <v>721</v>
      </c>
    </row>
    <row r="11" spans="1:20" ht="12.75">
      <c r="A11" s="580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80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56" t="s">
        <v>631</v>
      </c>
      <c r="B12" s="387">
        <f>B17+B20+B22+B27+B31+B34</f>
        <v>29100897</v>
      </c>
      <c r="C12" s="387">
        <f>C17+C20+C22+C27+C31+C34</f>
        <v>0</v>
      </c>
      <c r="D12" s="664">
        <f>C12/B12*100</f>
        <v>0</v>
      </c>
      <c r="E12" s="387">
        <f>E17+E20+E22+E27+E31+E34</f>
        <v>24232058</v>
      </c>
      <c r="F12" s="387">
        <f>F17+F20+F22+F27+F31+F34</f>
        <v>0</v>
      </c>
      <c r="G12" s="664">
        <f>F12/E12*100</f>
        <v>0</v>
      </c>
      <c r="H12" s="387">
        <f>H17+H20+H22+H27+H31+H34</f>
        <v>73638787</v>
      </c>
      <c r="I12" s="387">
        <f>I17+I20+I22+I27+I31+I34</f>
        <v>0</v>
      </c>
      <c r="J12" s="664">
        <f>I12/H12*100</f>
        <v>0</v>
      </c>
      <c r="K12" s="92" t="s">
        <v>631</v>
      </c>
      <c r="L12" s="387">
        <f>L17+L20+L22+L27+L31+L34</f>
        <v>29101</v>
      </c>
      <c r="M12" s="387">
        <f>M17+M20+M22+M27+M31+M34</f>
        <v>0</v>
      </c>
      <c r="N12" s="664">
        <f>M12/L12*100</f>
        <v>0</v>
      </c>
      <c r="O12" s="387">
        <f>O17+O20+O22+O27+O31+O34</f>
        <v>24232</v>
      </c>
      <c r="P12" s="387">
        <f>P17+P20+P22+P27+P31+P34</f>
        <v>0</v>
      </c>
      <c r="Q12" s="664">
        <f>P12/O12*100</f>
        <v>0</v>
      </c>
      <c r="R12" s="387">
        <f>R17+R20+R22+R27+R31+R34</f>
        <v>73639</v>
      </c>
      <c r="S12" s="387">
        <f>S17+S20+S22+S27+S31+S34</f>
        <v>0</v>
      </c>
      <c r="T12" s="664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67" customFormat="1" ht="15" customHeight="1">
      <c r="A13" s="680" t="s">
        <v>722</v>
      </c>
      <c r="B13" s="468">
        <f>B18+B23+B28+B35</f>
        <v>5956047</v>
      </c>
      <c r="C13" s="468">
        <f>C18+C23+C28+C35</f>
        <v>0</v>
      </c>
      <c r="D13" s="558">
        <f aca="true" t="shared" si="0" ref="D13:D36">C13/B13*100</f>
        <v>0</v>
      </c>
      <c r="E13" s="468">
        <f>E18+E23+E28+E35</f>
        <v>7448246</v>
      </c>
      <c r="F13" s="468">
        <f>F18+F23+F28+F35</f>
        <v>0</v>
      </c>
      <c r="G13" s="558">
        <f aca="true" t="shared" si="1" ref="G13:G36">F13/E13*100</f>
        <v>0</v>
      </c>
      <c r="H13" s="468">
        <f>H18+H23+H28+H35</f>
        <v>40690398</v>
      </c>
      <c r="I13" s="468">
        <f>I18+I23+I28+I35</f>
        <v>0</v>
      </c>
      <c r="J13" s="558">
        <f>I13/H13*100</f>
        <v>0</v>
      </c>
      <c r="K13" s="680" t="s">
        <v>722</v>
      </c>
      <c r="L13" s="468">
        <f>L18+L23+L28+L35</f>
        <v>5956</v>
      </c>
      <c r="M13" s="468">
        <f>M18+M23+M28+M35</f>
        <v>0</v>
      </c>
      <c r="N13" s="558">
        <f aca="true" t="shared" si="2" ref="N13:N36">M13/L13*100</f>
        <v>0</v>
      </c>
      <c r="O13" s="468">
        <f>O18+O23+O28+O35</f>
        <v>7448</v>
      </c>
      <c r="P13" s="468">
        <f>P18+P23+P28+P35</f>
        <v>0</v>
      </c>
      <c r="Q13" s="558">
        <f aca="true" t="shared" si="3" ref="Q13:Q36">P13/O13*100</f>
        <v>0</v>
      </c>
      <c r="R13" s="468">
        <f>R18+R23+R28+R35</f>
        <v>40690</v>
      </c>
      <c r="S13" s="468">
        <f>S18+S23+S28+S35</f>
        <v>0</v>
      </c>
      <c r="T13" s="558">
        <f>S13/R13*100</f>
        <v>0</v>
      </c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666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  <c r="BG13" s="666"/>
      <c r="BH13" s="666"/>
      <c r="BI13" s="666"/>
      <c r="BJ13" s="666"/>
      <c r="BK13" s="666"/>
      <c r="BL13" s="666"/>
      <c r="BM13" s="666"/>
      <c r="BN13" s="666"/>
      <c r="BO13" s="666"/>
      <c r="BP13" s="666"/>
      <c r="BQ13" s="666"/>
      <c r="BR13" s="666"/>
      <c r="BS13" s="666"/>
      <c r="BT13" s="666"/>
      <c r="BU13" s="666"/>
      <c r="BV13" s="666"/>
      <c r="BW13" s="666"/>
      <c r="BX13" s="666"/>
      <c r="BY13" s="666"/>
      <c r="BZ13" s="666"/>
      <c r="CA13" s="666"/>
      <c r="CB13" s="666"/>
      <c r="CC13" s="666"/>
      <c r="CD13" s="666"/>
      <c r="CE13" s="666"/>
      <c r="CF13" s="666"/>
      <c r="CG13" s="666"/>
      <c r="CH13" s="666"/>
      <c r="CI13" s="666"/>
      <c r="CJ13" s="666"/>
      <c r="CK13" s="666"/>
      <c r="CL13" s="666"/>
      <c r="CM13" s="666"/>
      <c r="CN13" s="666"/>
      <c r="CO13" s="666"/>
      <c r="CP13" s="666"/>
      <c r="CQ13" s="666"/>
      <c r="CR13" s="666"/>
      <c r="CS13" s="666"/>
      <c r="CT13" s="666"/>
      <c r="CU13" s="666"/>
      <c r="CV13" s="666"/>
      <c r="CW13" s="666"/>
      <c r="CX13" s="666"/>
      <c r="CY13" s="666"/>
      <c r="CZ13" s="666"/>
      <c r="DA13" s="666"/>
      <c r="DB13" s="666"/>
      <c r="DC13" s="666"/>
    </row>
    <row r="14" spans="1:107" s="74" customFormat="1" ht="13.5" customHeight="1">
      <c r="A14" s="665" t="s">
        <v>136</v>
      </c>
      <c r="B14" s="468">
        <f>B19+B24+B29+B36</f>
        <v>4068582</v>
      </c>
      <c r="C14" s="468">
        <f>C19+C24+C29+C36</f>
        <v>0</v>
      </c>
      <c r="D14" s="558">
        <f t="shared" si="0"/>
        <v>0</v>
      </c>
      <c r="E14" s="468">
        <f>E19+E24+E29+E36</f>
        <v>3809994</v>
      </c>
      <c r="F14" s="468">
        <f>F19+F24+F29+F36</f>
        <v>0</v>
      </c>
      <c r="G14" s="558">
        <f t="shared" si="1"/>
        <v>0</v>
      </c>
      <c r="H14" s="468">
        <f>H19+H24+H29+H36</f>
        <v>7614289</v>
      </c>
      <c r="I14" s="468">
        <f>I19+I24+I29+I36</f>
        <v>0</v>
      </c>
      <c r="J14" s="558">
        <f>I14/H14*100</f>
        <v>0</v>
      </c>
      <c r="K14" s="665" t="s">
        <v>136</v>
      </c>
      <c r="L14" s="468">
        <f>L19+L24+L29+L36</f>
        <v>4068</v>
      </c>
      <c r="M14" s="468">
        <f>M19+M24+M29+M36</f>
        <v>0</v>
      </c>
      <c r="N14" s="558">
        <f t="shared" si="2"/>
        <v>0</v>
      </c>
      <c r="O14" s="468">
        <f>O19+O24+O29+O36</f>
        <v>3810</v>
      </c>
      <c r="P14" s="468">
        <f>P19+P24+P29+P36</f>
        <v>0</v>
      </c>
      <c r="Q14" s="558">
        <f t="shared" si="3"/>
        <v>0</v>
      </c>
      <c r="R14" s="468">
        <f>R19+R24+R29+R36</f>
        <v>7615</v>
      </c>
      <c r="S14" s="468">
        <f>S19+S24+S29+S36</f>
        <v>0</v>
      </c>
      <c r="T14" s="558">
        <f>S14/R14*100</f>
        <v>0</v>
      </c>
      <c r="U14" s="666"/>
      <c r="V14" s="666"/>
      <c r="W14" s="666"/>
      <c r="X14" s="666"/>
      <c r="Y14" s="666"/>
      <c r="Z14" s="666"/>
      <c r="AA14" s="666"/>
      <c r="AB14" s="666"/>
      <c r="AC14" s="666"/>
      <c r="AD14" s="666"/>
      <c r="AE14" s="666"/>
      <c r="AF14" s="666"/>
      <c r="AG14" s="666"/>
      <c r="AH14" s="666"/>
      <c r="AI14" s="666"/>
      <c r="AJ14" s="666"/>
      <c r="AK14" s="666"/>
      <c r="AL14" s="666"/>
      <c r="AM14" s="666"/>
      <c r="AN14" s="666"/>
      <c r="AO14" s="666"/>
      <c r="AP14" s="666"/>
      <c r="AQ14" s="666"/>
      <c r="AR14" s="666"/>
      <c r="AS14" s="666"/>
      <c r="AT14" s="666"/>
      <c r="AU14" s="666"/>
      <c r="AV14" s="666"/>
      <c r="AW14" s="666"/>
      <c r="AX14" s="666"/>
      <c r="AY14" s="666"/>
      <c r="AZ14" s="666"/>
      <c r="BA14" s="666"/>
      <c r="BB14" s="666"/>
      <c r="BC14" s="666"/>
      <c r="BD14" s="666"/>
      <c r="BE14" s="666"/>
      <c r="BF14" s="666"/>
      <c r="BG14" s="666"/>
      <c r="BH14" s="666"/>
      <c r="BI14" s="666"/>
      <c r="BJ14" s="666"/>
      <c r="BK14" s="666"/>
      <c r="BL14" s="666"/>
      <c r="BM14" s="666"/>
      <c r="BN14" s="666"/>
      <c r="BO14" s="666"/>
      <c r="BP14" s="666"/>
      <c r="BQ14" s="666"/>
      <c r="BR14" s="666"/>
      <c r="BS14" s="666"/>
      <c r="BT14" s="666"/>
      <c r="BU14" s="666"/>
      <c r="BV14" s="666"/>
      <c r="BW14" s="666"/>
      <c r="BX14" s="666"/>
      <c r="BY14" s="666"/>
      <c r="BZ14" s="666"/>
      <c r="CA14" s="666"/>
      <c r="CB14" s="666"/>
      <c r="CC14" s="666"/>
      <c r="CD14" s="666"/>
      <c r="CE14" s="666"/>
      <c r="CF14" s="666"/>
      <c r="CG14" s="666"/>
      <c r="CH14" s="666"/>
      <c r="CI14" s="666"/>
      <c r="CJ14" s="666"/>
      <c r="CK14" s="666"/>
      <c r="CL14" s="666"/>
      <c r="CM14" s="666"/>
      <c r="CN14" s="666"/>
      <c r="CO14" s="666"/>
      <c r="CP14" s="666"/>
      <c r="CQ14" s="666"/>
      <c r="CR14" s="666"/>
      <c r="CS14" s="666"/>
      <c r="CT14" s="666"/>
      <c r="CU14" s="666"/>
      <c r="CV14" s="666"/>
      <c r="CW14" s="666"/>
      <c r="CX14" s="666"/>
      <c r="CY14" s="666"/>
      <c r="CZ14" s="666"/>
      <c r="DA14" s="666"/>
      <c r="DB14" s="666"/>
      <c r="DC14" s="666"/>
    </row>
    <row r="15" spans="1:107" s="74" customFormat="1" ht="14.25" customHeight="1">
      <c r="A15" s="464" t="s">
        <v>723</v>
      </c>
      <c r="B15" s="468">
        <f>B25+B32</f>
        <v>93700</v>
      </c>
      <c r="C15" s="468">
        <f>C25+C32</f>
        <v>0</v>
      </c>
      <c r="D15" s="558">
        <f t="shared" si="0"/>
        <v>0</v>
      </c>
      <c r="E15" s="468">
        <f>E25+E32</f>
        <v>102550</v>
      </c>
      <c r="F15" s="468">
        <f>F25+F32</f>
        <v>0</v>
      </c>
      <c r="G15" s="558">
        <f t="shared" si="1"/>
        <v>0</v>
      </c>
      <c r="H15" s="468">
        <f>H25+H32</f>
        <v>129100</v>
      </c>
      <c r="I15" s="468">
        <f>I25+I32</f>
        <v>0</v>
      </c>
      <c r="J15" s="558">
        <f>I15/H15*100</f>
        <v>0</v>
      </c>
      <c r="K15" s="464" t="s">
        <v>723</v>
      </c>
      <c r="L15" s="468">
        <f>L25+L32</f>
        <v>94</v>
      </c>
      <c r="M15" s="468">
        <f>M25+M32</f>
        <v>0</v>
      </c>
      <c r="N15" s="558">
        <f t="shared" si="2"/>
        <v>0</v>
      </c>
      <c r="O15" s="468">
        <f>O25+O32</f>
        <v>103</v>
      </c>
      <c r="P15" s="468">
        <f>P25+P32</f>
        <v>0</v>
      </c>
      <c r="Q15" s="558">
        <f t="shared" si="3"/>
        <v>0</v>
      </c>
      <c r="R15" s="468">
        <f>R25+R32</f>
        <v>129</v>
      </c>
      <c r="S15" s="468">
        <f>S25+S32</f>
        <v>0</v>
      </c>
      <c r="T15" s="558">
        <f>S15/R15*100</f>
        <v>0</v>
      </c>
      <c r="U15" s="666"/>
      <c r="V15" s="666"/>
      <c r="W15" s="666"/>
      <c r="X15" s="666"/>
      <c r="Y15" s="666"/>
      <c r="Z15" s="666"/>
      <c r="AA15" s="666"/>
      <c r="AB15" s="666"/>
      <c r="AC15" s="666"/>
      <c r="AD15" s="666"/>
      <c r="AE15" s="666"/>
      <c r="AF15" s="666"/>
      <c r="AG15" s="666"/>
      <c r="AH15" s="666"/>
      <c r="AI15" s="666"/>
      <c r="AJ15" s="666"/>
      <c r="AK15" s="666"/>
      <c r="AL15" s="666"/>
      <c r="AM15" s="666"/>
      <c r="AN15" s="666"/>
      <c r="AO15" s="666"/>
      <c r="AP15" s="666"/>
      <c r="AQ15" s="666"/>
      <c r="AR15" s="666"/>
      <c r="AS15" s="666"/>
      <c r="AT15" s="666"/>
      <c r="AU15" s="666"/>
      <c r="AV15" s="666"/>
      <c r="AW15" s="666"/>
      <c r="AX15" s="666"/>
      <c r="AY15" s="666"/>
      <c r="AZ15" s="666"/>
      <c r="BA15" s="666"/>
      <c r="BB15" s="666"/>
      <c r="BC15" s="666"/>
      <c r="BD15" s="666"/>
      <c r="BE15" s="666"/>
      <c r="BF15" s="666"/>
      <c r="BG15" s="666"/>
      <c r="BH15" s="666"/>
      <c r="BI15" s="666"/>
      <c r="BJ15" s="666"/>
      <c r="BK15" s="666"/>
      <c r="BL15" s="666"/>
      <c r="BM15" s="666"/>
      <c r="BN15" s="666"/>
      <c r="BO15" s="666"/>
      <c r="BP15" s="666"/>
      <c r="BQ15" s="666"/>
      <c r="BR15" s="666"/>
      <c r="BS15" s="666"/>
      <c r="BT15" s="666"/>
      <c r="BU15" s="666"/>
      <c r="BV15" s="666"/>
      <c r="BW15" s="666"/>
      <c r="BX15" s="666"/>
      <c r="BY15" s="666"/>
      <c r="BZ15" s="666"/>
      <c r="CA15" s="666"/>
      <c r="CB15" s="666"/>
      <c r="CC15" s="666"/>
      <c r="CD15" s="666"/>
      <c r="CE15" s="666"/>
      <c r="CF15" s="666"/>
      <c r="CG15" s="666"/>
      <c r="CH15" s="666"/>
      <c r="CI15" s="666"/>
      <c r="CJ15" s="666"/>
      <c r="CK15" s="666"/>
      <c r="CL15" s="666"/>
      <c r="CM15" s="666"/>
      <c r="CN15" s="666"/>
      <c r="CO15" s="666"/>
      <c r="CP15" s="666"/>
      <c r="CQ15" s="666"/>
      <c r="CR15" s="666"/>
      <c r="CS15" s="666"/>
      <c r="CT15" s="666"/>
      <c r="CU15" s="666"/>
      <c r="CV15" s="666"/>
      <c r="CW15" s="666"/>
      <c r="CX15" s="666"/>
      <c r="CY15" s="666"/>
      <c r="CZ15" s="666"/>
      <c r="DA15" s="666"/>
      <c r="DB15" s="666"/>
      <c r="DC15" s="666"/>
    </row>
    <row r="16" spans="1:107" s="74" customFormat="1" ht="14.25" customHeight="1">
      <c r="A16" s="464" t="s">
        <v>354</v>
      </c>
      <c r="B16" s="468">
        <f>B21+B26+B30+B33</f>
        <v>18982568</v>
      </c>
      <c r="C16" s="468">
        <f aca="true" t="shared" si="4" ref="C16:I16">C21+C26+C30+C33</f>
        <v>0</v>
      </c>
      <c r="D16" s="558">
        <f t="shared" si="0"/>
        <v>0</v>
      </c>
      <c r="E16" s="468">
        <f t="shared" si="4"/>
        <v>12871268</v>
      </c>
      <c r="F16" s="468">
        <f t="shared" si="4"/>
        <v>0</v>
      </c>
      <c r="G16" s="558">
        <f t="shared" si="1"/>
        <v>0</v>
      </c>
      <c r="H16" s="468">
        <f t="shared" si="4"/>
        <v>25205000</v>
      </c>
      <c r="I16" s="468">
        <f t="shared" si="4"/>
        <v>0</v>
      </c>
      <c r="J16" s="558">
        <f aca="true" t="shared" si="5" ref="J16:J36">I16/H16*100</f>
        <v>0</v>
      </c>
      <c r="K16" s="464" t="s">
        <v>354</v>
      </c>
      <c r="L16" s="468">
        <f>L21+L26+L30+L33</f>
        <v>18983</v>
      </c>
      <c r="M16" s="468">
        <f aca="true" t="shared" si="6" ref="M16:S16">M21+M26+M30+M33</f>
        <v>0</v>
      </c>
      <c r="N16" s="558">
        <f t="shared" si="2"/>
        <v>0</v>
      </c>
      <c r="O16" s="468">
        <f t="shared" si="6"/>
        <v>12871</v>
      </c>
      <c r="P16" s="468">
        <f t="shared" si="6"/>
        <v>0</v>
      </c>
      <c r="Q16" s="558">
        <f t="shared" si="3"/>
        <v>0</v>
      </c>
      <c r="R16" s="468">
        <f t="shared" si="6"/>
        <v>25205</v>
      </c>
      <c r="S16" s="468">
        <f t="shared" si="6"/>
        <v>0</v>
      </c>
      <c r="T16" s="558">
        <f aca="true" t="shared" si="7" ref="T16:T36">S16/R16*100</f>
        <v>0</v>
      </c>
      <c r="U16" s="666"/>
      <c r="V16" s="666"/>
      <c r="W16" s="666"/>
      <c r="X16" s="666"/>
      <c r="Y16" s="666"/>
      <c r="Z16" s="666"/>
      <c r="AA16" s="666"/>
      <c r="AB16" s="666"/>
      <c r="AC16" s="666"/>
      <c r="AD16" s="666"/>
      <c r="AE16" s="666"/>
      <c r="AF16" s="666"/>
      <c r="AG16" s="666"/>
      <c r="AH16" s="666"/>
      <c r="AI16" s="666"/>
      <c r="AJ16" s="666"/>
      <c r="AK16" s="666"/>
      <c r="AL16" s="666"/>
      <c r="AM16" s="666"/>
      <c r="AN16" s="666"/>
      <c r="AO16" s="666"/>
      <c r="AP16" s="666"/>
      <c r="AQ16" s="666"/>
      <c r="AR16" s="666"/>
      <c r="AS16" s="666"/>
      <c r="AT16" s="666"/>
      <c r="AU16" s="666"/>
      <c r="AV16" s="666"/>
      <c r="AW16" s="666"/>
      <c r="AX16" s="666"/>
      <c r="AY16" s="666"/>
      <c r="AZ16" s="666"/>
      <c r="BA16" s="666"/>
      <c r="BB16" s="666"/>
      <c r="BC16" s="666"/>
      <c r="BD16" s="666"/>
      <c r="BE16" s="666"/>
      <c r="BF16" s="666"/>
      <c r="BG16" s="666"/>
      <c r="BH16" s="666"/>
      <c r="BI16" s="666"/>
      <c r="BJ16" s="666"/>
      <c r="BK16" s="666"/>
      <c r="BL16" s="666"/>
      <c r="BM16" s="666"/>
      <c r="BN16" s="666"/>
      <c r="BO16" s="666"/>
      <c r="BP16" s="666"/>
      <c r="BQ16" s="666"/>
      <c r="BR16" s="666"/>
      <c r="BS16" s="666"/>
      <c r="BT16" s="666"/>
      <c r="BU16" s="666"/>
      <c r="BV16" s="666"/>
      <c r="BW16" s="666"/>
      <c r="BX16" s="666"/>
      <c r="BY16" s="666"/>
      <c r="BZ16" s="666"/>
      <c r="CA16" s="666"/>
      <c r="CB16" s="666"/>
      <c r="CC16" s="666"/>
      <c r="CD16" s="666"/>
      <c r="CE16" s="666"/>
      <c r="CF16" s="666"/>
      <c r="CG16" s="666"/>
      <c r="CH16" s="666"/>
      <c r="CI16" s="666"/>
      <c r="CJ16" s="666"/>
      <c r="CK16" s="666"/>
      <c r="CL16" s="666"/>
      <c r="CM16" s="666"/>
      <c r="CN16" s="666"/>
      <c r="CO16" s="666"/>
      <c r="CP16" s="666"/>
      <c r="CQ16" s="666"/>
      <c r="CR16" s="666"/>
      <c r="CS16" s="666"/>
      <c r="CT16" s="666"/>
      <c r="CU16" s="666"/>
      <c r="CV16" s="666"/>
      <c r="CW16" s="666"/>
      <c r="CX16" s="666"/>
      <c r="CY16" s="666"/>
      <c r="CZ16" s="666"/>
      <c r="DA16" s="666"/>
      <c r="DB16" s="666"/>
      <c r="DC16" s="666"/>
    </row>
    <row r="17" spans="1:20" ht="12.75">
      <c r="A17" s="74" t="s">
        <v>74</v>
      </c>
      <c r="B17" s="470">
        <f aca="true" t="shared" si="8" ref="B17:I17">SUM(B18:B19)</f>
        <v>1525152</v>
      </c>
      <c r="C17" s="470">
        <f t="shared" si="8"/>
        <v>0</v>
      </c>
      <c r="D17" s="668">
        <f t="shared" si="0"/>
        <v>0</v>
      </c>
      <c r="E17" s="470">
        <f t="shared" si="8"/>
        <v>1723618</v>
      </c>
      <c r="F17" s="470">
        <f t="shared" si="8"/>
        <v>0</v>
      </c>
      <c r="G17" s="668">
        <f t="shared" si="1"/>
        <v>0</v>
      </c>
      <c r="H17" s="470">
        <f t="shared" si="8"/>
        <v>0</v>
      </c>
      <c r="I17" s="470">
        <f t="shared" si="8"/>
        <v>0</v>
      </c>
      <c r="J17" s="558" t="e">
        <f t="shared" si="5"/>
        <v>#DIV/0!</v>
      </c>
      <c r="K17" s="74" t="s">
        <v>74</v>
      </c>
      <c r="L17" s="470">
        <f aca="true" t="shared" si="9" ref="L17:S17">SUM(L18:L19)</f>
        <v>1525</v>
      </c>
      <c r="M17" s="470">
        <f t="shared" si="9"/>
        <v>0</v>
      </c>
      <c r="N17" s="668">
        <f t="shared" si="2"/>
        <v>0</v>
      </c>
      <c r="O17" s="470">
        <f t="shared" si="9"/>
        <v>1723</v>
      </c>
      <c r="P17" s="470">
        <f t="shared" si="9"/>
        <v>0</v>
      </c>
      <c r="Q17" s="668">
        <f t="shared" si="3"/>
        <v>0</v>
      </c>
      <c r="R17" s="470">
        <f t="shared" si="9"/>
        <v>0</v>
      </c>
      <c r="S17" s="470">
        <f t="shared" si="9"/>
        <v>0</v>
      </c>
      <c r="T17" s="668"/>
    </row>
    <row r="18" spans="1:107" s="467" customFormat="1" ht="12.75">
      <c r="A18" s="472" t="s">
        <v>722</v>
      </c>
      <c r="B18" s="27">
        <v>180888</v>
      </c>
      <c r="C18" s="27"/>
      <c r="D18" s="669">
        <f t="shared" si="0"/>
        <v>0</v>
      </c>
      <c r="E18" s="27">
        <v>379354</v>
      </c>
      <c r="F18" s="27"/>
      <c r="G18" s="669">
        <f t="shared" si="1"/>
        <v>0</v>
      </c>
      <c r="H18" s="27"/>
      <c r="I18" s="27"/>
      <c r="J18" s="558" t="e">
        <f t="shared" si="5"/>
        <v>#DIV/0!</v>
      </c>
      <c r="K18" s="472" t="s">
        <v>722</v>
      </c>
      <c r="L18" s="27">
        <f aca="true" t="shared" si="10" ref="L18:S19">ROUND(B18/1000,0)</f>
        <v>181</v>
      </c>
      <c r="M18" s="27">
        <f t="shared" si="10"/>
        <v>0</v>
      </c>
      <c r="N18" s="669">
        <f t="shared" si="2"/>
        <v>0</v>
      </c>
      <c r="O18" s="27">
        <f t="shared" si="10"/>
        <v>379</v>
      </c>
      <c r="P18" s="27">
        <f t="shared" si="10"/>
        <v>0</v>
      </c>
      <c r="Q18" s="669">
        <f t="shared" si="3"/>
        <v>0</v>
      </c>
      <c r="R18" s="27">
        <f t="shared" si="10"/>
        <v>0</v>
      </c>
      <c r="S18" s="27">
        <f t="shared" si="10"/>
        <v>0</v>
      </c>
      <c r="T18" s="669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6"/>
      <c r="AZ18" s="466"/>
      <c r="BA18" s="466"/>
      <c r="BB18" s="466"/>
      <c r="BC18" s="466"/>
      <c r="BD18" s="466"/>
      <c r="BE18" s="466"/>
      <c r="BF18" s="466"/>
      <c r="BG18" s="466"/>
      <c r="BH18" s="466"/>
      <c r="BI18" s="466"/>
      <c r="BJ18" s="466"/>
      <c r="BK18" s="466"/>
      <c r="BL18" s="466"/>
      <c r="BM18" s="466"/>
      <c r="BN18" s="466"/>
      <c r="BO18" s="466"/>
      <c r="BP18" s="466"/>
      <c r="BQ18" s="466"/>
      <c r="BR18" s="466"/>
      <c r="BS18" s="466"/>
      <c r="BT18" s="466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6"/>
      <c r="CH18" s="466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</row>
    <row r="19" spans="1:107" s="467" customFormat="1" ht="12.75">
      <c r="A19" s="472" t="s">
        <v>136</v>
      </c>
      <c r="B19" s="27">
        <v>1344264</v>
      </c>
      <c r="C19" s="27"/>
      <c r="D19" s="669">
        <f t="shared" si="0"/>
        <v>0</v>
      </c>
      <c r="E19" s="27">
        <v>1344264</v>
      </c>
      <c r="F19" s="27"/>
      <c r="G19" s="669">
        <f t="shared" si="1"/>
        <v>0</v>
      </c>
      <c r="H19" s="27"/>
      <c r="I19" s="27"/>
      <c r="J19" s="558" t="e">
        <f t="shared" si="5"/>
        <v>#DIV/0!</v>
      </c>
      <c r="K19" s="472" t="s">
        <v>136</v>
      </c>
      <c r="L19" s="27">
        <f t="shared" si="10"/>
        <v>1344</v>
      </c>
      <c r="M19" s="27">
        <f t="shared" si="10"/>
        <v>0</v>
      </c>
      <c r="N19" s="669">
        <f t="shared" si="2"/>
        <v>0</v>
      </c>
      <c r="O19" s="27">
        <f t="shared" si="10"/>
        <v>1344</v>
      </c>
      <c r="P19" s="27">
        <f t="shared" si="10"/>
        <v>0</v>
      </c>
      <c r="Q19" s="669">
        <f t="shared" si="3"/>
        <v>0</v>
      </c>
      <c r="R19" s="27">
        <f t="shared" si="10"/>
        <v>0</v>
      </c>
      <c r="S19" s="27">
        <f t="shared" si="10"/>
        <v>0</v>
      </c>
      <c r="T19" s="669"/>
      <c r="U19" s="466"/>
      <c r="V19" s="466"/>
      <c r="W19" s="466"/>
      <c r="X19" s="466"/>
      <c r="Y19" s="466"/>
      <c r="Z19" s="466"/>
      <c r="AA19" s="466"/>
      <c r="AB19" s="466"/>
      <c r="AC19" s="466"/>
      <c r="AD19" s="466"/>
      <c r="AE19" s="466"/>
      <c r="AF19" s="466"/>
      <c r="AG19" s="466"/>
      <c r="AH19" s="466"/>
      <c r="AI19" s="466"/>
      <c r="AJ19" s="466"/>
      <c r="AK19" s="466"/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6"/>
      <c r="AZ19" s="466"/>
      <c r="BA19" s="466"/>
      <c r="BB19" s="466"/>
      <c r="BC19" s="466"/>
      <c r="BD19" s="466"/>
      <c r="BE19" s="466"/>
      <c r="BF19" s="466"/>
      <c r="BG19" s="466"/>
      <c r="BH19" s="466"/>
      <c r="BI19" s="466"/>
      <c r="BJ19" s="466"/>
      <c r="BK19" s="466"/>
      <c r="BL19" s="466"/>
      <c r="BM19" s="466"/>
      <c r="BN19" s="466"/>
      <c r="BO19" s="466"/>
      <c r="BP19" s="466"/>
      <c r="BQ19" s="466"/>
      <c r="BR19" s="466"/>
      <c r="BS19" s="466"/>
      <c r="BT19" s="466"/>
      <c r="BU19" s="466"/>
      <c r="BV19" s="466"/>
      <c r="BW19" s="466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6"/>
      <c r="CJ19" s="466"/>
      <c r="CK19" s="466"/>
      <c r="CL19" s="466"/>
      <c r="CM19" s="466"/>
      <c r="CN19" s="466"/>
      <c r="CO19" s="466"/>
      <c r="CP19" s="466"/>
      <c r="CQ19" s="466"/>
      <c r="CR19" s="466"/>
      <c r="CS19" s="466"/>
      <c r="CT19" s="466"/>
      <c r="CU19" s="466"/>
      <c r="CV19" s="466"/>
      <c r="CW19" s="466"/>
      <c r="CX19" s="466"/>
      <c r="CY19" s="466"/>
      <c r="CZ19" s="466"/>
      <c r="DA19" s="466"/>
      <c r="DB19" s="466"/>
      <c r="DC19" s="466"/>
    </row>
    <row r="20" spans="1:20" ht="12.75">
      <c r="A20" s="74" t="s">
        <v>76</v>
      </c>
      <c r="B20" s="470">
        <f aca="true" t="shared" si="11" ref="B20:I20">SUM(B21:B21)</f>
        <v>72000</v>
      </c>
      <c r="C20" s="470">
        <f t="shared" si="11"/>
        <v>0</v>
      </c>
      <c r="D20" s="668">
        <f t="shared" si="0"/>
        <v>0</v>
      </c>
      <c r="E20" s="470">
        <f t="shared" si="11"/>
        <v>68000</v>
      </c>
      <c r="F20" s="470">
        <f t="shared" si="11"/>
        <v>0</v>
      </c>
      <c r="G20" s="668">
        <f t="shared" si="1"/>
        <v>0</v>
      </c>
      <c r="H20" s="470">
        <f t="shared" si="11"/>
        <v>83000</v>
      </c>
      <c r="I20" s="470">
        <f t="shared" si="11"/>
        <v>0</v>
      </c>
      <c r="J20" s="558">
        <f t="shared" si="5"/>
        <v>0</v>
      </c>
      <c r="K20" s="74" t="s">
        <v>76</v>
      </c>
      <c r="L20" s="470">
        <f aca="true" t="shared" si="12" ref="L20:S20">SUM(L21:L21)</f>
        <v>72</v>
      </c>
      <c r="M20" s="470">
        <f t="shared" si="12"/>
        <v>0</v>
      </c>
      <c r="N20" s="668">
        <f t="shared" si="2"/>
        <v>0</v>
      </c>
      <c r="O20" s="470">
        <f t="shared" si="12"/>
        <v>68</v>
      </c>
      <c r="P20" s="470">
        <f t="shared" si="12"/>
        <v>0</v>
      </c>
      <c r="Q20" s="668">
        <f t="shared" si="3"/>
        <v>0</v>
      </c>
      <c r="R20" s="470">
        <f t="shared" si="12"/>
        <v>83</v>
      </c>
      <c r="S20" s="470">
        <f t="shared" si="12"/>
        <v>0</v>
      </c>
      <c r="T20" s="668">
        <f t="shared" si="7"/>
        <v>0</v>
      </c>
    </row>
    <row r="21" spans="1:107" s="467" customFormat="1" ht="12.75">
      <c r="A21" s="472" t="s">
        <v>354</v>
      </c>
      <c r="B21" s="27">
        <v>72000</v>
      </c>
      <c r="C21" s="27"/>
      <c r="D21" s="669">
        <f t="shared" si="0"/>
        <v>0</v>
      </c>
      <c r="E21" s="27">
        <v>68000</v>
      </c>
      <c r="F21" s="27"/>
      <c r="G21" s="669">
        <f t="shared" si="1"/>
        <v>0</v>
      </c>
      <c r="H21" s="27">
        <v>83000</v>
      </c>
      <c r="I21" s="27"/>
      <c r="J21" s="558">
        <f t="shared" si="5"/>
        <v>0</v>
      </c>
      <c r="K21" s="472" t="s">
        <v>354</v>
      </c>
      <c r="L21" s="27">
        <f aca="true" t="shared" si="13" ref="L21:S21">ROUND(B21/1000,0)</f>
        <v>72</v>
      </c>
      <c r="M21" s="27">
        <f t="shared" si="13"/>
        <v>0</v>
      </c>
      <c r="N21" s="669">
        <f t="shared" si="2"/>
        <v>0</v>
      </c>
      <c r="O21" s="27">
        <f t="shared" si="13"/>
        <v>68</v>
      </c>
      <c r="P21" s="27">
        <f t="shared" si="13"/>
        <v>0</v>
      </c>
      <c r="Q21" s="669">
        <f t="shared" si="3"/>
        <v>0</v>
      </c>
      <c r="R21" s="27">
        <f t="shared" si="13"/>
        <v>83</v>
      </c>
      <c r="S21" s="27">
        <f t="shared" si="13"/>
        <v>0</v>
      </c>
      <c r="T21" s="669">
        <f t="shared" si="7"/>
        <v>0</v>
      </c>
      <c r="U21" s="466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66"/>
      <c r="AG21" s="466"/>
      <c r="AH21" s="466"/>
      <c r="AI21" s="466"/>
      <c r="AJ21" s="466"/>
      <c r="AK21" s="466"/>
      <c r="AL21" s="466"/>
      <c r="AM21" s="466"/>
      <c r="AN21" s="466"/>
      <c r="AO21" s="466"/>
      <c r="AP21" s="466"/>
      <c r="AQ21" s="466"/>
      <c r="AR21" s="466"/>
      <c r="AS21" s="466"/>
      <c r="AT21" s="466"/>
      <c r="AU21" s="466"/>
      <c r="AV21" s="466"/>
      <c r="AW21" s="466"/>
      <c r="AX21" s="466"/>
      <c r="AY21" s="466"/>
      <c r="AZ21" s="466"/>
      <c r="BA21" s="466"/>
      <c r="BB21" s="466"/>
      <c r="BC21" s="466"/>
      <c r="BD21" s="466"/>
      <c r="BE21" s="466"/>
      <c r="BF21" s="466"/>
      <c r="BG21" s="466"/>
      <c r="BH21" s="466"/>
      <c r="BI21" s="466"/>
      <c r="BJ21" s="466"/>
      <c r="BK21" s="466"/>
      <c r="BL21" s="466"/>
      <c r="BM21" s="466"/>
      <c r="BN21" s="466"/>
      <c r="BO21" s="466"/>
      <c r="BP21" s="466"/>
      <c r="BQ21" s="466"/>
      <c r="BR21" s="466"/>
      <c r="BS21" s="466"/>
      <c r="BT21" s="466"/>
      <c r="BU21" s="466"/>
      <c r="BV21" s="466"/>
      <c r="BW21" s="466"/>
      <c r="BX21" s="466"/>
      <c r="BY21" s="466"/>
      <c r="BZ21" s="466"/>
      <c r="CA21" s="466"/>
      <c r="CB21" s="466"/>
      <c r="CC21" s="466"/>
      <c r="CD21" s="466"/>
      <c r="CE21" s="466"/>
      <c r="CF21" s="466"/>
      <c r="CG21" s="466"/>
      <c r="CH21" s="466"/>
      <c r="CI21" s="466"/>
      <c r="CJ21" s="466"/>
      <c r="CK21" s="466"/>
      <c r="CL21" s="466"/>
      <c r="CM21" s="466"/>
      <c r="CN21" s="466"/>
      <c r="CO21" s="466"/>
      <c r="CP21" s="466"/>
      <c r="CQ21" s="466"/>
      <c r="CR21" s="466"/>
      <c r="CS21" s="466"/>
      <c r="CT21" s="466"/>
      <c r="CU21" s="466"/>
      <c r="CV21" s="466"/>
      <c r="CW21" s="466"/>
      <c r="CX21" s="466"/>
      <c r="CY21" s="466"/>
      <c r="CZ21" s="466"/>
      <c r="DA21" s="466"/>
      <c r="DB21" s="466"/>
      <c r="DC21" s="466"/>
    </row>
    <row r="22" spans="1:20" ht="12.75">
      <c r="A22" s="74" t="s">
        <v>78</v>
      </c>
      <c r="B22" s="470">
        <f>SUM(B23:B26)</f>
        <v>16153402</v>
      </c>
      <c r="C22" s="470">
        <f aca="true" t="shared" si="14" ref="C22:I22">SUM(C23:C26)</f>
        <v>0</v>
      </c>
      <c r="D22" s="668">
        <f t="shared" si="0"/>
        <v>0</v>
      </c>
      <c r="E22" s="470">
        <f t="shared" si="14"/>
        <v>16421295</v>
      </c>
      <c r="F22" s="470">
        <f t="shared" si="14"/>
        <v>0</v>
      </c>
      <c r="G22" s="668">
        <f t="shared" si="1"/>
        <v>0</v>
      </c>
      <c r="H22" s="470">
        <f t="shared" si="14"/>
        <v>42942000</v>
      </c>
      <c r="I22" s="470">
        <f t="shared" si="14"/>
        <v>0</v>
      </c>
      <c r="J22" s="668">
        <f t="shared" si="5"/>
        <v>0</v>
      </c>
      <c r="K22" s="74" t="s">
        <v>78</v>
      </c>
      <c r="L22" s="470">
        <f aca="true" t="shared" si="15" ref="L22:S22">SUM(L23:L26)</f>
        <v>16153</v>
      </c>
      <c r="M22" s="470">
        <f t="shared" si="15"/>
        <v>0</v>
      </c>
      <c r="N22" s="668">
        <f t="shared" si="2"/>
        <v>0</v>
      </c>
      <c r="O22" s="470">
        <f t="shared" si="15"/>
        <v>16422</v>
      </c>
      <c r="P22" s="470">
        <f t="shared" si="15"/>
        <v>0</v>
      </c>
      <c r="Q22" s="668">
        <f t="shared" si="3"/>
        <v>0</v>
      </c>
      <c r="R22" s="470">
        <f t="shared" si="15"/>
        <v>42942</v>
      </c>
      <c r="S22" s="470">
        <f t="shared" si="15"/>
        <v>0</v>
      </c>
      <c r="T22" s="668">
        <f t="shared" si="7"/>
        <v>0</v>
      </c>
    </row>
    <row r="23" spans="1:107" s="467" customFormat="1" ht="12.75">
      <c r="A23" s="472" t="s">
        <v>722</v>
      </c>
      <c r="B23" s="27">
        <v>4232472</v>
      </c>
      <c r="C23" s="27"/>
      <c r="D23" s="669">
        <f t="shared" si="0"/>
        <v>0</v>
      </c>
      <c r="E23" s="27">
        <v>4740805</v>
      </c>
      <c r="F23" s="27"/>
      <c r="G23" s="669">
        <f t="shared" si="1"/>
        <v>0</v>
      </c>
      <c r="H23" s="27">
        <v>25892000</v>
      </c>
      <c r="I23" s="27"/>
      <c r="J23" s="669">
        <f t="shared" si="5"/>
        <v>0</v>
      </c>
      <c r="K23" s="472" t="s">
        <v>722</v>
      </c>
      <c r="L23" s="27">
        <f aca="true" t="shared" si="16" ref="L23:S26">ROUND(B23/1000,0)</f>
        <v>4232</v>
      </c>
      <c r="M23" s="27">
        <f t="shared" si="16"/>
        <v>0</v>
      </c>
      <c r="N23" s="669">
        <f t="shared" si="2"/>
        <v>0</v>
      </c>
      <c r="O23" s="27">
        <f t="shared" si="16"/>
        <v>4741</v>
      </c>
      <c r="P23" s="27">
        <f t="shared" si="16"/>
        <v>0</v>
      </c>
      <c r="Q23" s="669">
        <f t="shared" si="3"/>
        <v>0</v>
      </c>
      <c r="R23" s="27">
        <f t="shared" si="16"/>
        <v>25892</v>
      </c>
      <c r="S23" s="27">
        <f t="shared" si="16"/>
        <v>0</v>
      </c>
      <c r="T23" s="669">
        <f t="shared" si="7"/>
        <v>0</v>
      </c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466"/>
      <c r="AU23" s="466"/>
      <c r="AV23" s="466"/>
      <c r="AW23" s="466"/>
      <c r="AX23" s="466"/>
      <c r="AY23" s="466"/>
      <c r="AZ23" s="466"/>
      <c r="BA23" s="466"/>
      <c r="BB23" s="466"/>
      <c r="BC23" s="466"/>
      <c r="BD23" s="466"/>
      <c r="BE23" s="466"/>
      <c r="BF23" s="466"/>
      <c r="BG23" s="466"/>
      <c r="BH23" s="466"/>
      <c r="BI23" s="466"/>
      <c r="BJ23" s="466"/>
      <c r="BK23" s="466"/>
      <c r="BL23" s="466"/>
      <c r="BM23" s="466"/>
      <c r="BN23" s="466"/>
      <c r="BO23" s="466"/>
      <c r="BP23" s="466"/>
      <c r="BQ23" s="466"/>
      <c r="BR23" s="466"/>
      <c r="BS23" s="466"/>
      <c r="BT23" s="466"/>
      <c r="BU23" s="466"/>
      <c r="BV23" s="466"/>
      <c r="BW23" s="466"/>
      <c r="BX23" s="466"/>
      <c r="BY23" s="466"/>
      <c r="BZ23" s="466"/>
      <c r="CA23" s="466"/>
      <c r="CB23" s="466"/>
      <c r="CC23" s="466"/>
      <c r="CD23" s="466"/>
      <c r="CE23" s="466"/>
      <c r="CF23" s="466"/>
      <c r="CG23" s="466"/>
      <c r="CH23" s="466"/>
      <c r="CI23" s="466"/>
      <c r="CJ23" s="466"/>
      <c r="CK23" s="466"/>
      <c r="CL23" s="466"/>
      <c r="CM23" s="466"/>
      <c r="CN23" s="466"/>
      <c r="CO23" s="466"/>
      <c r="CP23" s="466"/>
      <c r="CQ23" s="466"/>
      <c r="CR23" s="466"/>
      <c r="CS23" s="466"/>
      <c r="CT23" s="466"/>
      <c r="CU23" s="466"/>
      <c r="CV23" s="466"/>
      <c r="CW23" s="466"/>
      <c r="CX23" s="466"/>
      <c r="CY23" s="466"/>
      <c r="CZ23" s="466"/>
      <c r="DA23" s="466"/>
      <c r="DB23" s="466"/>
      <c r="DC23" s="466"/>
    </row>
    <row r="24" spans="1:107" s="467" customFormat="1" ht="12.75">
      <c r="A24" s="472" t="s">
        <v>136</v>
      </c>
      <c r="B24" s="27">
        <v>1844930</v>
      </c>
      <c r="C24" s="27"/>
      <c r="D24" s="669">
        <f t="shared" si="0"/>
        <v>0</v>
      </c>
      <c r="E24" s="27">
        <v>1604490</v>
      </c>
      <c r="F24" s="27"/>
      <c r="G24" s="669">
        <f t="shared" si="1"/>
        <v>0</v>
      </c>
      <c r="H24" s="27">
        <v>5940000</v>
      </c>
      <c r="I24" s="27"/>
      <c r="J24" s="669">
        <f t="shared" si="5"/>
        <v>0</v>
      </c>
      <c r="K24" s="472" t="s">
        <v>136</v>
      </c>
      <c r="L24" s="27">
        <f t="shared" si="16"/>
        <v>1845</v>
      </c>
      <c r="M24" s="27">
        <f t="shared" si="16"/>
        <v>0</v>
      </c>
      <c r="N24" s="669">
        <f t="shared" si="2"/>
        <v>0</v>
      </c>
      <c r="O24" s="27">
        <f>ROUND(E24/1000,0)+1</f>
        <v>1605</v>
      </c>
      <c r="P24" s="27">
        <f t="shared" si="16"/>
        <v>0</v>
      </c>
      <c r="Q24" s="669">
        <f t="shared" si="3"/>
        <v>0</v>
      </c>
      <c r="R24" s="27">
        <f t="shared" si="16"/>
        <v>5940</v>
      </c>
      <c r="S24" s="27">
        <f t="shared" si="16"/>
        <v>0</v>
      </c>
      <c r="T24" s="669">
        <f t="shared" si="7"/>
        <v>0</v>
      </c>
      <c r="U24" s="466"/>
      <c r="V24" s="466"/>
      <c r="W24" s="466"/>
      <c r="X24" s="466"/>
      <c r="Y24" s="466"/>
      <c r="Z24" s="466"/>
      <c r="AA24" s="466"/>
      <c r="AB24" s="466"/>
      <c r="AC24" s="466"/>
      <c r="AD24" s="466"/>
      <c r="AE24" s="466"/>
      <c r="AF24" s="466"/>
      <c r="AG24" s="466"/>
      <c r="AH24" s="466"/>
      <c r="AI24" s="466"/>
      <c r="AJ24" s="466"/>
      <c r="AK24" s="466"/>
      <c r="AL24" s="466"/>
      <c r="AM24" s="466"/>
      <c r="AN24" s="466"/>
      <c r="AO24" s="466"/>
      <c r="AP24" s="466"/>
      <c r="AQ24" s="466"/>
      <c r="AR24" s="466"/>
      <c r="AS24" s="466"/>
      <c r="AT24" s="466"/>
      <c r="AU24" s="466"/>
      <c r="AV24" s="466"/>
      <c r="AW24" s="466"/>
      <c r="AX24" s="466"/>
      <c r="AY24" s="466"/>
      <c r="AZ24" s="466"/>
      <c r="BA24" s="466"/>
      <c r="BB24" s="466"/>
      <c r="BC24" s="466"/>
      <c r="BD24" s="466"/>
      <c r="BE24" s="466"/>
      <c r="BF24" s="466"/>
      <c r="BG24" s="466"/>
      <c r="BH24" s="466"/>
      <c r="BI24" s="466"/>
      <c r="BJ24" s="466"/>
      <c r="BK24" s="466"/>
      <c r="BL24" s="466"/>
      <c r="BM24" s="466"/>
      <c r="BN24" s="466"/>
      <c r="BO24" s="466"/>
      <c r="BP24" s="466"/>
      <c r="BQ24" s="466"/>
      <c r="BR24" s="466"/>
      <c r="BS24" s="466"/>
      <c r="BT24" s="466"/>
      <c r="BU24" s="466"/>
      <c r="BV24" s="466"/>
      <c r="BW24" s="466"/>
      <c r="BX24" s="466"/>
      <c r="BY24" s="466"/>
      <c r="BZ24" s="466"/>
      <c r="CA24" s="466"/>
      <c r="CB24" s="466"/>
      <c r="CC24" s="466"/>
      <c r="CD24" s="466"/>
      <c r="CE24" s="466"/>
      <c r="CF24" s="466"/>
      <c r="CG24" s="466"/>
      <c r="CH24" s="466"/>
      <c r="CI24" s="466"/>
      <c r="CJ24" s="466"/>
      <c r="CK24" s="466"/>
      <c r="CL24" s="466"/>
      <c r="CM24" s="466"/>
      <c r="CN24" s="466"/>
      <c r="CO24" s="466"/>
      <c r="CP24" s="466"/>
      <c r="CQ24" s="466"/>
      <c r="CR24" s="466"/>
      <c r="CS24" s="466"/>
      <c r="CT24" s="466"/>
      <c r="CU24" s="466"/>
      <c r="CV24" s="466"/>
      <c r="CW24" s="466"/>
      <c r="CX24" s="466"/>
      <c r="CY24" s="466"/>
      <c r="CZ24" s="466"/>
      <c r="DA24" s="466"/>
      <c r="DB24" s="466"/>
      <c r="DC24" s="466"/>
    </row>
    <row r="25" spans="1:107" s="467" customFormat="1" ht="12.75">
      <c r="A25" s="472" t="s">
        <v>723</v>
      </c>
      <c r="B25" s="27">
        <v>76000</v>
      </c>
      <c r="C25" s="27"/>
      <c r="D25" s="669">
        <f t="shared" si="0"/>
        <v>0</v>
      </c>
      <c r="E25" s="27">
        <v>76000</v>
      </c>
      <c r="F25" s="27"/>
      <c r="G25" s="669">
        <f t="shared" si="1"/>
        <v>0</v>
      </c>
      <c r="H25" s="27">
        <v>76000</v>
      </c>
      <c r="I25" s="27"/>
      <c r="J25" s="669">
        <f t="shared" si="5"/>
        <v>0</v>
      </c>
      <c r="K25" s="472" t="s">
        <v>723</v>
      </c>
      <c r="L25" s="27">
        <f t="shared" si="16"/>
        <v>76</v>
      </c>
      <c r="M25" s="27">
        <f t="shared" si="16"/>
        <v>0</v>
      </c>
      <c r="N25" s="669">
        <f t="shared" si="2"/>
        <v>0</v>
      </c>
      <c r="O25" s="27">
        <f t="shared" si="16"/>
        <v>76</v>
      </c>
      <c r="P25" s="27">
        <f t="shared" si="16"/>
        <v>0</v>
      </c>
      <c r="Q25" s="669">
        <f t="shared" si="3"/>
        <v>0</v>
      </c>
      <c r="R25" s="27">
        <f t="shared" si="16"/>
        <v>76</v>
      </c>
      <c r="S25" s="27">
        <f t="shared" si="16"/>
        <v>0</v>
      </c>
      <c r="T25" s="669">
        <f t="shared" si="7"/>
        <v>0</v>
      </c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466"/>
      <c r="AI25" s="466"/>
      <c r="AJ25" s="466"/>
      <c r="AK25" s="466"/>
      <c r="AL25" s="466"/>
      <c r="AM25" s="466"/>
      <c r="AN25" s="466"/>
      <c r="AO25" s="466"/>
      <c r="AP25" s="466"/>
      <c r="AQ25" s="466"/>
      <c r="AR25" s="466"/>
      <c r="AS25" s="466"/>
      <c r="AT25" s="466"/>
      <c r="AU25" s="466"/>
      <c r="AV25" s="466"/>
      <c r="AW25" s="466"/>
      <c r="AX25" s="466"/>
      <c r="AY25" s="466"/>
      <c r="AZ25" s="466"/>
      <c r="BA25" s="466"/>
      <c r="BB25" s="466"/>
      <c r="BC25" s="466"/>
      <c r="BD25" s="466"/>
      <c r="BE25" s="466"/>
      <c r="BF25" s="466"/>
      <c r="BG25" s="466"/>
      <c r="BH25" s="466"/>
      <c r="BI25" s="466"/>
      <c r="BJ25" s="466"/>
      <c r="BK25" s="466"/>
      <c r="BL25" s="466"/>
      <c r="BM25" s="466"/>
      <c r="BN25" s="466"/>
      <c r="BO25" s="466"/>
      <c r="BP25" s="466"/>
      <c r="BQ25" s="466"/>
      <c r="BR25" s="466"/>
      <c r="BS25" s="466"/>
      <c r="BT25" s="466"/>
      <c r="BU25" s="466"/>
      <c r="BV25" s="466"/>
      <c r="BW25" s="466"/>
      <c r="BX25" s="466"/>
      <c r="BY25" s="466"/>
      <c r="BZ25" s="466"/>
      <c r="CA25" s="466"/>
      <c r="CB25" s="466"/>
      <c r="CC25" s="466"/>
      <c r="CD25" s="466"/>
      <c r="CE25" s="466"/>
      <c r="CF25" s="466"/>
      <c r="CG25" s="466"/>
      <c r="CH25" s="466"/>
      <c r="CI25" s="466"/>
      <c r="CJ25" s="466"/>
      <c r="CK25" s="466"/>
      <c r="CL25" s="466"/>
      <c r="CM25" s="466"/>
      <c r="CN25" s="466"/>
      <c r="CO25" s="466"/>
      <c r="CP25" s="466"/>
      <c r="CQ25" s="466"/>
      <c r="CR25" s="466"/>
      <c r="CS25" s="466"/>
      <c r="CT25" s="466"/>
      <c r="CU25" s="466"/>
      <c r="CV25" s="466"/>
      <c r="CW25" s="466"/>
      <c r="CX25" s="466"/>
      <c r="CY25" s="466"/>
      <c r="CZ25" s="466"/>
      <c r="DA25" s="466"/>
      <c r="DB25" s="466"/>
      <c r="DC25" s="466"/>
    </row>
    <row r="26" spans="1:107" s="467" customFormat="1" ht="12.75">
      <c r="A26" s="472" t="s">
        <v>354</v>
      </c>
      <c r="B26" s="27">
        <v>10000000</v>
      </c>
      <c r="C26" s="27"/>
      <c r="D26" s="669">
        <f t="shared" si="0"/>
        <v>0</v>
      </c>
      <c r="E26" s="27">
        <v>10000000</v>
      </c>
      <c r="F26" s="27"/>
      <c r="G26" s="669">
        <f t="shared" si="1"/>
        <v>0</v>
      </c>
      <c r="H26" s="27">
        <v>11034000</v>
      </c>
      <c r="I26" s="27"/>
      <c r="J26" s="669">
        <f t="shared" si="5"/>
        <v>0</v>
      </c>
      <c r="K26" s="472" t="s">
        <v>354</v>
      </c>
      <c r="L26" s="27">
        <f t="shared" si="16"/>
        <v>10000</v>
      </c>
      <c r="M26" s="27">
        <f t="shared" si="16"/>
        <v>0</v>
      </c>
      <c r="N26" s="669">
        <f t="shared" si="2"/>
        <v>0</v>
      </c>
      <c r="O26" s="27">
        <f t="shared" si="16"/>
        <v>10000</v>
      </c>
      <c r="P26" s="27">
        <f t="shared" si="16"/>
        <v>0</v>
      </c>
      <c r="Q26" s="669">
        <f t="shared" si="3"/>
        <v>0</v>
      </c>
      <c r="R26" s="27">
        <f t="shared" si="16"/>
        <v>11034</v>
      </c>
      <c r="S26" s="27">
        <f t="shared" si="16"/>
        <v>0</v>
      </c>
      <c r="T26" s="669">
        <f t="shared" si="7"/>
        <v>0</v>
      </c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466"/>
      <c r="AI26" s="466"/>
      <c r="AJ26" s="466"/>
      <c r="AK26" s="466"/>
      <c r="AL26" s="466"/>
      <c r="AM26" s="466"/>
      <c r="AN26" s="466"/>
      <c r="AO26" s="466"/>
      <c r="AP26" s="466"/>
      <c r="AQ26" s="466"/>
      <c r="AR26" s="466"/>
      <c r="AS26" s="466"/>
      <c r="AT26" s="466"/>
      <c r="AU26" s="466"/>
      <c r="AV26" s="466"/>
      <c r="AW26" s="466"/>
      <c r="AX26" s="466"/>
      <c r="AY26" s="466"/>
      <c r="AZ26" s="466"/>
      <c r="BA26" s="466"/>
      <c r="BB26" s="466"/>
      <c r="BC26" s="466"/>
      <c r="BD26" s="466"/>
      <c r="BE26" s="466"/>
      <c r="BF26" s="466"/>
      <c r="BG26" s="466"/>
      <c r="BH26" s="466"/>
      <c r="BI26" s="466"/>
      <c r="BJ26" s="466"/>
      <c r="BK26" s="466"/>
      <c r="BL26" s="466"/>
      <c r="BM26" s="466"/>
      <c r="BN26" s="466"/>
      <c r="BO26" s="466"/>
      <c r="BP26" s="466"/>
      <c r="BQ26" s="466"/>
      <c r="BR26" s="466"/>
      <c r="BS26" s="466"/>
      <c r="BT26" s="466"/>
      <c r="BU26" s="466"/>
      <c r="BV26" s="466"/>
      <c r="BW26" s="466"/>
      <c r="BX26" s="466"/>
      <c r="BY26" s="466"/>
      <c r="BZ26" s="466"/>
      <c r="CA26" s="466"/>
      <c r="CB26" s="466"/>
      <c r="CC26" s="466"/>
      <c r="CD26" s="466"/>
      <c r="CE26" s="466"/>
      <c r="CF26" s="466"/>
      <c r="CG26" s="466"/>
      <c r="CH26" s="466"/>
      <c r="CI26" s="466"/>
      <c r="CJ26" s="466"/>
      <c r="CK26" s="466"/>
      <c r="CL26" s="466"/>
      <c r="CM26" s="466"/>
      <c r="CN26" s="466"/>
      <c r="CO26" s="466"/>
      <c r="CP26" s="466"/>
      <c r="CQ26" s="466"/>
      <c r="CR26" s="466"/>
      <c r="CS26" s="466"/>
      <c r="CT26" s="466"/>
      <c r="CU26" s="466"/>
      <c r="CV26" s="466"/>
      <c r="CW26" s="466"/>
      <c r="CX26" s="466"/>
      <c r="CY26" s="466"/>
      <c r="CZ26" s="466"/>
      <c r="DA26" s="466"/>
      <c r="DB26" s="466"/>
      <c r="DC26" s="466"/>
    </row>
    <row r="27" spans="1:20" ht="12.75">
      <c r="A27" s="74" t="s">
        <v>80</v>
      </c>
      <c r="B27" s="470">
        <f>SUM(B28:B30)</f>
        <v>10555921</v>
      </c>
      <c r="C27" s="470">
        <f aca="true" t="shared" si="17" ref="C27:I27">SUM(C28:C30)</f>
        <v>0</v>
      </c>
      <c r="D27" s="668">
        <f t="shared" si="0"/>
        <v>0</v>
      </c>
      <c r="E27" s="470">
        <f t="shared" si="17"/>
        <v>4667080</v>
      </c>
      <c r="F27" s="470">
        <f t="shared" si="17"/>
        <v>0</v>
      </c>
      <c r="G27" s="668">
        <f t="shared" si="1"/>
        <v>0</v>
      </c>
      <c r="H27" s="470">
        <f t="shared" si="17"/>
        <v>29299485</v>
      </c>
      <c r="I27" s="470">
        <f t="shared" si="17"/>
        <v>0</v>
      </c>
      <c r="J27" s="668">
        <f t="shared" si="5"/>
        <v>0</v>
      </c>
      <c r="K27" s="74" t="s">
        <v>80</v>
      </c>
      <c r="L27" s="470">
        <f aca="true" t="shared" si="18" ref="L27:S27">SUM(L28:L30)</f>
        <v>10556</v>
      </c>
      <c r="M27" s="470">
        <f t="shared" si="18"/>
        <v>0</v>
      </c>
      <c r="N27" s="668">
        <f t="shared" si="2"/>
        <v>0</v>
      </c>
      <c r="O27" s="470">
        <f t="shared" si="18"/>
        <v>4666</v>
      </c>
      <c r="P27" s="470">
        <f t="shared" si="18"/>
        <v>0</v>
      </c>
      <c r="Q27" s="668">
        <f t="shared" si="3"/>
        <v>0</v>
      </c>
      <c r="R27" s="470">
        <f t="shared" si="18"/>
        <v>29300</v>
      </c>
      <c r="S27" s="470">
        <f t="shared" si="18"/>
        <v>0</v>
      </c>
      <c r="T27" s="668">
        <f t="shared" si="7"/>
        <v>0</v>
      </c>
    </row>
    <row r="28" spans="1:107" s="467" customFormat="1" ht="12.75">
      <c r="A28" s="472" t="s">
        <v>722</v>
      </c>
      <c r="B28" s="27">
        <v>1519853</v>
      </c>
      <c r="C28" s="27"/>
      <c r="D28" s="669">
        <f t="shared" si="0"/>
        <v>0</v>
      </c>
      <c r="E28" s="27">
        <v>2305546</v>
      </c>
      <c r="F28" s="27"/>
      <c r="G28" s="669">
        <f t="shared" si="1"/>
        <v>0</v>
      </c>
      <c r="H28" s="27">
        <v>14740905</v>
      </c>
      <c r="I28" s="27"/>
      <c r="J28" s="669">
        <f t="shared" si="5"/>
        <v>0</v>
      </c>
      <c r="K28" s="472" t="s">
        <v>722</v>
      </c>
      <c r="L28" s="27">
        <f aca="true" t="shared" si="19" ref="L28:S30">ROUND(B28/1000,0)</f>
        <v>1520</v>
      </c>
      <c r="M28" s="27">
        <f t="shared" si="19"/>
        <v>0</v>
      </c>
      <c r="N28" s="669">
        <f t="shared" si="2"/>
        <v>0</v>
      </c>
      <c r="O28" s="27">
        <f>ROUND(E28/1000,0)-1</f>
        <v>2305</v>
      </c>
      <c r="P28" s="27">
        <f t="shared" si="19"/>
        <v>0</v>
      </c>
      <c r="Q28" s="669">
        <f t="shared" si="3"/>
        <v>0</v>
      </c>
      <c r="R28" s="27">
        <f>ROUND(H28/1000,0)</f>
        <v>14741</v>
      </c>
      <c r="S28" s="27">
        <f t="shared" si="19"/>
        <v>0</v>
      </c>
      <c r="T28" s="669">
        <f t="shared" si="7"/>
        <v>0</v>
      </c>
      <c r="U28" s="466"/>
      <c r="V28" s="466"/>
      <c r="W28" s="466"/>
      <c r="X28" s="466"/>
      <c r="Y28" s="466"/>
      <c r="Z28" s="466"/>
      <c r="AA28" s="466"/>
      <c r="AB28" s="466"/>
      <c r="AC28" s="466"/>
      <c r="AD28" s="466"/>
      <c r="AE28" s="466"/>
      <c r="AF28" s="466"/>
      <c r="AG28" s="466"/>
      <c r="AH28" s="466"/>
      <c r="AI28" s="466"/>
      <c r="AJ28" s="466"/>
      <c r="AK28" s="466"/>
      <c r="AL28" s="466"/>
      <c r="AM28" s="466"/>
      <c r="AN28" s="466"/>
      <c r="AO28" s="466"/>
      <c r="AP28" s="466"/>
      <c r="AQ28" s="466"/>
      <c r="AR28" s="466"/>
      <c r="AS28" s="466"/>
      <c r="AT28" s="466"/>
      <c r="AU28" s="466"/>
      <c r="AV28" s="466"/>
      <c r="AW28" s="466"/>
      <c r="AX28" s="466"/>
      <c r="AY28" s="466"/>
      <c r="AZ28" s="466"/>
      <c r="BA28" s="466"/>
      <c r="BB28" s="466"/>
      <c r="BC28" s="466"/>
      <c r="BD28" s="466"/>
      <c r="BE28" s="466"/>
      <c r="BF28" s="466"/>
      <c r="BG28" s="466"/>
      <c r="BH28" s="466"/>
      <c r="BI28" s="466"/>
      <c r="BJ28" s="466"/>
      <c r="BK28" s="466"/>
      <c r="BL28" s="466"/>
      <c r="BM28" s="466"/>
      <c r="BN28" s="466"/>
      <c r="BO28" s="466"/>
      <c r="BP28" s="466"/>
      <c r="BQ28" s="466"/>
      <c r="BR28" s="466"/>
      <c r="BS28" s="466"/>
      <c r="BT28" s="466"/>
      <c r="BU28" s="466"/>
      <c r="BV28" s="466"/>
      <c r="BW28" s="466"/>
      <c r="BX28" s="466"/>
      <c r="BY28" s="466"/>
      <c r="BZ28" s="466"/>
      <c r="CA28" s="466"/>
      <c r="CB28" s="466"/>
      <c r="CC28" s="466"/>
      <c r="CD28" s="466"/>
      <c r="CE28" s="466"/>
      <c r="CF28" s="466"/>
      <c r="CG28" s="466"/>
      <c r="CH28" s="466"/>
      <c r="CI28" s="466"/>
      <c r="CJ28" s="466"/>
      <c r="CK28" s="466"/>
      <c r="CL28" s="466"/>
      <c r="CM28" s="466"/>
      <c r="CN28" s="466"/>
      <c r="CO28" s="466"/>
      <c r="CP28" s="466"/>
      <c r="CQ28" s="466"/>
      <c r="CR28" s="466"/>
      <c r="CS28" s="466"/>
      <c r="CT28" s="466"/>
      <c r="CU28" s="466"/>
      <c r="CV28" s="466"/>
      <c r="CW28" s="466"/>
      <c r="CX28" s="466"/>
      <c r="CY28" s="466"/>
      <c r="CZ28" s="466"/>
      <c r="DA28" s="466"/>
      <c r="DB28" s="466"/>
      <c r="DC28" s="466"/>
    </row>
    <row r="29" spans="1:107" s="467" customFormat="1" ht="12.75">
      <c r="A29" s="472" t="s">
        <v>136</v>
      </c>
      <c r="B29" s="27">
        <v>875500</v>
      </c>
      <c r="C29" s="27"/>
      <c r="D29" s="669">
        <f t="shared" si="0"/>
        <v>0</v>
      </c>
      <c r="E29" s="27">
        <v>858266</v>
      </c>
      <c r="F29" s="27"/>
      <c r="G29" s="669">
        <f t="shared" si="1"/>
        <v>0</v>
      </c>
      <c r="H29" s="27">
        <v>1670580</v>
      </c>
      <c r="I29" s="27"/>
      <c r="J29" s="669">
        <f t="shared" si="5"/>
        <v>0</v>
      </c>
      <c r="K29" s="472" t="s">
        <v>136</v>
      </c>
      <c r="L29" s="27">
        <f>ROUND(B29/1000,0)-1</f>
        <v>875</v>
      </c>
      <c r="M29" s="27">
        <f t="shared" si="19"/>
        <v>0</v>
      </c>
      <c r="N29" s="669">
        <f t="shared" si="2"/>
        <v>0</v>
      </c>
      <c r="O29" s="27">
        <f>ROUND(E29/1000,0)</f>
        <v>858</v>
      </c>
      <c r="P29" s="27">
        <f t="shared" si="19"/>
        <v>0</v>
      </c>
      <c r="Q29" s="669">
        <f t="shared" si="3"/>
        <v>0</v>
      </c>
      <c r="R29" s="27">
        <f t="shared" si="19"/>
        <v>1671</v>
      </c>
      <c r="S29" s="27">
        <f t="shared" si="19"/>
        <v>0</v>
      </c>
      <c r="T29" s="669">
        <f t="shared" si="7"/>
        <v>0</v>
      </c>
      <c r="U29" s="466"/>
      <c r="V29" s="466"/>
      <c r="W29" s="466"/>
      <c r="X29" s="466"/>
      <c r="Y29" s="466"/>
      <c r="Z29" s="466"/>
      <c r="AA29" s="466"/>
      <c r="AB29" s="466"/>
      <c r="AC29" s="466"/>
      <c r="AD29" s="466"/>
      <c r="AE29" s="466"/>
      <c r="AF29" s="466"/>
      <c r="AG29" s="466"/>
      <c r="AH29" s="466"/>
      <c r="AI29" s="466"/>
      <c r="AJ29" s="466"/>
      <c r="AK29" s="466"/>
      <c r="AL29" s="466"/>
      <c r="AM29" s="466"/>
      <c r="AN29" s="466"/>
      <c r="AO29" s="466"/>
      <c r="AP29" s="466"/>
      <c r="AQ29" s="466"/>
      <c r="AR29" s="466"/>
      <c r="AS29" s="466"/>
      <c r="AT29" s="466"/>
      <c r="AU29" s="466"/>
      <c r="AV29" s="466"/>
      <c r="AW29" s="466"/>
      <c r="AX29" s="466"/>
      <c r="AY29" s="466"/>
      <c r="AZ29" s="466"/>
      <c r="BA29" s="466"/>
      <c r="BB29" s="466"/>
      <c r="BC29" s="466"/>
      <c r="BD29" s="466"/>
      <c r="BE29" s="466"/>
      <c r="BF29" s="466"/>
      <c r="BG29" s="466"/>
      <c r="BH29" s="466"/>
      <c r="BI29" s="466"/>
      <c r="BJ29" s="466"/>
      <c r="BK29" s="466"/>
      <c r="BL29" s="466"/>
      <c r="BM29" s="466"/>
      <c r="BN29" s="466"/>
      <c r="BO29" s="466"/>
      <c r="BP29" s="466"/>
      <c r="BQ29" s="466"/>
      <c r="BR29" s="466"/>
      <c r="BS29" s="466"/>
      <c r="BT29" s="466"/>
      <c r="BU29" s="466"/>
      <c r="BV29" s="466"/>
      <c r="BW29" s="466"/>
      <c r="BX29" s="466"/>
      <c r="BY29" s="466"/>
      <c r="BZ29" s="466"/>
      <c r="CA29" s="466"/>
      <c r="CB29" s="466"/>
      <c r="CC29" s="466"/>
      <c r="CD29" s="466"/>
      <c r="CE29" s="466"/>
      <c r="CF29" s="466"/>
      <c r="CG29" s="466"/>
      <c r="CH29" s="466"/>
      <c r="CI29" s="466"/>
      <c r="CJ29" s="466"/>
      <c r="CK29" s="466"/>
      <c r="CL29" s="466"/>
      <c r="CM29" s="466"/>
      <c r="CN29" s="466"/>
      <c r="CO29" s="466"/>
      <c r="CP29" s="466"/>
      <c r="CQ29" s="466"/>
      <c r="CR29" s="466"/>
      <c r="CS29" s="466"/>
      <c r="CT29" s="466"/>
      <c r="CU29" s="466"/>
      <c r="CV29" s="466"/>
      <c r="CW29" s="466"/>
      <c r="CX29" s="466"/>
      <c r="CY29" s="466"/>
      <c r="CZ29" s="466"/>
      <c r="DA29" s="466"/>
      <c r="DB29" s="466"/>
      <c r="DC29" s="466"/>
    </row>
    <row r="30" spans="1:107" s="467" customFormat="1" ht="12.75">
      <c r="A30" s="472" t="s">
        <v>354</v>
      </c>
      <c r="B30" s="27">
        <v>8160568</v>
      </c>
      <c r="C30" s="27"/>
      <c r="D30" s="669">
        <f t="shared" si="0"/>
        <v>0</v>
      </c>
      <c r="E30" s="27">
        <v>1503268</v>
      </c>
      <c r="F30" s="27"/>
      <c r="G30" s="669">
        <f t="shared" si="1"/>
        <v>0</v>
      </c>
      <c r="H30" s="27">
        <v>12888000</v>
      </c>
      <c r="I30" s="27"/>
      <c r="J30" s="669">
        <f t="shared" si="5"/>
        <v>0</v>
      </c>
      <c r="K30" s="472" t="s">
        <v>354</v>
      </c>
      <c r="L30" s="27">
        <f t="shared" si="19"/>
        <v>8161</v>
      </c>
      <c r="M30" s="27">
        <f t="shared" si="19"/>
        <v>0</v>
      </c>
      <c r="N30" s="669">
        <f t="shared" si="2"/>
        <v>0</v>
      </c>
      <c r="O30" s="27">
        <f t="shared" si="19"/>
        <v>1503</v>
      </c>
      <c r="P30" s="27">
        <f t="shared" si="19"/>
        <v>0</v>
      </c>
      <c r="Q30" s="669">
        <f t="shared" si="3"/>
        <v>0</v>
      </c>
      <c r="R30" s="27">
        <f>ROUND(H30/1000,0)</f>
        <v>12888</v>
      </c>
      <c r="S30" s="27">
        <f t="shared" si="19"/>
        <v>0</v>
      </c>
      <c r="T30" s="669">
        <f t="shared" si="7"/>
        <v>0</v>
      </c>
      <c r="U30" s="466"/>
      <c r="V30" s="466"/>
      <c r="W30" s="466"/>
      <c r="X30" s="466"/>
      <c r="Y30" s="466"/>
      <c r="Z30" s="466"/>
      <c r="AA30" s="466"/>
      <c r="AB30" s="466"/>
      <c r="AC30" s="466"/>
      <c r="AD30" s="466"/>
      <c r="AE30" s="466"/>
      <c r="AF30" s="466"/>
      <c r="AG30" s="466"/>
      <c r="AH30" s="466"/>
      <c r="AI30" s="466"/>
      <c r="AJ30" s="466"/>
      <c r="AK30" s="466"/>
      <c r="AL30" s="466"/>
      <c r="AM30" s="466"/>
      <c r="AN30" s="466"/>
      <c r="AO30" s="466"/>
      <c r="AP30" s="466"/>
      <c r="AQ30" s="466"/>
      <c r="AR30" s="466"/>
      <c r="AS30" s="466"/>
      <c r="AT30" s="466"/>
      <c r="AU30" s="466"/>
      <c r="AV30" s="466"/>
      <c r="AW30" s="466"/>
      <c r="AX30" s="466"/>
      <c r="AY30" s="466"/>
      <c r="AZ30" s="466"/>
      <c r="BA30" s="466"/>
      <c r="BB30" s="466"/>
      <c r="BC30" s="466"/>
      <c r="BD30" s="466"/>
      <c r="BE30" s="466"/>
      <c r="BF30" s="466"/>
      <c r="BG30" s="466"/>
      <c r="BH30" s="466"/>
      <c r="BI30" s="466"/>
      <c r="BJ30" s="466"/>
      <c r="BK30" s="466"/>
      <c r="BL30" s="466"/>
      <c r="BM30" s="466"/>
      <c r="BN30" s="466"/>
      <c r="BO30" s="466"/>
      <c r="BP30" s="466"/>
      <c r="BQ30" s="466"/>
      <c r="BR30" s="466"/>
      <c r="BS30" s="466"/>
      <c r="BT30" s="466"/>
      <c r="BU30" s="466"/>
      <c r="BV30" s="466"/>
      <c r="BW30" s="466"/>
      <c r="BX30" s="466"/>
      <c r="BY30" s="466"/>
      <c r="BZ30" s="466"/>
      <c r="CA30" s="466"/>
      <c r="CB30" s="466"/>
      <c r="CC30" s="466"/>
      <c r="CD30" s="466"/>
      <c r="CE30" s="466"/>
      <c r="CF30" s="466"/>
      <c r="CG30" s="466"/>
      <c r="CH30" s="466"/>
      <c r="CI30" s="466"/>
      <c r="CJ30" s="466"/>
      <c r="CK30" s="466"/>
      <c r="CL30" s="466"/>
      <c r="CM30" s="466"/>
      <c r="CN30" s="466"/>
      <c r="CO30" s="466"/>
      <c r="CP30" s="466"/>
      <c r="CQ30" s="466"/>
      <c r="CR30" s="466"/>
      <c r="CS30" s="466"/>
      <c r="CT30" s="466"/>
      <c r="CU30" s="466"/>
      <c r="CV30" s="466"/>
      <c r="CW30" s="466"/>
      <c r="CX30" s="466"/>
      <c r="CY30" s="466"/>
      <c r="CZ30" s="466"/>
      <c r="DA30" s="466"/>
      <c r="DB30" s="466"/>
      <c r="DC30" s="466"/>
    </row>
    <row r="31" spans="1:20" s="666" customFormat="1" ht="24">
      <c r="A31" s="59" t="s">
        <v>84</v>
      </c>
      <c r="B31" s="470">
        <f>SUM(B32:B33)</f>
        <v>767700</v>
      </c>
      <c r="C31" s="470">
        <f>SUM(C32:C33)</f>
        <v>0</v>
      </c>
      <c r="D31" s="668">
        <f t="shared" si="0"/>
        <v>0</v>
      </c>
      <c r="E31" s="470">
        <f>SUM(E32:E33)</f>
        <v>1326550</v>
      </c>
      <c r="F31" s="470">
        <f>SUM(F32:F33)</f>
        <v>0</v>
      </c>
      <c r="G31" s="668">
        <f t="shared" si="1"/>
        <v>0</v>
      </c>
      <c r="H31" s="470">
        <f>SUM(H32:H33)</f>
        <v>1253100</v>
      </c>
      <c r="I31" s="470">
        <f>SUM(I32:I33)</f>
        <v>0</v>
      </c>
      <c r="J31" s="669">
        <f t="shared" si="5"/>
        <v>0</v>
      </c>
      <c r="K31" s="59" t="s">
        <v>84</v>
      </c>
      <c r="L31" s="470">
        <f>SUM(L32:L33)</f>
        <v>768</v>
      </c>
      <c r="M31" s="470">
        <f>SUM(M32:M33)</f>
        <v>0</v>
      </c>
      <c r="N31" s="668">
        <f t="shared" si="2"/>
        <v>0</v>
      </c>
      <c r="O31" s="470">
        <f>SUM(O32:O33)</f>
        <v>1327</v>
      </c>
      <c r="P31" s="470">
        <f>SUM(P32:P33)</f>
        <v>0</v>
      </c>
      <c r="Q31" s="668">
        <f t="shared" si="3"/>
        <v>0</v>
      </c>
      <c r="R31" s="470">
        <f>SUM(R32:R33)</f>
        <v>1253</v>
      </c>
      <c r="S31" s="470">
        <f>SUM(S32:S33)</f>
        <v>0</v>
      </c>
      <c r="T31" s="668">
        <f t="shared" si="7"/>
        <v>0</v>
      </c>
    </row>
    <row r="32" spans="1:107" s="467" customFormat="1" ht="12.75">
      <c r="A32" s="472" t="s">
        <v>723</v>
      </c>
      <c r="B32" s="27">
        <v>17700</v>
      </c>
      <c r="C32" s="27"/>
      <c r="D32" s="669">
        <f t="shared" si="0"/>
        <v>0</v>
      </c>
      <c r="E32" s="27">
        <v>26550</v>
      </c>
      <c r="F32" s="27"/>
      <c r="G32" s="669">
        <f t="shared" si="1"/>
        <v>0</v>
      </c>
      <c r="H32" s="27">
        <v>53100</v>
      </c>
      <c r="I32" s="27"/>
      <c r="J32" s="669">
        <f t="shared" si="5"/>
        <v>0</v>
      </c>
      <c r="K32" s="472" t="s">
        <v>723</v>
      </c>
      <c r="L32" s="27">
        <f>ROUND(B32/1000,0)</f>
        <v>18</v>
      </c>
      <c r="M32" s="27">
        <f>ROUND(C32/1000,0)</f>
        <v>0</v>
      </c>
      <c r="N32" s="669">
        <f>M32/L32*100</f>
        <v>0</v>
      </c>
      <c r="O32" s="27">
        <f>ROUND(E32/1000,0)</f>
        <v>27</v>
      </c>
      <c r="P32" s="27">
        <f>ROUND(F32/1000,0)</f>
        <v>0</v>
      </c>
      <c r="Q32" s="669">
        <f>P32/O32*100</f>
        <v>0</v>
      </c>
      <c r="R32" s="27">
        <f>ROUND(H32/1000,0)</f>
        <v>53</v>
      </c>
      <c r="S32" s="27">
        <f>ROUND(I32/1000,0)</f>
        <v>0</v>
      </c>
      <c r="T32" s="669">
        <f>S32/R32*100</f>
        <v>0</v>
      </c>
      <c r="U32" s="466"/>
      <c r="V32" s="466"/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466"/>
      <c r="BO32" s="466"/>
      <c r="BP32" s="466"/>
      <c r="BQ32" s="466"/>
      <c r="BR32" s="466"/>
      <c r="BS32" s="466"/>
      <c r="BT32" s="466"/>
      <c r="BU32" s="466"/>
      <c r="BV32" s="466"/>
      <c r="BW32" s="466"/>
      <c r="BX32" s="466"/>
      <c r="BY32" s="466"/>
      <c r="BZ32" s="466"/>
      <c r="CA32" s="466"/>
      <c r="CB32" s="466"/>
      <c r="CC32" s="466"/>
      <c r="CD32" s="466"/>
      <c r="CE32" s="466"/>
      <c r="CF32" s="466"/>
      <c r="CG32" s="466"/>
      <c r="CH32" s="466"/>
      <c r="CI32" s="466"/>
      <c r="CJ32" s="466"/>
      <c r="CK32" s="466"/>
      <c r="CL32" s="466"/>
      <c r="CM32" s="466"/>
      <c r="CN32" s="466"/>
      <c r="CO32" s="466"/>
      <c r="CP32" s="466"/>
      <c r="CQ32" s="466"/>
      <c r="CR32" s="466"/>
      <c r="CS32" s="466"/>
      <c r="CT32" s="466"/>
      <c r="CU32" s="466"/>
      <c r="CV32" s="466"/>
      <c r="CW32" s="466"/>
      <c r="CX32" s="466"/>
      <c r="CY32" s="466"/>
      <c r="CZ32" s="466"/>
      <c r="DA32" s="466"/>
      <c r="DB32" s="466"/>
      <c r="DC32" s="466"/>
    </row>
    <row r="33" spans="1:107" s="467" customFormat="1" ht="12.75">
      <c r="A33" s="472" t="s">
        <v>354</v>
      </c>
      <c r="B33" s="27">
        <v>750000</v>
      </c>
      <c r="C33" s="27"/>
      <c r="D33" s="669">
        <f t="shared" si="0"/>
        <v>0</v>
      </c>
      <c r="E33" s="27">
        <v>1300000</v>
      </c>
      <c r="F33" s="27"/>
      <c r="G33" s="669">
        <f t="shared" si="1"/>
        <v>0</v>
      </c>
      <c r="H33" s="27">
        <v>1200000</v>
      </c>
      <c r="I33" s="27"/>
      <c r="J33" s="669">
        <f t="shared" si="5"/>
        <v>0</v>
      </c>
      <c r="K33" s="472" t="s">
        <v>354</v>
      </c>
      <c r="L33" s="27">
        <f aca="true" t="shared" si="20" ref="L33:S33">ROUND(B33/1000,0)</f>
        <v>750</v>
      </c>
      <c r="M33" s="27">
        <f t="shared" si="20"/>
        <v>0</v>
      </c>
      <c r="N33" s="669">
        <f t="shared" si="2"/>
        <v>0</v>
      </c>
      <c r="O33" s="27">
        <f t="shared" si="20"/>
        <v>1300</v>
      </c>
      <c r="P33" s="27">
        <f t="shared" si="20"/>
        <v>0</v>
      </c>
      <c r="Q33" s="669">
        <f t="shared" si="3"/>
        <v>0</v>
      </c>
      <c r="R33" s="27">
        <f t="shared" si="20"/>
        <v>1200</v>
      </c>
      <c r="S33" s="27">
        <f t="shared" si="20"/>
        <v>0</v>
      </c>
      <c r="T33" s="669">
        <f t="shared" si="7"/>
        <v>0</v>
      </c>
      <c r="U33" s="466"/>
      <c r="V33" s="466"/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466"/>
      <c r="BO33" s="466"/>
      <c r="BP33" s="466"/>
      <c r="BQ33" s="466"/>
      <c r="BR33" s="466"/>
      <c r="BS33" s="466"/>
      <c r="BT33" s="466"/>
      <c r="BU33" s="466"/>
      <c r="BV33" s="466"/>
      <c r="BW33" s="466"/>
      <c r="BX33" s="466"/>
      <c r="BY33" s="466"/>
      <c r="BZ33" s="466"/>
      <c r="CA33" s="466"/>
      <c r="CB33" s="466"/>
      <c r="CC33" s="466"/>
      <c r="CD33" s="466"/>
      <c r="CE33" s="466"/>
      <c r="CF33" s="466"/>
      <c r="CG33" s="466"/>
      <c r="CH33" s="466"/>
      <c r="CI33" s="466"/>
      <c r="CJ33" s="466"/>
      <c r="CK33" s="466"/>
      <c r="CL33" s="466"/>
      <c r="CM33" s="466"/>
      <c r="CN33" s="466"/>
      <c r="CO33" s="466"/>
      <c r="CP33" s="466"/>
      <c r="CQ33" s="466"/>
      <c r="CR33" s="466"/>
      <c r="CS33" s="466"/>
      <c r="CT33" s="466"/>
      <c r="CU33" s="466"/>
      <c r="CV33" s="466"/>
      <c r="CW33" s="466"/>
      <c r="CX33" s="466"/>
      <c r="CY33" s="466"/>
      <c r="CZ33" s="466"/>
      <c r="DA33" s="466"/>
      <c r="DB33" s="466"/>
      <c r="DC33" s="466"/>
    </row>
    <row r="34" spans="1:20" ht="24">
      <c r="A34" s="477" t="s">
        <v>107</v>
      </c>
      <c r="B34" s="470">
        <f>SUM(B35:B36)</f>
        <v>26722</v>
      </c>
      <c r="C34" s="470">
        <f aca="true" t="shared" si="21" ref="C34:I34">SUM(C35:C36)</f>
        <v>0</v>
      </c>
      <c r="D34" s="668">
        <f t="shared" si="0"/>
        <v>0</v>
      </c>
      <c r="E34" s="470">
        <f t="shared" si="21"/>
        <v>25515</v>
      </c>
      <c r="F34" s="470">
        <f t="shared" si="21"/>
        <v>0</v>
      </c>
      <c r="G34" s="668">
        <f t="shared" si="1"/>
        <v>0</v>
      </c>
      <c r="H34" s="470">
        <f t="shared" si="21"/>
        <v>61202</v>
      </c>
      <c r="I34" s="470">
        <f t="shared" si="21"/>
        <v>0</v>
      </c>
      <c r="J34" s="669">
        <f t="shared" si="5"/>
        <v>0</v>
      </c>
      <c r="K34" s="477" t="s">
        <v>107</v>
      </c>
      <c r="L34" s="470">
        <f aca="true" t="shared" si="22" ref="L34:S34">SUM(L35:L36)</f>
        <v>27</v>
      </c>
      <c r="M34" s="470">
        <f t="shared" si="22"/>
        <v>0</v>
      </c>
      <c r="N34" s="668">
        <f t="shared" si="2"/>
        <v>0</v>
      </c>
      <c r="O34" s="470">
        <f t="shared" si="22"/>
        <v>26</v>
      </c>
      <c r="P34" s="470">
        <f t="shared" si="22"/>
        <v>0</v>
      </c>
      <c r="Q34" s="668">
        <f t="shared" si="3"/>
        <v>0</v>
      </c>
      <c r="R34" s="470">
        <f t="shared" si="22"/>
        <v>61</v>
      </c>
      <c r="S34" s="470">
        <f t="shared" si="22"/>
        <v>0</v>
      </c>
      <c r="T34" s="668">
        <f t="shared" si="7"/>
        <v>0</v>
      </c>
    </row>
    <row r="35" spans="1:107" s="467" customFormat="1" ht="12.75">
      <c r="A35" s="472" t="s">
        <v>722</v>
      </c>
      <c r="B35" s="27">
        <v>22834</v>
      </c>
      <c r="C35" s="27"/>
      <c r="D35" s="669">
        <f t="shared" si="0"/>
        <v>0</v>
      </c>
      <c r="E35" s="27">
        <v>22541</v>
      </c>
      <c r="F35" s="27"/>
      <c r="G35" s="669">
        <f t="shared" si="1"/>
        <v>0</v>
      </c>
      <c r="H35" s="27">
        <v>57493</v>
      </c>
      <c r="I35" s="27"/>
      <c r="J35" s="669">
        <f t="shared" si="5"/>
        <v>0</v>
      </c>
      <c r="K35" s="472" t="s">
        <v>722</v>
      </c>
      <c r="L35" s="27">
        <f aca="true" t="shared" si="23" ref="L35:S36">ROUND(B35/1000,0)</f>
        <v>23</v>
      </c>
      <c r="M35" s="27">
        <f t="shared" si="23"/>
        <v>0</v>
      </c>
      <c r="N35" s="669">
        <f t="shared" si="2"/>
        <v>0</v>
      </c>
      <c r="O35" s="27">
        <f t="shared" si="23"/>
        <v>23</v>
      </c>
      <c r="P35" s="27">
        <f t="shared" si="23"/>
        <v>0</v>
      </c>
      <c r="Q35" s="669">
        <f t="shared" si="3"/>
        <v>0</v>
      </c>
      <c r="R35" s="27">
        <f t="shared" si="23"/>
        <v>57</v>
      </c>
      <c r="S35" s="27">
        <f t="shared" si="23"/>
        <v>0</v>
      </c>
      <c r="T35" s="669">
        <f t="shared" si="7"/>
        <v>0</v>
      </c>
      <c r="U35" s="466"/>
      <c r="V35" s="466"/>
      <c r="W35" s="466"/>
      <c r="X35" s="466"/>
      <c r="Y35" s="466"/>
      <c r="Z35" s="466"/>
      <c r="AA35" s="466"/>
      <c r="AB35" s="466"/>
      <c r="AC35" s="466"/>
      <c r="AD35" s="466"/>
      <c r="AE35" s="466"/>
      <c r="AF35" s="466"/>
      <c r="AG35" s="466"/>
      <c r="AH35" s="466"/>
      <c r="AI35" s="466"/>
      <c r="AJ35" s="466"/>
      <c r="AK35" s="466"/>
      <c r="AL35" s="466"/>
      <c r="AM35" s="466"/>
      <c r="AN35" s="466"/>
      <c r="AO35" s="466"/>
      <c r="AP35" s="466"/>
      <c r="AQ35" s="466"/>
      <c r="AR35" s="466"/>
      <c r="AS35" s="466"/>
      <c r="AT35" s="466"/>
      <c r="AU35" s="466"/>
      <c r="AV35" s="466"/>
      <c r="AW35" s="466"/>
      <c r="AX35" s="466"/>
      <c r="AY35" s="466"/>
      <c r="AZ35" s="466"/>
      <c r="BA35" s="466"/>
      <c r="BB35" s="466"/>
      <c r="BC35" s="466"/>
      <c r="BD35" s="466"/>
      <c r="BE35" s="466"/>
      <c r="BF35" s="466"/>
      <c r="BG35" s="466"/>
      <c r="BH35" s="466"/>
      <c r="BI35" s="466"/>
      <c r="BJ35" s="466"/>
      <c r="BK35" s="466"/>
      <c r="BL35" s="466"/>
      <c r="BM35" s="466"/>
      <c r="BN35" s="466"/>
      <c r="BO35" s="466"/>
      <c r="BP35" s="466"/>
      <c r="BQ35" s="466"/>
      <c r="BR35" s="466"/>
      <c r="BS35" s="466"/>
      <c r="BT35" s="466"/>
      <c r="BU35" s="466"/>
      <c r="BV35" s="466"/>
      <c r="BW35" s="466"/>
      <c r="BX35" s="466"/>
      <c r="BY35" s="466"/>
      <c r="BZ35" s="466"/>
      <c r="CA35" s="466"/>
      <c r="CB35" s="466"/>
      <c r="CC35" s="466"/>
      <c r="CD35" s="466"/>
      <c r="CE35" s="466"/>
      <c r="CF35" s="466"/>
      <c r="CG35" s="466"/>
      <c r="CH35" s="466"/>
      <c r="CI35" s="466"/>
      <c r="CJ35" s="466"/>
      <c r="CK35" s="466"/>
      <c r="CL35" s="466"/>
      <c r="CM35" s="466"/>
      <c r="CN35" s="466"/>
      <c r="CO35" s="466"/>
      <c r="CP35" s="466"/>
      <c r="CQ35" s="466"/>
      <c r="CR35" s="466"/>
      <c r="CS35" s="466"/>
      <c r="CT35" s="466"/>
      <c r="CU35" s="466"/>
      <c r="CV35" s="466"/>
      <c r="CW35" s="466"/>
      <c r="CX35" s="466"/>
      <c r="CY35" s="466"/>
      <c r="CZ35" s="466"/>
      <c r="DA35" s="466"/>
      <c r="DB35" s="466"/>
      <c r="DC35" s="466"/>
    </row>
    <row r="36" spans="1:107" s="467" customFormat="1" ht="12.75">
      <c r="A36" s="472" t="s">
        <v>136</v>
      </c>
      <c r="B36" s="27">
        <v>3888</v>
      </c>
      <c r="C36" s="27"/>
      <c r="D36" s="669">
        <f t="shared" si="0"/>
        <v>0</v>
      </c>
      <c r="E36" s="27">
        <v>2974</v>
      </c>
      <c r="F36" s="27"/>
      <c r="G36" s="669">
        <f t="shared" si="1"/>
        <v>0</v>
      </c>
      <c r="H36" s="27">
        <v>3709</v>
      </c>
      <c r="I36" s="27"/>
      <c r="J36" s="669">
        <f t="shared" si="5"/>
        <v>0</v>
      </c>
      <c r="K36" s="472" t="s">
        <v>136</v>
      </c>
      <c r="L36" s="27">
        <f t="shared" si="23"/>
        <v>4</v>
      </c>
      <c r="M36" s="27">
        <f t="shared" si="23"/>
        <v>0</v>
      </c>
      <c r="N36" s="669">
        <f t="shared" si="2"/>
        <v>0</v>
      </c>
      <c r="O36" s="27">
        <f t="shared" si="23"/>
        <v>3</v>
      </c>
      <c r="P36" s="27">
        <f t="shared" si="23"/>
        <v>0</v>
      </c>
      <c r="Q36" s="669">
        <f t="shared" si="3"/>
        <v>0</v>
      </c>
      <c r="R36" s="27">
        <f t="shared" si="23"/>
        <v>4</v>
      </c>
      <c r="S36" s="27">
        <f t="shared" si="23"/>
        <v>0</v>
      </c>
      <c r="T36" s="669">
        <f t="shared" si="7"/>
        <v>0</v>
      </c>
      <c r="U36" s="466"/>
      <c r="V36" s="466"/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466"/>
      <c r="BO36" s="466"/>
      <c r="BP36" s="466"/>
      <c r="BQ36" s="466"/>
      <c r="BR36" s="466"/>
      <c r="BS36" s="466"/>
      <c r="BT36" s="466"/>
      <c r="BU36" s="466"/>
      <c r="BV36" s="466"/>
      <c r="BW36" s="466"/>
      <c r="BX36" s="466"/>
      <c r="BY36" s="466"/>
      <c r="BZ36" s="466"/>
      <c r="CA36" s="466"/>
      <c r="CB36" s="466"/>
      <c r="CC36" s="466"/>
      <c r="CD36" s="466"/>
      <c r="CE36" s="466"/>
      <c r="CF36" s="466"/>
      <c r="CG36" s="466"/>
      <c r="CH36" s="466"/>
      <c r="CI36" s="466"/>
      <c r="CJ36" s="466"/>
      <c r="CK36" s="466"/>
      <c r="CL36" s="466"/>
      <c r="CM36" s="466"/>
      <c r="CN36" s="466"/>
      <c r="CO36" s="466"/>
      <c r="CP36" s="466"/>
      <c r="CQ36" s="466"/>
      <c r="CR36" s="466"/>
      <c r="CS36" s="466"/>
      <c r="CT36" s="466"/>
      <c r="CU36" s="466"/>
      <c r="CV36" s="466"/>
      <c r="CW36" s="466"/>
      <c r="CX36" s="466"/>
      <c r="CY36" s="466"/>
      <c r="CZ36" s="466"/>
      <c r="DA36" s="466"/>
      <c r="DB36" s="466"/>
      <c r="DC36" s="466"/>
    </row>
    <row r="37" spans="10:20" ht="12.75">
      <c r="J37" s="1"/>
      <c r="T37" s="1"/>
    </row>
    <row r="38" spans="1:20" ht="12.75">
      <c r="A38" s="174"/>
      <c r="B38" s="681"/>
      <c r="C38" s="682"/>
      <c r="D38" s="683"/>
      <c r="E38" s="683"/>
      <c r="F38" s="684"/>
      <c r="G38" s="684"/>
      <c r="H38" s="684"/>
      <c r="I38" s="684"/>
      <c r="J38" s="1"/>
      <c r="K38" s="174"/>
      <c r="L38" s="681"/>
      <c r="M38" s="682"/>
      <c r="N38" s="683"/>
      <c r="O38" s="683"/>
      <c r="P38" s="684"/>
      <c r="Q38" s="684"/>
      <c r="R38" s="684"/>
      <c r="S38" s="684"/>
      <c r="T38" s="1"/>
    </row>
    <row r="40" spans="1:20" ht="12.75">
      <c r="A40" s="1"/>
      <c r="B40" s="610"/>
      <c r="C40" s="625"/>
      <c r="D40" s="625"/>
      <c r="E40" s="674"/>
      <c r="F40" s="675"/>
      <c r="G40" s="675"/>
      <c r="H40" s="675"/>
      <c r="I40" s="675"/>
      <c r="J40" s="1"/>
      <c r="K40" s="1"/>
      <c r="L40" s="610"/>
      <c r="M40" s="625"/>
      <c r="N40" s="625"/>
      <c r="O40" s="674"/>
      <c r="P40" s="675"/>
      <c r="Q40" s="675"/>
      <c r="R40" s="675"/>
      <c r="S40" s="675"/>
      <c r="T40" s="1"/>
    </row>
    <row r="41" spans="1:20" ht="12.75">
      <c r="A41" s="41" t="s">
        <v>730</v>
      </c>
      <c r="B41" s="610"/>
      <c r="C41" s="625"/>
      <c r="D41" s="625"/>
      <c r="E41" s="674"/>
      <c r="F41" s="675"/>
      <c r="G41" s="675"/>
      <c r="H41" s="675"/>
      <c r="I41" s="675"/>
      <c r="J41" s="1"/>
      <c r="K41" s="867" t="s">
        <v>915</v>
      </c>
      <c r="L41" s="867"/>
      <c r="M41" s="867"/>
      <c r="N41" s="867"/>
      <c r="O41" s="867"/>
      <c r="P41" s="867"/>
      <c r="Q41" s="867"/>
      <c r="R41" s="675"/>
      <c r="S41" s="675"/>
      <c r="T41" s="1"/>
    </row>
    <row r="42" spans="2:20" ht="12.75">
      <c r="B42" s="676"/>
      <c r="C42" s="625"/>
      <c r="D42" s="677"/>
      <c r="E42" s="678"/>
      <c r="F42" s="679"/>
      <c r="G42" s="679"/>
      <c r="H42" s="679"/>
      <c r="I42" s="679"/>
      <c r="J42" s="1"/>
      <c r="L42" s="676"/>
      <c r="M42" s="625"/>
      <c r="N42" s="677"/>
      <c r="O42" s="678"/>
      <c r="P42" s="679"/>
      <c r="Q42" s="679"/>
      <c r="R42" s="679"/>
      <c r="S42" s="679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0</v>
      </c>
      <c r="T51" s="1"/>
    </row>
    <row r="52" spans="10:20" ht="12.75">
      <c r="J52" s="1"/>
      <c r="K52" s="1" t="s">
        <v>885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A6:J6"/>
    <mergeCell ref="K6:T6"/>
    <mergeCell ref="B9:D9"/>
    <mergeCell ref="E9:G9"/>
    <mergeCell ref="H9:J9"/>
    <mergeCell ref="A4:J4"/>
    <mergeCell ref="K4:T4"/>
    <mergeCell ref="A5:J5"/>
    <mergeCell ref="K5:T5"/>
    <mergeCell ref="L9:N9"/>
    <mergeCell ref="O9:Q9"/>
    <mergeCell ref="R9:T9"/>
    <mergeCell ref="K41:Q41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H11">
      <selection activeCell="A59" sqref="A59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0" style="0" hidden="1" customWidth="1"/>
    <col min="8" max="8" width="49.8515625" style="0" customWidth="1"/>
    <col min="9" max="9" width="11.00390625" style="0" customWidth="1"/>
    <col min="11" max="11" width="12.57421875" style="0" customWidth="1"/>
    <col min="12" max="12" width="10.57421875" style="0" customWidth="1"/>
    <col min="13" max="13" width="8.28125" style="0" customWidth="1"/>
    <col min="16" max="22" width="0" style="0" hidden="1" customWidth="1"/>
  </cols>
  <sheetData>
    <row r="1" spans="6:13" ht="14.25" customHeight="1">
      <c r="F1" s="88" t="s">
        <v>2</v>
      </c>
      <c r="M1" s="88" t="s">
        <v>2</v>
      </c>
    </row>
    <row r="2" spans="1:13" ht="13.5" customHeight="1">
      <c r="A2" s="865" t="s">
        <v>3</v>
      </c>
      <c r="B2" s="865"/>
      <c r="C2" s="865"/>
      <c r="D2" s="865"/>
      <c r="E2" s="865"/>
      <c r="F2" s="865"/>
      <c r="H2" s="869" t="s">
        <v>3</v>
      </c>
      <c r="I2" s="869"/>
      <c r="J2" s="869"/>
      <c r="K2" s="869"/>
      <c r="L2" s="869"/>
      <c r="M2" s="869"/>
    </row>
    <row r="3" ht="12.75" customHeight="1"/>
    <row r="4" spans="1:13" ht="15" customHeight="1">
      <c r="A4" s="866" t="s">
        <v>4</v>
      </c>
      <c r="B4" s="866"/>
      <c r="C4" s="866"/>
      <c r="D4" s="866"/>
      <c r="E4" s="866"/>
      <c r="F4" s="866"/>
      <c r="H4" s="856" t="s">
        <v>4</v>
      </c>
      <c r="I4" s="856"/>
      <c r="J4" s="856"/>
      <c r="K4" s="856"/>
      <c r="L4" s="856"/>
      <c r="M4" s="856"/>
    </row>
    <row r="5" spans="1:12" ht="14.25" customHeight="1">
      <c r="A5" s="865" t="s">
        <v>848</v>
      </c>
      <c r="B5" s="865"/>
      <c r="C5" s="865"/>
      <c r="D5" s="865"/>
      <c r="E5" s="865"/>
      <c r="H5" s="868" t="s">
        <v>848</v>
      </c>
      <c r="I5" s="868"/>
      <c r="J5" s="868"/>
      <c r="K5" s="868"/>
      <c r="L5" s="868"/>
    </row>
    <row r="6" spans="6:13" ht="14.25" customHeight="1">
      <c r="F6" s="38" t="s">
        <v>957</v>
      </c>
      <c r="M6" s="38" t="s">
        <v>957</v>
      </c>
    </row>
    <row r="7" spans="1:13" ht="33.75">
      <c r="A7" s="9" t="s">
        <v>5</v>
      </c>
      <c r="B7" s="9" t="s">
        <v>958</v>
      </c>
      <c r="C7" s="90" t="s">
        <v>6</v>
      </c>
      <c r="D7" s="9" t="s">
        <v>959</v>
      </c>
      <c r="E7" s="9" t="s">
        <v>7</v>
      </c>
      <c r="F7" s="9" t="s">
        <v>849</v>
      </c>
      <c r="H7" s="9" t="s">
        <v>5</v>
      </c>
      <c r="I7" s="9" t="s">
        <v>958</v>
      </c>
      <c r="J7" s="90" t="s">
        <v>6</v>
      </c>
      <c r="K7" s="9" t="s">
        <v>959</v>
      </c>
      <c r="L7" s="9" t="s">
        <v>7</v>
      </c>
      <c r="M7" s="9" t="s">
        <v>850</v>
      </c>
    </row>
    <row r="8" spans="1:13" ht="13.5" customHeight="1">
      <c r="A8" s="8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H8" s="8">
        <v>1</v>
      </c>
      <c r="I8" s="91">
        <v>2</v>
      </c>
      <c r="J8" s="91">
        <v>3</v>
      </c>
      <c r="K8" s="91">
        <v>4</v>
      </c>
      <c r="L8" s="91">
        <v>5</v>
      </c>
      <c r="M8" s="91">
        <v>6</v>
      </c>
    </row>
    <row r="9" spans="1:18" ht="13.5" customHeight="1">
      <c r="A9" s="92" t="s">
        <v>8</v>
      </c>
      <c r="B9" s="93">
        <f>B10+B21+B38+B40</f>
        <v>795345958</v>
      </c>
      <c r="C9" s="94">
        <v>96.07</v>
      </c>
      <c r="D9" s="93">
        <f>D10+D21+D38+D40</f>
        <v>433250506.43000007</v>
      </c>
      <c r="E9" s="95">
        <f aca="true" t="shared" si="0" ref="E9:E18">IF(ISERROR(D9/B9)," ",(D9/B9))*100</f>
        <v>54.47321408654221</v>
      </c>
      <c r="F9" s="93">
        <f>F10+F21+F38+F40</f>
        <v>65721466.809999995</v>
      </c>
      <c r="H9" s="92" t="s">
        <v>8</v>
      </c>
      <c r="I9" s="96">
        <f aca="true" t="shared" si="1" ref="I9:I18">ROUND(B9/1000,0)</f>
        <v>795346</v>
      </c>
      <c r="J9" s="94">
        <f>C9</f>
        <v>96.07</v>
      </c>
      <c r="K9" s="96">
        <f>K10+K21+K38+K40</f>
        <v>433250</v>
      </c>
      <c r="L9" s="97">
        <f aca="true" t="shared" si="2" ref="L9:L18">E9</f>
        <v>54.47321408654221</v>
      </c>
      <c r="M9" s="96">
        <f>M10+M21+M38+M40</f>
        <v>65721</v>
      </c>
      <c r="P9">
        <v>433250</v>
      </c>
      <c r="Q9">
        <v>367529</v>
      </c>
      <c r="R9">
        <f aca="true" t="shared" si="3" ref="R9:R40">P9-Q9</f>
        <v>65721</v>
      </c>
    </row>
    <row r="10" spans="1:18" ht="13.5" customHeight="1">
      <c r="A10" s="98" t="s">
        <v>9</v>
      </c>
      <c r="B10" s="93">
        <f>B11+B13+B17</f>
        <v>615019797</v>
      </c>
      <c r="C10" s="94">
        <v>94.27</v>
      </c>
      <c r="D10" s="93">
        <f>D11+D13+D19+D17</f>
        <v>341063429.61</v>
      </c>
      <c r="E10" s="95">
        <f t="shared" si="0"/>
        <v>55.45568309730362</v>
      </c>
      <c r="F10" s="93">
        <f>F11+F13+F19+F17</f>
        <v>50679988.16</v>
      </c>
      <c r="H10" s="98" t="s">
        <v>9</v>
      </c>
      <c r="I10" s="96">
        <f t="shared" si="1"/>
        <v>615020</v>
      </c>
      <c r="J10" s="94">
        <f>C10</f>
        <v>94.27</v>
      </c>
      <c r="K10" s="96">
        <f>K11+K13+K19+K17</f>
        <v>341063</v>
      </c>
      <c r="L10" s="97">
        <f t="shared" si="2"/>
        <v>55.45568309730362</v>
      </c>
      <c r="M10" s="96">
        <f>M11+M13+M19+M17</f>
        <v>50680</v>
      </c>
      <c r="P10">
        <v>341063</v>
      </c>
      <c r="Q10">
        <v>290383</v>
      </c>
      <c r="R10">
        <f t="shared" si="3"/>
        <v>50680</v>
      </c>
    </row>
    <row r="11" spans="1:18" ht="13.5" customHeight="1">
      <c r="A11" s="98" t="s">
        <v>10</v>
      </c>
      <c r="B11" s="93">
        <f>B12</f>
        <v>98046000</v>
      </c>
      <c r="C11" s="94">
        <v>94.4</v>
      </c>
      <c r="D11" s="93">
        <f>D12</f>
        <v>59395513.33</v>
      </c>
      <c r="E11" s="95">
        <f t="shared" si="0"/>
        <v>60.57923151377924</v>
      </c>
      <c r="F11" s="93">
        <f>F12</f>
        <v>4765970.420000002</v>
      </c>
      <c r="H11" s="98" t="s">
        <v>10</v>
      </c>
      <c r="I11" s="96">
        <f t="shared" si="1"/>
        <v>98046</v>
      </c>
      <c r="J11" s="94">
        <f>C11</f>
        <v>94.4</v>
      </c>
      <c r="K11" s="96">
        <f>ROUND(D11/1000,0)</f>
        <v>59396</v>
      </c>
      <c r="L11" s="97">
        <f t="shared" si="2"/>
        <v>60.57923151377924</v>
      </c>
      <c r="M11" s="96">
        <f>ROUND(F11/1000,0)</f>
        <v>4766</v>
      </c>
      <c r="P11">
        <v>59396</v>
      </c>
      <c r="Q11">
        <v>54630</v>
      </c>
      <c r="R11">
        <f t="shared" si="3"/>
        <v>4766</v>
      </c>
    </row>
    <row r="12" spans="1:18" ht="13.5" customHeight="1">
      <c r="A12" s="60" t="s">
        <v>11</v>
      </c>
      <c r="B12" s="99">
        <v>98046000</v>
      </c>
      <c r="C12" s="100">
        <v>94.39</v>
      </c>
      <c r="D12" s="101">
        <v>59395513.33</v>
      </c>
      <c r="E12" s="102">
        <f t="shared" si="0"/>
        <v>60.57923151377924</v>
      </c>
      <c r="F12" s="101">
        <f>D12-'[4]jūnijs'!D12</f>
        <v>4765970.420000002</v>
      </c>
      <c r="H12" s="66" t="s">
        <v>11</v>
      </c>
      <c r="I12" s="103">
        <f t="shared" si="1"/>
        <v>98046</v>
      </c>
      <c r="J12" s="104">
        <f>C12</f>
        <v>94.39</v>
      </c>
      <c r="K12" s="103">
        <f>ROUND(D12/1000,0)</f>
        <v>59396</v>
      </c>
      <c r="L12" s="105">
        <f t="shared" si="2"/>
        <v>60.57923151377924</v>
      </c>
      <c r="M12" s="784">
        <f>K12-'[4]jūnijs'!K12</f>
        <v>4766</v>
      </c>
      <c r="P12">
        <v>59396</v>
      </c>
      <c r="Q12">
        <v>54630</v>
      </c>
      <c r="R12">
        <f t="shared" si="3"/>
        <v>4766</v>
      </c>
    </row>
    <row r="13" spans="1:18" ht="13.5" customHeight="1">
      <c r="A13" s="98" t="s">
        <v>12</v>
      </c>
      <c r="B13" s="93">
        <f>B14+B15+B16</f>
        <v>513733797</v>
      </c>
      <c r="C13" s="94">
        <v>99.23</v>
      </c>
      <c r="D13" s="93">
        <f>D14+D15+D16</f>
        <v>275399836.19</v>
      </c>
      <c r="E13" s="95">
        <f t="shared" si="0"/>
        <v>53.60749824096155</v>
      </c>
      <c r="F13" s="101">
        <f>D13-'[4]jūnijs'!D13</f>
        <v>43751357.41</v>
      </c>
      <c r="H13" s="98" t="s">
        <v>12</v>
      </c>
      <c r="I13" s="96">
        <f t="shared" si="1"/>
        <v>513734</v>
      </c>
      <c r="J13" s="94">
        <v>100</v>
      </c>
      <c r="K13" s="96">
        <f>K14+K15+K16</f>
        <v>275399</v>
      </c>
      <c r="L13" s="97">
        <f t="shared" si="2"/>
        <v>53.60749824096155</v>
      </c>
      <c r="M13" s="96">
        <f>M14+M15+M16</f>
        <v>43751</v>
      </c>
      <c r="P13">
        <v>275399</v>
      </c>
      <c r="Q13">
        <v>231648</v>
      </c>
      <c r="R13">
        <f t="shared" si="3"/>
        <v>43751</v>
      </c>
    </row>
    <row r="14" spans="1:18" ht="13.5" customHeight="1">
      <c r="A14" s="60" t="s">
        <v>13</v>
      </c>
      <c r="B14" s="99">
        <v>368947657</v>
      </c>
      <c r="C14" s="106">
        <v>94.92</v>
      </c>
      <c r="D14" s="101">
        <v>201645145.91</v>
      </c>
      <c r="E14" s="102">
        <f t="shared" si="0"/>
        <v>54.654133746131905</v>
      </c>
      <c r="F14" s="101">
        <f>D14-'[4]jūnijs'!D14</f>
        <v>33484356.24000001</v>
      </c>
      <c r="H14" s="66" t="s">
        <v>13</v>
      </c>
      <c r="I14" s="103">
        <f t="shared" si="1"/>
        <v>368948</v>
      </c>
      <c r="J14" s="104">
        <f>C14</f>
        <v>94.92</v>
      </c>
      <c r="K14" s="103">
        <f aca="true" t="shared" si="4" ref="K14:K20">ROUND(D14/1000,0)</f>
        <v>201645</v>
      </c>
      <c r="L14" s="105">
        <f t="shared" si="2"/>
        <v>54.654133746131905</v>
      </c>
      <c r="M14" s="784">
        <f>K14-'[4]jūnijs'!K14</f>
        <v>33484</v>
      </c>
      <c r="P14">
        <v>201645</v>
      </c>
      <c r="Q14">
        <v>168161</v>
      </c>
      <c r="R14">
        <f t="shared" si="3"/>
        <v>33484</v>
      </c>
    </row>
    <row r="15" spans="1:18" ht="13.5" customHeight="1">
      <c r="A15" s="60" t="s">
        <v>14</v>
      </c>
      <c r="B15" s="99">
        <v>132843140</v>
      </c>
      <c r="C15" s="106">
        <v>90.64</v>
      </c>
      <c r="D15" s="101">
        <v>65056198.37</v>
      </c>
      <c r="E15" s="102">
        <f t="shared" si="0"/>
        <v>48.972192594965755</v>
      </c>
      <c r="F15" s="101">
        <f>D15-'[4]jūnijs'!D15</f>
        <v>8974804.339999996</v>
      </c>
      <c r="H15" s="66" t="s">
        <v>14</v>
      </c>
      <c r="I15" s="103">
        <f t="shared" si="1"/>
        <v>132843</v>
      </c>
      <c r="J15" s="104">
        <f>C15</f>
        <v>90.64</v>
      </c>
      <c r="K15" s="103">
        <f t="shared" si="4"/>
        <v>65056</v>
      </c>
      <c r="L15" s="105">
        <f t="shared" si="2"/>
        <v>48.972192594965755</v>
      </c>
      <c r="M15" s="784">
        <f>K15-'[4]jūnijs'!K15</f>
        <v>8975</v>
      </c>
      <c r="P15">
        <v>65056</v>
      </c>
      <c r="Q15">
        <v>56081</v>
      </c>
      <c r="R15">
        <f t="shared" si="3"/>
        <v>8975</v>
      </c>
    </row>
    <row r="16" spans="1:18" ht="13.5" customHeight="1">
      <c r="A16" s="107" t="s">
        <v>15</v>
      </c>
      <c r="B16" s="99">
        <v>11943000</v>
      </c>
      <c r="C16" s="106">
        <v>112.2</v>
      </c>
      <c r="D16" s="101">
        <v>8698491.91</v>
      </c>
      <c r="E16" s="102">
        <f t="shared" si="0"/>
        <v>72.83339119149292</v>
      </c>
      <c r="F16" s="101">
        <f>D16-'[4]jūnijs'!D16</f>
        <v>1292196.83</v>
      </c>
      <c r="H16" s="108" t="s">
        <v>15</v>
      </c>
      <c r="I16" s="103">
        <f t="shared" si="1"/>
        <v>11943</v>
      </c>
      <c r="J16" s="104">
        <f>C16</f>
        <v>112.2</v>
      </c>
      <c r="K16" s="103">
        <f t="shared" si="4"/>
        <v>8698</v>
      </c>
      <c r="L16" s="105">
        <f t="shared" si="2"/>
        <v>72.83339119149292</v>
      </c>
      <c r="M16" s="784">
        <f>K16-'[4]jūnijs'!K16</f>
        <v>1292</v>
      </c>
      <c r="P16">
        <v>8698</v>
      </c>
      <c r="Q16">
        <v>7406</v>
      </c>
      <c r="R16">
        <f t="shared" si="3"/>
        <v>1292</v>
      </c>
    </row>
    <row r="17" spans="1:18" ht="13.5" customHeight="1">
      <c r="A17" s="98" t="s">
        <v>851</v>
      </c>
      <c r="B17" s="129">
        <f>B18</f>
        <v>3240000</v>
      </c>
      <c r="C17" s="106">
        <v>100</v>
      </c>
      <c r="D17" s="101">
        <f>D18</f>
        <v>2311007.98</v>
      </c>
      <c r="E17" s="102">
        <f t="shared" si="0"/>
        <v>71.32740679012346</v>
      </c>
      <c r="F17" s="101">
        <f>D17-'[4]jūnijs'!D17</f>
        <v>2311007.98</v>
      </c>
      <c r="H17" s="98" t="s">
        <v>851</v>
      </c>
      <c r="I17" s="785">
        <f t="shared" si="1"/>
        <v>3240</v>
      </c>
      <c r="J17" s="786">
        <f>C17</f>
        <v>100</v>
      </c>
      <c r="K17" s="785">
        <f t="shared" si="4"/>
        <v>2311</v>
      </c>
      <c r="L17" s="787">
        <f t="shared" si="2"/>
        <v>71.32740679012346</v>
      </c>
      <c r="M17" s="182">
        <f>K17-'[4]jūnijs'!K17</f>
        <v>2311</v>
      </c>
      <c r="P17">
        <v>2311</v>
      </c>
      <c r="R17">
        <f t="shared" si="3"/>
        <v>2311</v>
      </c>
    </row>
    <row r="18" spans="1:18" ht="13.5" customHeight="1">
      <c r="A18" s="107" t="s">
        <v>852</v>
      </c>
      <c r="B18" s="99">
        <v>3240000</v>
      </c>
      <c r="C18" s="106">
        <v>100</v>
      </c>
      <c r="D18" s="101">
        <v>2311007.98</v>
      </c>
      <c r="E18" s="102">
        <f t="shared" si="0"/>
        <v>71.32740679012346</v>
      </c>
      <c r="F18" s="101">
        <f>D18-'[4]jūnijs'!D18</f>
        <v>2311007.98</v>
      </c>
      <c r="H18" s="107" t="s">
        <v>852</v>
      </c>
      <c r="I18" s="103">
        <f t="shared" si="1"/>
        <v>3240</v>
      </c>
      <c r="J18" s="104">
        <f>C18</f>
        <v>100</v>
      </c>
      <c r="K18" s="103">
        <f t="shared" si="4"/>
        <v>2311</v>
      </c>
      <c r="L18" s="105">
        <f t="shared" si="2"/>
        <v>71.32740679012346</v>
      </c>
      <c r="M18" s="784">
        <f>K18-'[4]jūnijs'!K18</f>
        <v>2311</v>
      </c>
      <c r="P18">
        <v>2311</v>
      </c>
      <c r="R18">
        <f t="shared" si="3"/>
        <v>2311</v>
      </c>
    </row>
    <row r="19" spans="1:18" ht="13.5" customHeight="1">
      <c r="A19" s="98" t="s">
        <v>16</v>
      </c>
      <c r="B19" s="109" t="s">
        <v>797</v>
      </c>
      <c r="C19" s="110"/>
      <c r="D19" s="111">
        <v>3957072.11</v>
      </c>
      <c r="E19" s="102"/>
      <c r="F19" s="101">
        <f>D19-'[4]jūnijs'!D19</f>
        <v>-148347.6499999999</v>
      </c>
      <c r="H19" s="98" t="s">
        <v>16</v>
      </c>
      <c r="I19" s="112" t="s">
        <v>797</v>
      </c>
      <c r="J19" s="104"/>
      <c r="K19" s="96">
        <f t="shared" si="4"/>
        <v>3957</v>
      </c>
      <c r="L19" s="97"/>
      <c r="M19" s="182">
        <f>K19-'[4]jūnijs'!K19</f>
        <v>-148</v>
      </c>
      <c r="P19">
        <v>3957</v>
      </c>
      <c r="Q19">
        <v>4105</v>
      </c>
      <c r="R19">
        <f t="shared" si="3"/>
        <v>-148</v>
      </c>
    </row>
    <row r="20" spans="1:18" ht="13.5" customHeight="1">
      <c r="A20" s="107" t="s">
        <v>17</v>
      </c>
      <c r="B20" s="113" t="s">
        <v>797</v>
      </c>
      <c r="C20" s="106"/>
      <c r="D20" s="101">
        <v>7981.17</v>
      </c>
      <c r="E20" s="102"/>
      <c r="F20" s="101">
        <f>D20-'[4]jūnijs'!D20</f>
        <v>-3177.6000000000004</v>
      </c>
      <c r="H20" s="108" t="s">
        <v>17</v>
      </c>
      <c r="I20" s="114" t="s">
        <v>797</v>
      </c>
      <c r="J20" s="104"/>
      <c r="K20" s="115">
        <f t="shared" si="4"/>
        <v>8</v>
      </c>
      <c r="L20" s="701"/>
      <c r="M20" s="784">
        <f>K20-'[4]jūnijs'!K20</f>
        <v>-3</v>
      </c>
      <c r="P20">
        <v>8</v>
      </c>
      <c r="Q20">
        <v>11</v>
      </c>
      <c r="R20">
        <f t="shared" si="3"/>
        <v>-3</v>
      </c>
    </row>
    <row r="21" spans="1:18" ht="13.5" customHeight="1">
      <c r="A21" s="98" t="s">
        <v>18</v>
      </c>
      <c r="B21" s="93">
        <f>B22+B23+B24+B25+B26+B27+B31+B32</f>
        <v>63990583</v>
      </c>
      <c r="C21" s="94">
        <v>106.21</v>
      </c>
      <c r="D21" s="93">
        <f>D22+D23+D24+D25+D26+D27+D31+D32</f>
        <v>42745868.1</v>
      </c>
      <c r="E21" s="95">
        <f aca="true" t="shared" si="5" ref="E21:E36">IF(ISERROR(D21/B21)," ",(D21/B21))*100</f>
        <v>66.80024793648153</v>
      </c>
      <c r="F21" s="101">
        <f>D21-'[4]jūnijs'!D21</f>
        <v>8837657.880000003</v>
      </c>
      <c r="H21" s="98" t="s">
        <v>18</v>
      </c>
      <c r="I21" s="96">
        <f aca="true" t="shared" si="6" ref="I21:I39">ROUND(B21/1000,0)</f>
        <v>63991</v>
      </c>
      <c r="J21" s="786">
        <f aca="true" t="shared" si="7" ref="J21:J40">C21</f>
        <v>106.21</v>
      </c>
      <c r="K21" s="96">
        <f>K22+K23+K24+K25+K26+K27+K31+K32</f>
        <v>42746</v>
      </c>
      <c r="L21" s="97">
        <f aca="true" t="shared" si="8" ref="L21:L36">E21</f>
        <v>66.80024793648153</v>
      </c>
      <c r="M21" s="96">
        <f>M22+M23+M24+M25+M26+M27+M31+M32</f>
        <v>8837</v>
      </c>
      <c r="P21">
        <v>42746</v>
      </c>
      <c r="Q21">
        <v>33909</v>
      </c>
      <c r="R21">
        <f t="shared" si="3"/>
        <v>8837</v>
      </c>
    </row>
    <row r="22" spans="1:18" ht="13.5" customHeight="1">
      <c r="A22" s="69" t="s">
        <v>19</v>
      </c>
      <c r="B22" s="99">
        <v>1250000</v>
      </c>
      <c r="C22" s="106">
        <v>397.31</v>
      </c>
      <c r="D22" s="101">
        <v>4943421.1</v>
      </c>
      <c r="E22" s="102">
        <f t="shared" si="5"/>
        <v>395.473688</v>
      </c>
      <c r="F22" s="101">
        <f>D22-'[4]jūnijs'!D22</f>
        <v>3638729.9999999995</v>
      </c>
      <c r="H22" s="67" t="s">
        <v>19</v>
      </c>
      <c r="I22" s="103">
        <f t="shared" si="6"/>
        <v>1250</v>
      </c>
      <c r="J22" s="104">
        <f t="shared" si="7"/>
        <v>397.31</v>
      </c>
      <c r="K22" s="103">
        <f>ROUND(D22/1000,0)</f>
        <v>4943</v>
      </c>
      <c r="L22" s="105">
        <f t="shared" si="8"/>
        <v>395.473688</v>
      </c>
      <c r="M22" s="784">
        <f>K22-'[4]jūnijs'!K22</f>
        <v>3638</v>
      </c>
      <c r="P22">
        <v>4943</v>
      </c>
      <c r="Q22">
        <v>1305</v>
      </c>
      <c r="R22">
        <f t="shared" si="3"/>
        <v>3638</v>
      </c>
    </row>
    <row r="23" spans="1:18" ht="13.5" customHeight="1">
      <c r="A23" s="116" t="s">
        <v>20</v>
      </c>
      <c r="B23" s="99">
        <v>14528225</v>
      </c>
      <c r="C23" s="106">
        <v>100</v>
      </c>
      <c r="D23" s="101">
        <v>10842827.07</v>
      </c>
      <c r="E23" s="102">
        <f t="shared" si="5"/>
        <v>74.63284103873666</v>
      </c>
      <c r="F23" s="101">
        <f>D23-'[4]jūnijs'!D23</f>
        <v>3149113.1000000006</v>
      </c>
      <c r="H23" s="117" t="s">
        <v>20</v>
      </c>
      <c r="I23" s="103">
        <f t="shared" si="6"/>
        <v>14528</v>
      </c>
      <c r="J23" s="104">
        <f t="shared" si="7"/>
        <v>100</v>
      </c>
      <c r="K23" s="103">
        <f>ROUND(D23/1000,0)</f>
        <v>10843</v>
      </c>
      <c r="L23" s="105">
        <f t="shared" si="8"/>
        <v>74.63284103873666</v>
      </c>
      <c r="M23" s="784">
        <f>K23-'[4]jūnijs'!K23</f>
        <v>3149</v>
      </c>
      <c r="P23">
        <v>10843</v>
      </c>
      <c r="Q23">
        <v>7694</v>
      </c>
      <c r="R23">
        <f t="shared" si="3"/>
        <v>3149</v>
      </c>
    </row>
    <row r="24" spans="1:18" ht="25.5">
      <c r="A24" s="69" t="s">
        <v>21</v>
      </c>
      <c r="B24" s="99">
        <v>21059195</v>
      </c>
      <c r="C24" s="106">
        <v>100</v>
      </c>
      <c r="D24" s="101">
        <v>10105435.82</v>
      </c>
      <c r="E24" s="102">
        <f t="shared" si="5"/>
        <v>47.9858599533363</v>
      </c>
      <c r="F24" s="101">
        <f>D24-'[4]jūnijs'!D24</f>
        <v>1465649.8100000005</v>
      </c>
      <c r="H24" s="67" t="s">
        <v>21</v>
      </c>
      <c r="I24" s="103">
        <f t="shared" si="6"/>
        <v>21059</v>
      </c>
      <c r="J24" s="104">
        <f t="shared" si="7"/>
        <v>100</v>
      </c>
      <c r="K24" s="103">
        <f>ROUND(D24/1000,0)+1</f>
        <v>10106</v>
      </c>
      <c r="L24" s="105">
        <f t="shared" si="8"/>
        <v>47.9858599533363</v>
      </c>
      <c r="M24" s="784">
        <f>K24-'[4]jūnijs'!K24</f>
        <v>1466</v>
      </c>
      <c r="P24">
        <v>10106</v>
      </c>
      <c r="Q24">
        <v>8640</v>
      </c>
      <c r="R24">
        <f t="shared" si="3"/>
        <v>1466</v>
      </c>
    </row>
    <row r="25" spans="1:18" ht="24.75" customHeight="1">
      <c r="A25" s="69" t="s">
        <v>22</v>
      </c>
      <c r="B25" s="99">
        <v>852609</v>
      </c>
      <c r="C25" s="106">
        <v>100</v>
      </c>
      <c r="D25" s="101">
        <v>541341.19</v>
      </c>
      <c r="E25" s="102">
        <f t="shared" si="5"/>
        <v>63.492314765619405</v>
      </c>
      <c r="F25" s="101">
        <f>D25-'[4]jūnijs'!D25</f>
        <v>55690.409999999916</v>
      </c>
      <c r="H25" s="67" t="s">
        <v>22</v>
      </c>
      <c r="I25" s="103">
        <f t="shared" si="6"/>
        <v>853</v>
      </c>
      <c r="J25" s="104">
        <f t="shared" si="7"/>
        <v>100</v>
      </c>
      <c r="K25" s="103">
        <f>ROUND(D25/1000,0)</f>
        <v>541</v>
      </c>
      <c r="L25" s="105">
        <f t="shared" si="8"/>
        <v>63.492314765619405</v>
      </c>
      <c r="M25" s="784">
        <f>K25-'[4]jūnijs'!K25</f>
        <v>55</v>
      </c>
      <c r="P25">
        <v>541</v>
      </c>
      <c r="Q25">
        <v>486</v>
      </c>
      <c r="R25">
        <f t="shared" si="3"/>
        <v>55</v>
      </c>
    </row>
    <row r="26" spans="1:18" ht="13.5" customHeight="1">
      <c r="A26" s="69" t="s">
        <v>23</v>
      </c>
      <c r="B26" s="99">
        <v>624000</v>
      </c>
      <c r="C26" s="106">
        <v>100</v>
      </c>
      <c r="D26" s="101">
        <v>316412.95</v>
      </c>
      <c r="E26" s="102">
        <f t="shared" si="5"/>
        <v>50.707203525641035</v>
      </c>
      <c r="F26" s="101">
        <f>D26-'[4]jūnijs'!D26</f>
        <v>26521.23999999999</v>
      </c>
      <c r="H26" s="67" t="s">
        <v>23</v>
      </c>
      <c r="I26" s="103">
        <f t="shared" si="6"/>
        <v>624</v>
      </c>
      <c r="J26" s="104">
        <f t="shared" si="7"/>
        <v>100</v>
      </c>
      <c r="K26" s="103">
        <f>ROUND(D26/1000,0)+1</f>
        <v>317</v>
      </c>
      <c r="L26" s="105">
        <f t="shared" si="8"/>
        <v>50.707203525641035</v>
      </c>
      <c r="M26" s="784">
        <f>K26-'[4]jūnijs'!K26</f>
        <v>27</v>
      </c>
      <c r="P26">
        <v>317</v>
      </c>
      <c r="Q26">
        <v>290</v>
      </c>
      <c r="R26">
        <f t="shared" si="3"/>
        <v>27</v>
      </c>
    </row>
    <row r="27" spans="1:18" ht="13.5" customHeight="1">
      <c r="A27" s="118" t="s">
        <v>24</v>
      </c>
      <c r="B27" s="99">
        <f>3500000</f>
        <v>3500000</v>
      </c>
      <c r="C27" s="106">
        <v>107.31</v>
      </c>
      <c r="D27" s="101">
        <v>2397113</v>
      </c>
      <c r="E27" s="102">
        <f t="shared" si="5"/>
        <v>68.48894285714286</v>
      </c>
      <c r="F27" s="101">
        <f>D27-'[4]jūnijs'!D27</f>
        <v>-1658225.56</v>
      </c>
      <c r="H27" s="119" t="s">
        <v>24</v>
      </c>
      <c r="I27" s="103">
        <f t="shared" si="6"/>
        <v>3500</v>
      </c>
      <c r="J27" s="104">
        <f t="shared" si="7"/>
        <v>107.31</v>
      </c>
      <c r="K27" s="103">
        <f aca="true" t="shared" si="9" ref="K27:K36">ROUND(D27/1000,0)</f>
        <v>2397</v>
      </c>
      <c r="L27" s="105">
        <f t="shared" si="8"/>
        <v>68.48894285714286</v>
      </c>
      <c r="M27" s="784">
        <f>K27-'[4]jūnijs'!K27</f>
        <v>-1658</v>
      </c>
      <c r="P27">
        <v>2397</v>
      </c>
      <c r="Q27">
        <v>4055</v>
      </c>
      <c r="R27">
        <f t="shared" si="3"/>
        <v>-1658</v>
      </c>
    </row>
    <row r="28" spans="1:21" ht="22.5" customHeight="1">
      <c r="A28" s="120" t="s">
        <v>25</v>
      </c>
      <c r="B28" s="99">
        <v>2250000</v>
      </c>
      <c r="C28" s="106">
        <v>100</v>
      </c>
      <c r="D28" s="101">
        <v>1531526.98</v>
      </c>
      <c r="E28" s="102">
        <f t="shared" si="5"/>
        <v>68.06786577777778</v>
      </c>
      <c r="F28" s="101">
        <f>D28-'[4]jūnijs'!D28</f>
        <v>212800.54000000004</v>
      </c>
      <c r="H28" s="121" t="s">
        <v>25</v>
      </c>
      <c r="I28" s="103">
        <f t="shared" si="6"/>
        <v>2250</v>
      </c>
      <c r="J28" s="104">
        <f t="shared" si="7"/>
        <v>100</v>
      </c>
      <c r="K28" s="103">
        <f t="shared" si="9"/>
        <v>1532</v>
      </c>
      <c r="L28" s="105">
        <f t="shared" si="8"/>
        <v>68.06786577777778</v>
      </c>
      <c r="M28" s="784">
        <f>K28-'[4]jūnijs'!K28</f>
        <v>213</v>
      </c>
      <c r="P28">
        <v>1532</v>
      </c>
      <c r="Q28">
        <v>1319</v>
      </c>
      <c r="R28">
        <f t="shared" si="3"/>
        <v>213</v>
      </c>
      <c r="U28" s="702"/>
    </row>
    <row r="29" spans="1:18" ht="15" customHeight="1">
      <c r="A29" s="120" t="s">
        <v>853</v>
      </c>
      <c r="B29" s="122">
        <v>1050000</v>
      </c>
      <c r="C29" s="106">
        <v>100</v>
      </c>
      <c r="D29" s="101">
        <v>400555.13</v>
      </c>
      <c r="E29" s="102">
        <f t="shared" si="5"/>
        <v>38.14810761904762</v>
      </c>
      <c r="F29" s="101">
        <f>D29-'[4]jūnijs'!D29</f>
        <v>-1981534.5300000003</v>
      </c>
      <c r="H29" s="121" t="s">
        <v>854</v>
      </c>
      <c r="I29" s="103">
        <f t="shared" si="6"/>
        <v>1050</v>
      </c>
      <c r="J29" s="104">
        <f t="shared" si="7"/>
        <v>100</v>
      </c>
      <c r="K29" s="103">
        <f t="shared" si="9"/>
        <v>401</v>
      </c>
      <c r="L29" s="105">
        <f t="shared" si="8"/>
        <v>38.14810761904762</v>
      </c>
      <c r="M29" s="784">
        <f>K29-'[4]jūnijs'!K29</f>
        <v>-1981</v>
      </c>
      <c r="P29">
        <v>401</v>
      </c>
      <c r="Q29">
        <v>2382</v>
      </c>
      <c r="R29">
        <f t="shared" si="3"/>
        <v>-1981</v>
      </c>
    </row>
    <row r="30" spans="1:18" ht="15.75" customHeight="1">
      <c r="A30" s="120" t="s">
        <v>855</v>
      </c>
      <c r="B30" s="122">
        <v>200000</v>
      </c>
      <c r="C30" s="106">
        <v>100</v>
      </c>
      <c r="D30" s="101">
        <v>196976.13</v>
      </c>
      <c r="E30" s="102">
        <f t="shared" si="5"/>
        <v>98.488065</v>
      </c>
      <c r="F30" s="101">
        <f>D30-'[4]jūnijs'!D30</f>
        <v>71723.63</v>
      </c>
      <c r="H30" s="121" t="s">
        <v>26</v>
      </c>
      <c r="I30" s="103">
        <f t="shared" si="6"/>
        <v>200</v>
      </c>
      <c r="J30" s="104">
        <f t="shared" si="7"/>
        <v>100</v>
      </c>
      <c r="K30" s="103">
        <f t="shared" si="9"/>
        <v>197</v>
      </c>
      <c r="L30" s="105">
        <f t="shared" si="8"/>
        <v>98.488065</v>
      </c>
      <c r="M30" s="784">
        <f>K30-'[4]jūnijs'!K30</f>
        <v>72</v>
      </c>
      <c r="P30">
        <v>197</v>
      </c>
      <c r="Q30">
        <v>125</v>
      </c>
      <c r="R30">
        <f t="shared" si="3"/>
        <v>72</v>
      </c>
    </row>
    <row r="31" spans="1:18" ht="13.5" customHeight="1">
      <c r="A31" s="60" t="s">
        <v>27</v>
      </c>
      <c r="B31" s="99">
        <v>8594225</v>
      </c>
      <c r="C31" s="106">
        <v>100</v>
      </c>
      <c r="D31" s="101">
        <v>4335189.63</v>
      </c>
      <c r="E31" s="102">
        <f t="shared" si="5"/>
        <v>50.443054842059645</v>
      </c>
      <c r="F31" s="101">
        <f>D31-'[4]jūnijs'!D31</f>
        <v>648906.81</v>
      </c>
      <c r="H31" s="66" t="s">
        <v>27</v>
      </c>
      <c r="I31" s="103">
        <f t="shared" si="6"/>
        <v>8594</v>
      </c>
      <c r="J31" s="104">
        <f t="shared" si="7"/>
        <v>100</v>
      </c>
      <c r="K31" s="103">
        <f t="shared" si="9"/>
        <v>4335</v>
      </c>
      <c r="L31" s="105">
        <f t="shared" si="8"/>
        <v>50.443054842059645</v>
      </c>
      <c r="M31" s="784">
        <f>K31-'[4]jūnijs'!K31</f>
        <v>649</v>
      </c>
      <c r="P31">
        <v>4335</v>
      </c>
      <c r="Q31">
        <v>3686</v>
      </c>
      <c r="R31">
        <f t="shared" si="3"/>
        <v>649</v>
      </c>
    </row>
    <row r="32" spans="1:18" ht="13.5" customHeight="1">
      <c r="A32" s="60" t="s">
        <v>28</v>
      </c>
      <c r="B32" s="99">
        <v>13582329</v>
      </c>
      <c r="C32" s="106">
        <v>100</v>
      </c>
      <c r="D32" s="101">
        <v>9264127.34</v>
      </c>
      <c r="E32" s="102">
        <f t="shared" si="5"/>
        <v>68.20720761512993</v>
      </c>
      <c r="F32" s="101">
        <f>D32-'[4]jūnijs'!D32</f>
        <v>1511272.0700000003</v>
      </c>
      <c r="H32" s="66" t="s">
        <v>28</v>
      </c>
      <c r="I32" s="103">
        <f t="shared" si="6"/>
        <v>13582</v>
      </c>
      <c r="J32" s="104">
        <f t="shared" si="7"/>
        <v>100</v>
      </c>
      <c r="K32" s="103">
        <f t="shared" si="9"/>
        <v>9264</v>
      </c>
      <c r="L32" s="105">
        <f t="shared" si="8"/>
        <v>68.20720761512993</v>
      </c>
      <c r="M32" s="784">
        <f>K32-'[4]jūnijs'!K32</f>
        <v>1511</v>
      </c>
      <c r="P32">
        <v>9266</v>
      </c>
      <c r="Q32">
        <v>7753</v>
      </c>
      <c r="R32">
        <f t="shared" si="3"/>
        <v>1513</v>
      </c>
    </row>
    <row r="33" spans="1:18" ht="27.75" customHeight="1">
      <c r="A33" s="123" t="s">
        <v>856</v>
      </c>
      <c r="B33" s="99">
        <v>1201200</v>
      </c>
      <c r="C33" s="106">
        <v>100</v>
      </c>
      <c r="D33" s="101">
        <v>700700</v>
      </c>
      <c r="E33" s="102">
        <f t="shared" si="5"/>
        <v>58.333333333333336</v>
      </c>
      <c r="F33" s="101">
        <f>D33-'[4]jūnijs'!D33</f>
        <v>100100</v>
      </c>
      <c r="H33" s="124" t="s">
        <v>29</v>
      </c>
      <c r="I33" s="103">
        <f t="shared" si="6"/>
        <v>1201</v>
      </c>
      <c r="J33" s="104">
        <f t="shared" si="7"/>
        <v>100</v>
      </c>
      <c r="K33" s="103">
        <f t="shared" si="9"/>
        <v>701</v>
      </c>
      <c r="L33" s="105">
        <f t="shared" si="8"/>
        <v>58.333333333333336</v>
      </c>
      <c r="M33" s="784">
        <f>K33-'[4]jūnijs'!K33</f>
        <v>100</v>
      </c>
      <c r="P33">
        <v>701</v>
      </c>
      <c r="Q33">
        <v>601</v>
      </c>
      <c r="R33">
        <f t="shared" si="3"/>
        <v>100</v>
      </c>
    </row>
    <row r="34" spans="1:18" ht="12.75">
      <c r="A34" s="125" t="s">
        <v>857</v>
      </c>
      <c r="B34" s="99">
        <v>8136610</v>
      </c>
      <c r="C34" s="106">
        <v>100</v>
      </c>
      <c r="D34" s="101">
        <v>4746000</v>
      </c>
      <c r="E34" s="102">
        <f t="shared" si="5"/>
        <v>58.32896009517478</v>
      </c>
      <c r="F34" s="101">
        <f>D34-'[4]jūnijs'!D34</f>
        <v>678000</v>
      </c>
      <c r="H34" s="126" t="s">
        <v>30</v>
      </c>
      <c r="I34" s="103">
        <f t="shared" si="6"/>
        <v>8137</v>
      </c>
      <c r="J34" s="104">
        <f t="shared" si="7"/>
        <v>100</v>
      </c>
      <c r="K34" s="103">
        <f t="shared" si="9"/>
        <v>4746</v>
      </c>
      <c r="L34" s="105">
        <f t="shared" si="8"/>
        <v>58.32896009517478</v>
      </c>
      <c r="M34" s="784">
        <f>K34-'[4]jūnijs'!K34</f>
        <v>678</v>
      </c>
      <c r="P34">
        <v>4746</v>
      </c>
      <c r="Q34">
        <v>4068</v>
      </c>
      <c r="R34">
        <f t="shared" si="3"/>
        <v>678</v>
      </c>
    </row>
    <row r="35" spans="1:18" ht="12.75">
      <c r="A35" s="125" t="s">
        <v>858</v>
      </c>
      <c r="B35" s="99">
        <v>239519</v>
      </c>
      <c r="C35" s="106">
        <v>100</v>
      </c>
      <c r="D35" s="101">
        <v>138644</v>
      </c>
      <c r="E35" s="102">
        <f t="shared" si="5"/>
        <v>57.8843432045057</v>
      </c>
      <c r="F35" s="101">
        <f>D35-'[4]jūnijs'!D35</f>
        <v>22535</v>
      </c>
      <c r="H35" s="126" t="s">
        <v>31</v>
      </c>
      <c r="I35" s="103">
        <f t="shared" si="6"/>
        <v>240</v>
      </c>
      <c r="J35" s="104">
        <f t="shared" si="7"/>
        <v>100</v>
      </c>
      <c r="K35" s="103">
        <f t="shared" si="9"/>
        <v>139</v>
      </c>
      <c r="L35" s="105">
        <f t="shared" si="8"/>
        <v>57.8843432045057</v>
      </c>
      <c r="M35" s="784">
        <f>K35-'[4]jūnijs'!K35</f>
        <v>23</v>
      </c>
      <c r="P35">
        <v>139</v>
      </c>
      <c r="Q35">
        <v>116</v>
      </c>
      <c r="R35">
        <f t="shared" si="3"/>
        <v>23</v>
      </c>
    </row>
    <row r="36" spans="1:18" ht="27.75" customHeight="1">
      <c r="A36" s="120" t="s">
        <v>859</v>
      </c>
      <c r="B36" s="99">
        <v>100000</v>
      </c>
      <c r="C36" s="106">
        <v>100</v>
      </c>
      <c r="D36" s="101">
        <v>100000</v>
      </c>
      <c r="E36" s="102">
        <f t="shared" si="5"/>
        <v>100</v>
      </c>
      <c r="F36" s="101">
        <f>D36-'[4]jūnijs'!D36</f>
        <v>0</v>
      </c>
      <c r="H36" s="121" t="s">
        <v>32</v>
      </c>
      <c r="I36" s="103">
        <f t="shared" si="6"/>
        <v>100</v>
      </c>
      <c r="J36" s="104">
        <f t="shared" si="7"/>
        <v>100</v>
      </c>
      <c r="K36" s="103">
        <f t="shared" si="9"/>
        <v>100</v>
      </c>
      <c r="L36" s="105">
        <f t="shared" si="8"/>
        <v>100</v>
      </c>
      <c r="M36" s="784">
        <f>K36-'[4]jūnijs'!K36</f>
        <v>0</v>
      </c>
      <c r="P36">
        <v>100</v>
      </c>
      <c r="Q36">
        <v>100</v>
      </c>
      <c r="R36">
        <f t="shared" si="3"/>
        <v>0</v>
      </c>
    </row>
    <row r="37" spans="1:18" ht="23.25" customHeight="1">
      <c r="A37" s="116" t="s">
        <v>860</v>
      </c>
      <c r="B37" s="127">
        <v>180000</v>
      </c>
      <c r="C37" s="106">
        <v>100</v>
      </c>
      <c r="D37" s="101"/>
      <c r="E37" s="102"/>
      <c r="F37" s="101">
        <f>D37-'[4]jūnijs'!D37</f>
        <v>0</v>
      </c>
      <c r="H37" s="116" t="s">
        <v>860</v>
      </c>
      <c r="I37" s="103">
        <f t="shared" si="6"/>
        <v>180</v>
      </c>
      <c r="J37" s="104">
        <f t="shared" si="7"/>
        <v>100</v>
      </c>
      <c r="K37" s="103"/>
      <c r="L37" s="105"/>
      <c r="M37" s="784">
        <f>K37-'[4]jūnijs'!K37</f>
        <v>0</v>
      </c>
      <c r="R37">
        <f t="shared" si="3"/>
        <v>0</v>
      </c>
    </row>
    <row r="38" spans="1:18" ht="12.75">
      <c r="A38" s="128" t="s">
        <v>33</v>
      </c>
      <c r="B38" s="129">
        <v>65026004</v>
      </c>
      <c r="C38" s="130">
        <v>100</v>
      </c>
      <c r="D38" s="129">
        <f>D39</f>
        <v>33213222.31</v>
      </c>
      <c r="E38" s="95">
        <f>IF(ISERROR(D38/B38)," ",(D38/B38))*100</f>
        <v>51.076831216631426</v>
      </c>
      <c r="F38" s="101">
        <f>D38-'[4]jūnijs'!D38</f>
        <v>4330912.09</v>
      </c>
      <c r="H38" s="128" t="s">
        <v>33</v>
      </c>
      <c r="I38" s="96">
        <f t="shared" si="6"/>
        <v>65026</v>
      </c>
      <c r="J38" s="104">
        <f t="shared" si="7"/>
        <v>100</v>
      </c>
      <c r="K38" s="115">
        <f>K39</f>
        <v>33213</v>
      </c>
      <c r="L38" s="97">
        <f>E38</f>
        <v>51.076831216631426</v>
      </c>
      <c r="M38" s="182">
        <f>K38-'[4]jūnijs'!K38</f>
        <v>4331</v>
      </c>
      <c r="P38">
        <v>33213</v>
      </c>
      <c r="Q38">
        <v>28882</v>
      </c>
      <c r="R38">
        <f t="shared" si="3"/>
        <v>4331</v>
      </c>
    </row>
    <row r="39" spans="1:18" ht="25.5">
      <c r="A39" s="131" t="s">
        <v>34</v>
      </c>
      <c r="B39" s="99">
        <v>65026004</v>
      </c>
      <c r="C39" s="106">
        <v>100</v>
      </c>
      <c r="D39" s="101">
        <v>33213222.31</v>
      </c>
      <c r="E39" s="102">
        <f>IF(ISERROR(D39/B39)," ",(D39/B39))*100</f>
        <v>51.076831216631426</v>
      </c>
      <c r="F39" s="101">
        <f>D39-'[4]jūnijs'!D39</f>
        <v>4330912.09</v>
      </c>
      <c r="H39" s="132" t="s">
        <v>34</v>
      </c>
      <c r="I39" s="103">
        <f t="shared" si="6"/>
        <v>65026</v>
      </c>
      <c r="J39" s="104">
        <f t="shared" si="7"/>
        <v>100</v>
      </c>
      <c r="K39" s="103">
        <f>ROUND(D39/1000,0)</f>
        <v>33213</v>
      </c>
      <c r="L39" s="105">
        <f>E39</f>
        <v>51.076831216631426</v>
      </c>
      <c r="M39" s="784">
        <f>K39-'[4]jūnijs'!K39</f>
        <v>4331</v>
      </c>
      <c r="P39">
        <v>33213</v>
      </c>
      <c r="Q39">
        <v>28882</v>
      </c>
      <c r="R39">
        <f t="shared" si="3"/>
        <v>4331</v>
      </c>
    </row>
    <row r="40" spans="1:18" ht="12.75">
      <c r="A40" s="128" t="s">
        <v>35</v>
      </c>
      <c r="B40" s="129">
        <v>51309574</v>
      </c>
      <c r="C40" s="130">
        <v>100</v>
      </c>
      <c r="D40" s="111">
        <v>16227986.41</v>
      </c>
      <c r="E40" s="95">
        <f>IF(ISERROR(D40/B40)," ",(D40/B40))*100</f>
        <v>31.627599188408777</v>
      </c>
      <c r="F40" s="101">
        <f>D40-'[4]jūnijs'!D40</f>
        <v>1872908.6799999997</v>
      </c>
      <c r="H40" s="128" t="s">
        <v>35</v>
      </c>
      <c r="I40" s="96">
        <f>ROUND(B40/1000,0)-1</f>
        <v>51309</v>
      </c>
      <c r="J40" s="104">
        <f t="shared" si="7"/>
        <v>100</v>
      </c>
      <c r="K40" s="96">
        <f>ROUND(D40/1000,0)</f>
        <v>16228</v>
      </c>
      <c r="L40" s="97">
        <f>E40</f>
        <v>31.627599188408777</v>
      </c>
      <c r="M40" s="182">
        <f>K40-'[4]jūnijs'!K40</f>
        <v>1873</v>
      </c>
      <c r="P40">
        <v>16228</v>
      </c>
      <c r="Q40">
        <v>14355</v>
      </c>
      <c r="R40">
        <f t="shared" si="3"/>
        <v>1873</v>
      </c>
    </row>
    <row r="41" spans="1:13" ht="17.25" customHeight="1">
      <c r="A41" s="133"/>
      <c r="B41" s="134"/>
      <c r="C41" s="135"/>
      <c r="D41" s="135"/>
      <c r="E41" s="135"/>
      <c r="F41" s="136"/>
      <c r="H41" s="133"/>
      <c r="I41" s="134"/>
      <c r="J41" s="135"/>
      <c r="K41" s="135"/>
      <c r="L41" s="135"/>
      <c r="M41" s="135"/>
    </row>
    <row r="42" spans="1:13" ht="17.25" customHeight="1">
      <c r="A42" s="137"/>
      <c r="B42" s="138"/>
      <c r="C42" s="135"/>
      <c r="D42" s="135"/>
      <c r="E42" s="135"/>
      <c r="F42" s="135"/>
      <c r="H42" s="137"/>
      <c r="I42" s="138"/>
      <c r="J42" s="135"/>
      <c r="K42" s="135"/>
      <c r="L42" s="135"/>
      <c r="M42" s="135"/>
    </row>
    <row r="43" spans="1:12" ht="15" customHeight="1">
      <c r="A43" s="41" t="s">
        <v>861</v>
      </c>
      <c r="B43" s="39"/>
      <c r="C43" s="39"/>
      <c r="D43" s="39" t="s">
        <v>862</v>
      </c>
      <c r="E43" s="1"/>
      <c r="H43" s="139" t="s">
        <v>863</v>
      </c>
      <c r="I43" s="6"/>
      <c r="J43" s="6"/>
      <c r="L43" s="6" t="s">
        <v>862</v>
      </c>
    </row>
    <row r="45" spans="8:12" ht="14.25" customHeight="1">
      <c r="H45" s="1" t="s">
        <v>37</v>
      </c>
      <c r="I45" s="39"/>
      <c r="J45" s="39"/>
      <c r="K45" s="39"/>
      <c r="L45" s="1"/>
    </row>
    <row r="46" ht="15" customHeight="1">
      <c r="H46" s="1" t="s">
        <v>847</v>
      </c>
    </row>
    <row r="47" ht="12.75" customHeight="1"/>
    <row r="48" ht="15.75" customHeight="1"/>
    <row r="49" ht="15" customHeight="1"/>
    <row r="52" ht="17.25" customHeight="1">
      <c r="H52" s="1"/>
    </row>
    <row r="53" ht="17.25" customHeight="1">
      <c r="H53" s="1"/>
    </row>
    <row r="55" ht="15.75" customHeight="1"/>
    <row r="56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scale="93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A59" sqref="A59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301"/>
      <c r="F1" s="49"/>
      <c r="G1" s="50"/>
      <c r="H1" s="49"/>
      <c r="J1" s="301" t="s">
        <v>731</v>
      </c>
    </row>
    <row r="2" spans="1:10" ht="12.75">
      <c r="A2" s="49"/>
      <c r="B2" s="50"/>
      <c r="C2" s="49"/>
      <c r="E2" s="301"/>
      <c r="F2" s="49"/>
      <c r="G2" s="50"/>
      <c r="H2" s="49"/>
      <c r="J2" s="301"/>
    </row>
    <row r="3" spans="1:10" ht="12.75">
      <c r="A3" s="865" t="s">
        <v>3</v>
      </c>
      <c r="B3" s="865"/>
      <c r="C3" s="865"/>
      <c r="D3" s="865"/>
      <c r="E3" s="865"/>
      <c r="F3" s="865" t="s">
        <v>3</v>
      </c>
      <c r="G3" s="865"/>
      <c r="H3" s="865"/>
      <c r="I3" s="865"/>
      <c r="J3" s="865"/>
    </row>
    <row r="4" spans="1:10" ht="12.75">
      <c r="A4" s="49"/>
      <c r="B4" s="50"/>
      <c r="C4" s="49"/>
      <c r="E4" s="301"/>
      <c r="F4" s="49"/>
      <c r="G4" s="50"/>
      <c r="H4" s="49"/>
      <c r="J4" s="301"/>
    </row>
    <row r="5" spans="1:10" ht="45" customHeight="1">
      <c r="A5" s="863" t="s">
        <v>732</v>
      </c>
      <c r="B5" s="863"/>
      <c r="C5" s="863"/>
      <c r="D5" s="863"/>
      <c r="E5" s="863"/>
      <c r="F5" s="863" t="s">
        <v>916</v>
      </c>
      <c r="G5" s="863"/>
      <c r="H5" s="863"/>
      <c r="I5" s="863"/>
      <c r="J5" s="863"/>
    </row>
    <row r="6" spans="1:10" ht="17.25" customHeight="1">
      <c r="A6" s="53"/>
      <c r="B6" s="52"/>
      <c r="C6" s="51"/>
      <c r="D6" s="38"/>
      <c r="E6" s="2" t="s">
        <v>382</v>
      </c>
      <c r="F6" s="53"/>
      <c r="G6" s="52"/>
      <c r="H6" s="51"/>
      <c r="I6" s="38"/>
      <c r="J6" s="2" t="s">
        <v>957</v>
      </c>
    </row>
    <row r="7" spans="1:10" ht="50.25" customHeight="1">
      <c r="A7" s="9" t="s">
        <v>791</v>
      </c>
      <c r="B7" s="54" t="s">
        <v>958</v>
      </c>
      <c r="C7" s="9" t="s">
        <v>959</v>
      </c>
      <c r="D7" s="9" t="s">
        <v>733</v>
      </c>
      <c r="E7" s="9" t="s">
        <v>123</v>
      </c>
      <c r="F7" s="9" t="s">
        <v>791</v>
      </c>
      <c r="G7" s="54" t="s">
        <v>958</v>
      </c>
      <c r="H7" s="9" t="s">
        <v>959</v>
      </c>
      <c r="I7" s="9" t="s">
        <v>733</v>
      </c>
      <c r="J7" s="9" t="s">
        <v>519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86" customFormat="1" ht="15.75">
      <c r="A9" s="685" t="s">
        <v>734</v>
      </c>
      <c r="B9" s="686">
        <f>B10+B11+B14+B19+B21+B23+B30</f>
        <v>55211790</v>
      </c>
      <c r="C9" s="686">
        <f>C10+C11+C14+C19+C21+C23+C30</f>
        <v>31465625</v>
      </c>
      <c r="D9" s="687">
        <f aca="true" t="shared" si="0" ref="D9:D30">C9/B9*100</f>
        <v>56.99077135517613</v>
      </c>
      <c r="E9" s="686">
        <f>C9-'[25]Junijs'!C9</f>
        <v>5266631</v>
      </c>
      <c r="F9" s="686" t="s">
        <v>734</v>
      </c>
      <c r="G9" s="686">
        <f>G10+G11+G14+G19+G21+G23+G30</f>
        <v>55212</v>
      </c>
      <c r="H9" s="686">
        <f>H10+H11+H14+H19+H21+H23+H30</f>
        <v>31465</v>
      </c>
      <c r="I9" s="687">
        <f aca="true" t="shared" si="1" ref="I9:I30">H9/G9*100</f>
        <v>56.98942258929218</v>
      </c>
      <c r="J9" s="686">
        <f>H9-'[25]Junijs'!H9</f>
        <v>5265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64</v>
      </c>
      <c r="B10" s="57">
        <v>48424727</v>
      </c>
      <c r="C10" s="57">
        <v>27159396</v>
      </c>
      <c r="D10" s="208">
        <f t="shared" si="0"/>
        <v>56.085800958671385</v>
      </c>
      <c r="E10" s="57">
        <f>C10-'[25]Junijs'!C10</f>
        <v>4400948</v>
      </c>
      <c r="F10" s="32" t="s">
        <v>64</v>
      </c>
      <c r="G10" s="57">
        <f>ROUND(B10/1000,0)</f>
        <v>48425</v>
      </c>
      <c r="H10" s="57">
        <f>ROUND(C10/1000,0)</f>
        <v>27159</v>
      </c>
      <c r="I10" s="208">
        <f t="shared" si="1"/>
        <v>56.08466701084151</v>
      </c>
      <c r="J10" s="57">
        <f>H10-'[25]Junijs'!H10</f>
        <v>4401</v>
      </c>
    </row>
    <row r="11" spans="1:10" ht="12.75">
      <c r="A11" s="32" t="s">
        <v>735</v>
      </c>
      <c r="B11" s="57">
        <f>SUM(B12:B13)</f>
        <v>223133</v>
      </c>
      <c r="C11" s="57">
        <f>SUM(C12:C13)</f>
        <v>180527</v>
      </c>
      <c r="D11" s="208">
        <f t="shared" si="0"/>
        <v>80.9055585682082</v>
      </c>
      <c r="E11" s="57">
        <f>C11-'[25]Junijs'!C11</f>
        <v>17310</v>
      </c>
      <c r="F11" s="32" t="s">
        <v>735</v>
      </c>
      <c r="G11" s="57">
        <f>SUM(G12:G13)</f>
        <v>223</v>
      </c>
      <c r="H11" s="57">
        <f>SUM(H12:H13)</f>
        <v>180</v>
      </c>
      <c r="I11" s="208">
        <f t="shared" si="1"/>
        <v>80.71748878923766</v>
      </c>
      <c r="J11" s="57">
        <f>H11-'[25]Junijs'!H11</f>
        <v>17</v>
      </c>
    </row>
    <row r="12" spans="1:147" s="1" customFormat="1" ht="12.75">
      <c r="A12" s="66" t="s">
        <v>736</v>
      </c>
      <c r="B12" s="63">
        <v>61755</v>
      </c>
      <c r="C12" s="63">
        <v>32306</v>
      </c>
      <c r="D12" s="188">
        <f t="shared" si="0"/>
        <v>52.31317302242733</v>
      </c>
      <c r="E12" s="63">
        <f>C12-'[25]Junijs'!C12</f>
        <v>5327</v>
      </c>
      <c r="F12" s="66" t="s">
        <v>736</v>
      </c>
      <c r="G12" s="63">
        <f>ROUND(B12/1000,0)</f>
        <v>62</v>
      </c>
      <c r="H12" s="63">
        <f>ROUND(C12/1000,0)</f>
        <v>32</v>
      </c>
      <c r="I12" s="188">
        <f t="shared" si="1"/>
        <v>51.61290322580645</v>
      </c>
      <c r="J12" s="63">
        <f>H12-'[25]Junijs'!H12</f>
        <v>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737</v>
      </c>
      <c r="B13" s="63">
        <v>161378</v>
      </c>
      <c r="C13" s="63">
        <v>148221</v>
      </c>
      <c r="D13" s="188">
        <f t="shared" si="0"/>
        <v>91.84709192083183</v>
      </c>
      <c r="E13" s="63">
        <f>C13-'[25]Junijs'!C13</f>
        <v>11983</v>
      </c>
      <c r="F13" s="66" t="s">
        <v>737</v>
      </c>
      <c r="G13" s="63">
        <f>ROUND(B13/1000,0)</f>
        <v>161</v>
      </c>
      <c r="H13" s="63">
        <f>ROUND(C13/1000,0)</f>
        <v>148</v>
      </c>
      <c r="I13" s="188">
        <f t="shared" si="1"/>
        <v>91.92546583850931</v>
      </c>
      <c r="J13" s="63">
        <f>H13-'[25]Junijs'!H13</f>
        <v>12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66</v>
      </c>
      <c r="B14" s="57">
        <f>SUM(B15:B18)</f>
        <v>1105085</v>
      </c>
      <c r="C14" s="57">
        <f>SUM(C15:C18)</f>
        <v>556392</v>
      </c>
      <c r="D14" s="208">
        <f t="shared" si="0"/>
        <v>50.348344245012825</v>
      </c>
      <c r="E14" s="57">
        <f>C14-'[25]Junijs'!C14</f>
        <v>52943</v>
      </c>
      <c r="F14" s="32" t="s">
        <v>66</v>
      </c>
      <c r="G14" s="57">
        <f>SUM(G15:G18)</f>
        <v>1105</v>
      </c>
      <c r="H14" s="57">
        <f>SUM(H15:H18)</f>
        <v>557</v>
      </c>
      <c r="I14" s="208">
        <f t="shared" si="1"/>
        <v>50.40723981900452</v>
      </c>
      <c r="J14" s="57">
        <f>H14-'[25]Junijs'!H14</f>
        <v>53</v>
      </c>
    </row>
    <row r="15" spans="1:147" s="1" customFormat="1" ht="24">
      <c r="A15" s="67" t="s">
        <v>738</v>
      </c>
      <c r="B15" s="63">
        <v>167030</v>
      </c>
      <c r="C15" s="63">
        <v>80870</v>
      </c>
      <c r="D15" s="188">
        <f t="shared" si="0"/>
        <v>48.41645213434712</v>
      </c>
      <c r="E15" s="63">
        <f>C15-'[25]Junijs'!C15</f>
        <v>12840</v>
      </c>
      <c r="F15" s="67" t="s">
        <v>738</v>
      </c>
      <c r="G15" s="63">
        <f aca="true" t="shared" si="2" ref="G15:H18">ROUND(B15/1000,0)</f>
        <v>167</v>
      </c>
      <c r="H15" s="63">
        <f t="shared" si="2"/>
        <v>81</v>
      </c>
      <c r="I15" s="188">
        <f t="shared" si="1"/>
        <v>48.50299401197605</v>
      </c>
      <c r="J15" s="63">
        <f>H15-'[25]Junijs'!H15</f>
        <v>13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739</v>
      </c>
      <c r="B16" s="63">
        <v>265000</v>
      </c>
      <c r="C16" s="63">
        <v>37791</v>
      </c>
      <c r="D16" s="188">
        <f t="shared" si="0"/>
        <v>14.260754716981133</v>
      </c>
      <c r="E16" s="63">
        <f>C16-'[25]Junijs'!C16</f>
        <v>27970</v>
      </c>
      <c r="F16" s="67" t="s">
        <v>739</v>
      </c>
      <c r="G16" s="63">
        <f t="shared" si="2"/>
        <v>265</v>
      </c>
      <c r="H16" s="186">
        <f t="shared" si="2"/>
        <v>38</v>
      </c>
      <c r="I16" s="188">
        <f t="shared" si="1"/>
        <v>14.339622641509434</v>
      </c>
      <c r="J16" s="186">
        <f>H16-'[25]Junijs'!H16</f>
        <v>28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740</v>
      </c>
      <c r="B17" s="63">
        <v>530000</v>
      </c>
      <c r="C17" s="63">
        <v>353731</v>
      </c>
      <c r="D17" s="188">
        <f t="shared" si="0"/>
        <v>66.74169811320755</v>
      </c>
      <c r="E17" s="63">
        <f>C17-'[25]Junijs'!C17</f>
        <v>133</v>
      </c>
      <c r="F17" s="66" t="s">
        <v>740</v>
      </c>
      <c r="G17" s="63">
        <f t="shared" si="2"/>
        <v>530</v>
      </c>
      <c r="H17" s="63">
        <f t="shared" si="2"/>
        <v>354</v>
      </c>
      <c r="I17" s="188">
        <f t="shared" si="1"/>
        <v>66.79245283018868</v>
      </c>
      <c r="J17" s="63">
        <f>H17-'[25]Junijs'!H17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741</v>
      </c>
      <c r="B18" s="63">
        <v>143055</v>
      </c>
      <c r="C18" s="63">
        <v>84000</v>
      </c>
      <c r="D18" s="188">
        <f t="shared" si="0"/>
        <v>58.718674635629654</v>
      </c>
      <c r="E18" s="63">
        <f>C18-'[25]Junijs'!C18</f>
        <v>12000</v>
      </c>
      <c r="F18" s="67" t="s">
        <v>741</v>
      </c>
      <c r="G18" s="63">
        <f t="shared" si="2"/>
        <v>143</v>
      </c>
      <c r="H18" s="63">
        <f t="shared" si="2"/>
        <v>84</v>
      </c>
      <c r="I18" s="188">
        <f t="shared" si="1"/>
        <v>58.74125874125874</v>
      </c>
      <c r="J18" s="63">
        <f>H18-'[25]Junijs'!H18</f>
        <v>12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88</v>
      </c>
      <c r="B19" s="57">
        <f>SUM(B20)</f>
        <v>347522</v>
      </c>
      <c r="C19" s="57">
        <f>SUM(C20)</f>
        <v>186717</v>
      </c>
      <c r="D19" s="208">
        <f t="shared" si="0"/>
        <v>53.728109299555136</v>
      </c>
      <c r="E19" s="57">
        <f>C19-'[25]Junijs'!C19</f>
        <v>27026</v>
      </c>
      <c r="F19" s="32" t="s">
        <v>88</v>
      </c>
      <c r="G19" s="57">
        <f>SUM(G20)</f>
        <v>348</v>
      </c>
      <c r="H19" s="179">
        <f>SUM(H20)</f>
        <v>187</v>
      </c>
      <c r="I19" s="208">
        <f t="shared" si="1"/>
        <v>53.735632183908045</v>
      </c>
      <c r="J19" s="179">
        <f>H19-'[25]Junijs'!H19</f>
        <v>27</v>
      </c>
    </row>
    <row r="20" spans="1:147" s="1" customFormat="1" ht="12.75">
      <c r="A20" s="66" t="s">
        <v>742</v>
      </c>
      <c r="B20" s="63">
        <v>347522</v>
      </c>
      <c r="C20" s="63">
        <v>186717</v>
      </c>
      <c r="D20" s="188">
        <f t="shared" si="0"/>
        <v>53.728109299555136</v>
      </c>
      <c r="E20" s="63">
        <f>C20-'[25]Junijs'!C20</f>
        <v>27026</v>
      </c>
      <c r="F20" s="66" t="s">
        <v>742</v>
      </c>
      <c r="G20" s="63">
        <f>ROUND(B20/1000,0)</f>
        <v>348</v>
      </c>
      <c r="H20" s="186">
        <f>ROUND(C20/1000,0)</f>
        <v>187</v>
      </c>
      <c r="I20" s="188">
        <f t="shared" si="1"/>
        <v>53.735632183908045</v>
      </c>
      <c r="J20" s="186">
        <f>H20-'[25]Junijs'!H20</f>
        <v>27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78</v>
      </c>
      <c r="B21" s="57">
        <f>SUM(B22)</f>
        <v>275000</v>
      </c>
      <c r="C21" s="57">
        <f>SUM(C22)</f>
        <v>275000</v>
      </c>
      <c r="D21" s="208">
        <f t="shared" si="0"/>
        <v>100</v>
      </c>
      <c r="E21" s="57">
        <f>C21-'[25]Junijs'!C21</f>
        <v>0</v>
      </c>
      <c r="F21" s="32" t="s">
        <v>78</v>
      </c>
      <c r="G21" s="57">
        <f>SUM(G22)</f>
        <v>275</v>
      </c>
      <c r="H21" s="179">
        <f>SUM(H22)</f>
        <v>275</v>
      </c>
      <c r="I21" s="208">
        <f t="shared" si="1"/>
        <v>100</v>
      </c>
      <c r="J21" s="179">
        <f>H21-'[25]Junijs'!H21</f>
        <v>0</v>
      </c>
    </row>
    <row r="22" spans="1:147" s="1" customFormat="1" ht="36">
      <c r="A22" s="67" t="s">
        <v>743</v>
      </c>
      <c r="B22" s="63">
        <v>275000</v>
      </c>
      <c r="C22" s="63">
        <v>275000</v>
      </c>
      <c r="D22" s="188">
        <f t="shared" si="0"/>
        <v>100</v>
      </c>
      <c r="E22" s="63">
        <f>C22-'[25]Junijs'!C22</f>
        <v>0</v>
      </c>
      <c r="F22" s="67" t="s">
        <v>744</v>
      </c>
      <c r="G22" s="63">
        <f>ROUND(B22/1000,0)</f>
        <v>275</v>
      </c>
      <c r="H22" s="186">
        <f>ROUND(C22/1000,0)</f>
        <v>275</v>
      </c>
      <c r="I22" s="188">
        <f t="shared" si="1"/>
        <v>100</v>
      </c>
      <c r="J22" s="186">
        <f>H22-'[25]Junijs'!H22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72</v>
      </c>
      <c r="B23" s="57">
        <f>SUM(B24:B29)</f>
        <v>3192416</v>
      </c>
      <c r="C23" s="57">
        <f>SUM(C24:C29)</f>
        <v>2042381</v>
      </c>
      <c r="D23" s="208">
        <f t="shared" si="0"/>
        <v>63.97602943977226</v>
      </c>
      <c r="E23" s="57">
        <f>C23-'[25]Junijs'!C23</f>
        <v>248982</v>
      </c>
      <c r="F23" s="32" t="s">
        <v>72</v>
      </c>
      <c r="G23" s="57">
        <f>SUM(G24:G29)</f>
        <v>3192</v>
      </c>
      <c r="H23" s="57">
        <f>SUM(H24:H29)</f>
        <v>2042</v>
      </c>
      <c r="I23" s="208">
        <f t="shared" si="1"/>
        <v>63.97243107769424</v>
      </c>
      <c r="J23" s="57">
        <f>H23-'[25]Junijs'!H23</f>
        <v>248</v>
      </c>
    </row>
    <row r="24" spans="1:147" s="1" customFormat="1" ht="12.75">
      <c r="A24" s="66" t="s">
        <v>745</v>
      </c>
      <c r="B24" s="63">
        <v>1190814</v>
      </c>
      <c r="C24" s="63">
        <v>708502</v>
      </c>
      <c r="D24" s="188">
        <f t="shared" si="0"/>
        <v>59.4972850503941</v>
      </c>
      <c r="E24" s="63">
        <f>C24-'[25]Junijs'!C24</f>
        <v>104464</v>
      </c>
      <c r="F24" s="66" t="s">
        <v>745</v>
      </c>
      <c r="G24" s="63">
        <f aca="true" t="shared" si="3" ref="G24:H30">ROUND(B24/1000,0)</f>
        <v>1191</v>
      </c>
      <c r="H24" s="63">
        <f>ROUND(C24/1000,0)</f>
        <v>709</v>
      </c>
      <c r="I24" s="188">
        <f t="shared" si="1"/>
        <v>59.52980688497062</v>
      </c>
      <c r="J24" s="63">
        <f>H24-'[25]Junijs'!H24</f>
        <v>105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750</v>
      </c>
      <c r="B25" s="63">
        <v>919056</v>
      </c>
      <c r="C25" s="63">
        <v>683143</v>
      </c>
      <c r="D25" s="188">
        <f t="shared" si="0"/>
        <v>74.33094392507094</v>
      </c>
      <c r="E25" s="63">
        <f>C25-'[25]Junijs'!C25</f>
        <v>21583</v>
      </c>
      <c r="F25" s="67" t="s">
        <v>750</v>
      </c>
      <c r="G25" s="63">
        <f t="shared" si="3"/>
        <v>919</v>
      </c>
      <c r="H25" s="63">
        <f>ROUND(C25/1000,0)</f>
        <v>683</v>
      </c>
      <c r="I25" s="188">
        <f t="shared" si="1"/>
        <v>74.31991294885746</v>
      </c>
      <c r="J25" s="63">
        <f>H25-'[25]Junijs'!H25</f>
        <v>21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746</v>
      </c>
      <c r="B26" s="63">
        <v>150000</v>
      </c>
      <c r="C26" s="63">
        <v>140063</v>
      </c>
      <c r="D26" s="188">
        <f t="shared" si="0"/>
        <v>93.37533333333333</v>
      </c>
      <c r="E26" s="63">
        <f>C26-'[25]Junijs'!C26</f>
        <v>7535</v>
      </c>
      <c r="F26" s="67" t="s">
        <v>746</v>
      </c>
      <c r="G26" s="63">
        <f t="shared" si="3"/>
        <v>150</v>
      </c>
      <c r="H26" s="186">
        <f t="shared" si="3"/>
        <v>140</v>
      </c>
      <c r="I26" s="188">
        <f t="shared" si="1"/>
        <v>93.33333333333333</v>
      </c>
      <c r="J26" s="186">
        <f>H26-'[25]Junijs'!H26</f>
        <v>7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747</v>
      </c>
      <c r="B27" s="63">
        <v>225466</v>
      </c>
      <c r="C27" s="63">
        <v>146016</v>
      </c>
      <c r="D27" s="188">
        <f t="shared" si="0"/>
        <v>64.76187096945881</v>
      </c>
      <c r="E27" s="63">
        <f>C27-'[25]Junijs'!C27</f>
        <v>66410</v>
      </c>
      <c r="F27" s="67" t="s">
        <v>747</v>
      </c>
      <c r="G27" s="63">
        <f t="shared" si="3"/>
        <v>225</v>
      </c>
      <c r="H27" s="63">
        <f t="shared" si="3"/>
        <v>146</v>
      </c>
      <c r="I27" s="188">
        <f t="shared" si="1"/>
        <v>64.88888888888889</v>
      </c>
      <c r="J27" s="63">
        <f>H27-'[25]Junijs'!H27</f>
        <v>66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748</v>
      </c>
      <c r="B28" s="63">
        <v>141288</v>
      </c>
      <c r="C28" s="63">
        <v>64489</v>
      </c>
      <c r="D28" s="188">
        <f t="shared" si="0"/>
        <v>45.64364984995187</v>
      </c>
      <c r="E28" s="63">
        <f>C28-'[25]Junijs'!C28</f>
        <v>3242</v>
      </c>
      <c r="F28" s="67" t="s">
        <v>748</v>
      </c>
      <c r="G28" s="63">
        <f t="shared" si="3"/>
        <v>141</v>
      </c>
      <c r="H28" s="63">
        <f t="shared" si="3"/>
        <v>64</v>
      </c>
      <c r="I28" s="188">
        <f t="shared" si="1"/>
        <v>45.39007092198582</v>
      </c>
      <c r="J28" s="63">
        <f>H28-'[25]Junijs'!H28</f>
        <v>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749</v>
      </c>
      <c r="B29" s="63">
        <v>565792</v>
      </c>
      <c r="C29" s="63">
        <v>300168</v>
      </c>
      <c r="D29" s="188">
        <f t="shared" si="0"/>
        <v>53.05271195068152</v>
      </c>
      <c r="E29" s="63">
        <f>C29-'[25]Junijs'!C29</f>
        <v>45748</v>
      </c>
      <c r="F29" s="67" t="s">
        <v>749</v>
      </c>
      <c r="G29" s="63">
        <f t="shared" si="3"/>
        <v>566</v>
      </c>
      <c r="H29" s="63">
        <f t="shared" si="3"/>
        <v>300</v>
      </c>
      <c r="I29" s="188">
        <f t="shared" si="1"/>
        <v>53.003533568904594</v>
      </c>
      <c r="J29" s="63">
        <f>H29-'[25]Junijs'!H29</f>
        <v>46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102</v>
      </c>
      <c r="B30" s="57">
        <v>1643907</v>
      </c>
      <c r="C30" s="57">
        <v>1065212</v>
      </c>
      <c r="D30" s="208">
        <f t="shared" si="0"/>
        <v>64.79758283163221</v>
      </c>
      <c r="E30" s="57">
        <f>C30-'[25]Junijs'!C30</f>
        <v>519422</v>
      </c>
      <c r="F30" s="32" t="s">
        <v>102</v>
      </c>
      <c r="G30" s="57">
        <f t="shared" si="3"/>
        <v>1644</v>
      </c>
      <c r="H30" s="57">
        <f t="shared" si="3"/>
        <v>1065</v>
      </c>
      <c r="I30" s="208">
        <f t="shared" si="1"/>
        <v>64.78102189781022</v>
      </c>
      <c r="J30" s="57">
        <f>H30-'[25]Junijs'!H30</f>
        <v>519</v>
      </c>
    </row>
    <row r="31" spans="1:147" s="83" customFormat="1" ht="17.25" customHeight="1">
      <c r="A31" s="84"/>
      <c r="B31" s="82"/>
      <c r="E31"/>
      <c r="F31" s="84"/>
      <c r="G31" s="8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3" customFormat="1" ht="17.25" customHeight="1" hidden="1">
      <c r="A32" s="84"/>
      <c r="B32" s="82"/>
      <c r="E32"/>
      <c r="F32" s="84"/>
      <c r="G32" s="8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13" ht="17.25" customHeight="1">
      <c r="A33" s="85"/>
      <c r="B33" s="50"/>
      <c r="C33" s="49"/>
      <c r="D33" s="49"/>
      <c r="F33" s="41" t="s">
        <v>917</v>
      </c>
      <c r="G33" s="49"/>
      <c r="H33" s="41"/>
      <c r="I33" s="41"/>
      <c r="J33" s="41"/>
      <c r="K33" s="41"/>
      <c r="L33" s="41"/>
      <c r="M33" s="41"/>
    </row>
    <row r="34" spans="1:12" ht="17.25" customHeight="1">
      <c r="A34" s="41" t="s">
        <v>115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</row>
    <row r="36" spans="1:9" ht="17.25" customHeight="1">
      <c r="A36" s="86"/>
      <c r="B36" s="52"/>
      <c r="C36" s="87"/>
      <c r="D36" s="87"/>
      <c r="F36" s="86"/>
      <c r="G36" s="52"/>
      <c r="H36" s="87"/>
      <c r="I36" s="87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0</v>
      </c>
      <c r="G38" s="50"/>
      <c r="H38" s="38"/>
      <c r="I38" s="38"/>
    </row>
    <row r="39" spans="2:9" ht="12.75">
      <c r="B39" s="50"/>
      <c r="C39" s="49"/>
      <c r="D39" s="49"/>
      <c r="F39" s="38" t="s">
        <v>911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4"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A59" sqref="A59"/>
    </sheetView>
  </sheetViews>
  <sheetFormatPr defaultColWidth="9.140625" defaultRowHeight="17.25" customHeight="1"/>
  <cols>
    <col min="1" max="1" width="22.140625" style="0" customWidth="1"/>
    <col min="2" max="2" width="43.57421875" style="0" customWidth="1"/>
    <col min="3" max="3" width="11.7109375" style="0" bestFit="1" customWidth="1"/>
    <col min="4" max="4" width="13.28125" style="0" customWidth="1"/>
    <col min="5" max="5" width="13.140625" style="0" bestFit="1" customWidth="1"/>
    <col min="6" max="6" width="13.421875" style="0" customWidth="1"/>
    <col min="7" max="7" width="11.7109375" style="0" bestFit="1" customWidth="1"/>
    <col min="8" max="8" width="11.8515625" style="0" customWidth="1"/>
  </cols>
  <sheetData>
    <row r="1" ht="17.25" customHeight="1">
      <c r="G1" s="298" t="s">
        <v>918</v>
      </c>
    </row>
    <row r="2" spans="1:7" ht="17.25" customHeight="1">
      <c r="A2" s="864" t="s">
        <v>273</v>
      </c>
      <c r="B2" s="864"/>
      <c r="C2" s="864"/>
      <c r="D2" s="864"/>
      <c r="E2" s="864"/>
      <c r="F2" s="864"/>
      <c r="G2" s="864"/>
    </row>
    <row r="3" spans="2:8" ht="17.25" customHeight="1">
      <c r="B3" s="5"/>
      <c r="C3" s="5"/>
      <c r="D3" s="5"/>
      <c r="E3" s="5"/>
      <c r="F3" s="5"/>
      <c r="G3" s="5"/>
      <c r="H3" s="5"/>
    </row>
    <row r="4" spans="1:8" ht="21" customHeight="1">
      <c r="A4" s="929" t="s">
        <v>919</v>
      </c>
      <c r="B4" s="929"/>
      <c r="C4" s="929"/>
      <c r="D4" s="929"/>
      <c r="E4" s="929"/>
      <c r="F4" s="929"/>
      <c r="G4" s="929"/>
      <c r="H4" s="834"/>
    </row>
    <row r="5" spans="1:8" ht="26.25" customHeight="1">
      <c r="A5" s="930" t="s">
        <v>920</v>
      </c>
      <c r="B5" s="930"/>
      <c r="C5" s="930"/>
      <c r="D5" s="930"/>
      <c r="E5" s="930"/>
      <c r="F5" s="930"/>
      <c r="G5" s="930"/>
      <c r="H5" s="834"/>
    </row>
    <row r="6" spans="2:7" ht="17.25" customHeight="1">
      <c r="B6" s="5"/>
      <c r="C6" s="5"/>
      <c r="D6" s="5"/>
      <c r="E6" s="5"/>
      <c r="F6" s="5"/>
      <c r="G6" s="298" t="s">
        <v>957</v>
      </c>
    </row>
    <row r="7" spans="1:7" ht="41.25" customHeight="1">
      <c r="A7" s="262" t="s">
        <v>921</v>
      </c>
      <c r="B7" s="144" t="s">
        <v>922</v>
      </c>
      <c r="C7" s="262" t="s">
        <v>958</v>
      </c>
      <c r="D7" s="262" t="s">
        <v>923</v>
      </c>
      <c r="E7" s="262" t="s">
        <v>337</v>
      </c>
      <c r="F7" s="262" t="s">
        <v>924</v>
      </c>
      <c r="G7" s="9" t="s">
        <v>850</v>
      </c>
    </row>
    <row r="8" spans="1:7" ht="15">
      <c r="A8" s="437">
        <v>1</v>
      </c>
      <c r="B8" s="835">
        <v>2</v>
      </c>
      <c r="C8" s="437">
        <v>3</v>
      </c>
      <c r="D8" s="836">
        <v>4</v>
      </c>
      <c r="E8" s="836">
        <v>5</v>
      </c>
      <c r="F8" s="836">
        <v>6</v>
      </c>
      <c r="G8" s="437">
        <v>7</v>
      </c>
    </row>
    <row r="9" spans="1:7" ht="17.25" customHeight="1">
      <c r="A9" s="136"/>
      <c r="B9" s="837" t="s">
        <v>925</v>
      </c>
      <c r="C9" s="136">
        <f>SUM(C10,C13)</f>
        <v>9519</v>
      </c>
      <c r="D9" s="136">
        <f>SUM(D10,D13)</f>
        <v>1992</v>
      </c>
      <c r="E9" s="136">
        <f>SUM(E10,E13)</f>
        <v>375</v>
      </c>
      <c r="F9" s="838">
        <f>E9/C9*100</f>
        <v>3.9394894421682953</v>
      </c>
      <c r="G9" s="136">
        <f>SUM(G10,G13)</f>
        <v>375</v>
      </c>
    </row>
    <row r="10" spans="1:7" ht="17.25" customHeight="1">
      <c r="A10" s="136"/>
      <c r="B10" s="839" t="s">
        <v>926</v>
      </c>
      <c r="C10" s="136">
        <f>SUM(C11:C12)</f>
        <v>6829</v>
      </c>
      <c r="D10" s="136">
        <f>SUM(D11:D12)</f>
        <v>1256</v>
      </c>
      <c r="E10" s="136">
        <f>SUM(E11:E12)</f>
        <v>256</v>
      </c>
      <c r="F10" s="838">
        <f>E10/C10*100</f>
        <v>3.7487186996632014</v>
      </c>
      <c r="G10" s="136">
        <f>SUM(G11:G12)</f>
        <v>256</v>
      </c>
    </row>
    <row r="11" spans="1:7" ht="17.25" customHeight="1">
      <c r="A11" s="136"/>
      <c r="B11" s="840" t="s">
        <v>758</v>
      </c>
      <c r="C11" s="136">
        <f>SUM(C28)</f>
        <v>191</v>
      </c>
      <c r="D11" s="136">
        <f>SUM(D28)</f>
        <v>39</v>
      </c>
      <c r="E11" s="136"/>
      <c r="F11" s="838"/>
      <c r="G11" s="136"/>
    </row>
    <row r="12" spans="1:7" ht="17.25" customHeight="1">
      <c r="A12" s="136"/>
      <c r="B12" s="840" t="s">
        <v>53</v>
      </c>
      <c r="C12" s="136">
        <f>SUM(C20,C24,C33,C40,C48,C52,C57,C62,C67,C72,C77)</f>
        <v>6638</v>
      </c>
      <c r="D12" s="136">
        <f>SUM(D20,D24,D33,D40,D48,D52,D57,D62,D67,D72,D77)</f>
        <v>1217</v>
      </c>
      <c r="E12" s="136">
        <f>SUM(E20,E24,E33,E40,E48,E52,E57,E62,E67,E72,E77)</f>
        <v>256</v>
      </c>
      <c r="F12" s="838">
        <f>E12/C12*100</f>
        <v>3.856583308225369</v>
      </c>
      <c r="G12" s="136">
        <f>SUM(G20,G24,G33,G40,G48,G52,G57,G62,G67,G72,G77)</f>
        <v>256</v>
      </c>
    </row>
    <row r="13" spans="1:7" ht="17.25" customHeight="1">
      <c r="A13" s="136"/>
      <c r="B13" s="839" t="s">
        <v>388</v>
      </c>
      <c r="C13" s="136">
        <f>C15</f>
        <v>2690</v>
      </c>
      <c r="D13" s="136">
        <f>D15</f>
        <v>736</v>
      </c>
      <c r="E13" s="136">
        <f>E15</f>
        <v>119</v>
      </c>
      <c r="F13" s="838">
        <f>E13/C13*100</f>
        <v>4.4237918215613385</v>
      </c>
      <c r="G13" s="136">
        <f>G15</f>
        <v>119</v>
      </c>
    </row>
    <row r="14" spans="1:7" ht="17.25" customHeight="1" hidden="1">
      <c r="A14" s="136"/>
      <c r="B14" s="840" t="s">
        <v>758</v>
      </c>
      <c r="C14" s="136"/>
      <c r="D14" s="136">
        <v>0</v>
      </c>
      <c r="E14" s="136"/>
      <c r="F14" s="838" t="e">
        <f>E14/C14*100</f>
        <v>#DIV/0!</v>
      </c>
      <c r="G14" s="136"/>
    </row>
    <row r="15" spans="1:7" ht="17.25" customHeight="1">
      <c r="A15" s="136"/>
      <c r="B15" s="840" t="s">
        <v>53</v>
      </c>
      <c r="C15" s="136">
        <f>SUM(C35,C42)</f>
        <v>2690</v>
      </c>
      <c r="D15" s="136">
        <f>SUM(D35,D42)</f>
        <v>736</v>
      </c>
      <c r="E15" s="136">
        <f>SUM(E35,E42)</f>
        <v>119</v>
      </c>
      <c r="F15" s="838">
        <f>E15/C15*100</f>
        <v>4.4237918215613385</v>
      </c>
      <c r="G15" s="136">
        <v>119</v>
      </c>
    </row>
    <row r="16" spans="1:8" ht="17.25" customHeight="1">
      <c r="A16" s="841" t="s">
        <v>78</v>
      </c>
      <c r="B16" s="136"/>
      <c r="C16" s="136"/>
      <c r="D16" s="136"/>
      <c r="E16" s="136"/>
      <c r="F16" s="136"/>
      <c r="G16" s="136"/>
      <c r="H16" s="135"/>
    </row>
    <row r="17" spans="1:8" ht="31.5" customHeight="1">
      <c r="A17" s="842" t="s">
        <v>927</v>
      </c>
      <c r="B17" s="926" t="s">
        <v>928</v>
      </c>
      <c r="C17" s="926"/>
      <c r="D17" s="926"/>
      <c r="E17" s="926"/>
      <c r="F17" s="926"/>
      <c r="G17" s="926"/>
      <c r="H17" s="843"/>
    </row>
    <row r="18" spans="1:7" ht="17.25" customHeight="1">
      <c r="A18" s="136"/>
      <c r="B18" s="844" t="s">
        <v>180</v>
      </c>
      <c r="C18" s="136">
        <f>C19</f>
        <v>110</v>
      </c>
      <c r="D18" s="136">
        <f>D19</f>
        <v>0</v>
      </c>
      <c r="E18" s="136">
        <v>0</v>
      </c>
      <c r="F18" s="136">
        <v>0</v>
      </c>
      <c r="G18" s="136">
        <v>0</v>
      </c>
    </row>
    <row r="19" spans="1:8" ht="17.25" customHeight="1">
      <c r="A19" s="136"/>
      <c r="B19" s="839" t="s">
        <v>929</v>
      </c>
      <c r="C19">
        <f>C20</f>
        <v>110</v>
      </c>
      <c r="D19">
        <f>D20</f>
        <v>0</v>
      </c>
      <c r="E19">
        <v>0</v>
      </c>
      <c r="F19">
        <v>0</v>
      </c>
      <c r="G19">
        <v>0</v>
      </c>
      <c r="H19" s="135"/>
    </row>
    <row r="20" spans="1:8" ht="17.25" customHeight="1">
      <c r="A20" s="136"/>
      <c r="B20" s="136" t="s">
        <v>53</v>
      </c>
      <c r="C20" s="136">
        <v>110</v>
      </c>
      <c r="D20" s="136">
        <v>0</v>
      </c>
      <c r="E20" s="136">
        <v>0</v>
      </c>
      <c r="F20" s="136">
        <v>0</v>
      </c>
      <c r="G20" s="136">
        <v>0</v>
      </c>
      <c r="H20" s="135"/>
    </row>
    <row r="21" spans="1:9" ht="16.5" customHeight="1">
      <c r="A21" s="842" t="s">
        <v>930</v>
      </c>
      <c r="B21" s="926" t="s">
        <v>931</v>
      </c>
      <c r="C21" s="926"/>
      <c r="D21" s="926"/>
      <c r="E21" s="926"/>
      <c r="F21" s="926"/>
      <c r="G21" s="926"/>
      <c r="H21" s="845"/>
      <c r="I21" s="135"/>
    </row>
    <row r="22" spans="1:7" ht="17.25" customHeight="1">
      <c r="A22" s="136"/>
      <c r="B22" s="844" t="s">
        <v>180</v>
      </c>
      <c r="C22" s="136">
        <f>C23</f>
        <v>2320</v>
      </c>
      <c r="D22" s="136">
        <f>D23</f>
        <v>663</v>
      </c>
      <c r="E22" s="136">
        <v>0</v>
      </c>
      <c r="F22" s="136">
        <v>0</v>
      </c>
      <c r="G22" s="136">
        <v>0</v>
      </c>
    </row>
    <row r="23" spans="1:7" ht="17.25" customHeight="1">
      <c r="A23" s="136"/>
      <c r="B23" s="839" t="s">
        <v>929</v>
      </c>
      <c r="C23" s="136">
        <f>C24</f>
        <v>2320</v>
      </c>
      <c r="D23" s="136">
        <f>D24</f>
        <v>663</v>
      </c>
      <c r="E23" s="136">
        <v>0</v>
      </c>
      <c r="F23" s="136">
        <v>0</v>
      </c>
      <c r="G23" s="136">
        <v>0</v>
      </c>
    </row>
    <row r="24" spans="1:7" ht="17.25" customHeight="1">
      <c r="A24" s="136"/>
      <c r="B24" s="136" t="s">
        <v>53</v>
      </c>
      <c r="C24" s="136">
        <v>2320</v>
      </c>
      <c r="D24" s="136">
        <f>331+332</f>
        <v>663</v>
      </c>
      <c r="E24" s="136">
        <v>0</v>
      </c>
      <c r="F24" s="136">
        <v>0</v>
      </c>
      <c r="G24" s="136">
        <v>0</v>
      </c>
    </row>
    <row r="25" spans="1:8" ht="48.75" customHeight="1">
      <c r="A25" s="846" t="s">
        <v>932</v>
      </c>
      <c r="B25" s="926" t="s">
        <v>933</v>
      </c>
      <c r="C25" s="926"/>
      <c r="D25" s="926"/>
      <c r="E25" s="926"/>
      <c r="F25" s="926"/>
      <c r="G25" s="926"/>
      <c r="H25" s="845"/>
    </row>
    <row r="26" spans="1:7" ht="17.25" customHeight="1">
      <c r="A26" s="136"/>
      <c r="B26" s="844" t="s">
        <v>180</v>
      </c>
      <c r="C26" s="136">
        <f>C27</f>
        <v>191</v>
      </c>
      <c r="D26" s="136">
        <f>D27</f>
        <v>39</v>
      </c>
      <c r="E26" s="136">
        <v>0</v>
      </c>
      <c r="F26" s="136">
        <v>0</v>
      </c>
      <c r="G26" s="136">
        <v>0</v>
      </c>
    </row>
    <row r="27" spans="1:7" ht="17.25" customHeight="1">
      <c r="A27" s="136"/>
      <c r="B27" s="839" t="s">
        <v>929</v>
      </c>
      <c r="C27" s="136">
        <f>C28</f>
        <v>191</v>
      </c>
      <c r="D27" s="136">
        <f>D28</f>
        <v>39</v>
      </c>
      <c r="E27" s="136">
        <v>0</v>
      </c>
      <c r="F27" s="136">
        <v>0</v>
      </c>
      <c r="G27" s="136">
        <v>0</v>
      </c>
    </row>
    <row r="28" spans="1:7" ht="17.25" customHeight="1">
      <c r="A28" s="136"/>
      <c r="B28" s="136" t="s">
        <v>758</v>
      </c>
      <c r="C28" s="136">
        <v>191</v>
      </c>
      <c r="D28" s="136">
        <v>39</v>
      </c>
      <c r="E28" s="136">
        <v>0</v>
      </c>
      <c r="F28" s="136">
        <v>0</v>
      </c>
      <c r="G28" s="136">
        <v>0</v>
      </c>
    </row>
    <row r="29" spans="1:7" ht="17.25" customHeight="1" hidden="1">
      <c r="A29" s="136"/>
      <c r="B29" s="136" t="s">
        <v>53</v>
      </c>
      <c r="C29" s="136"/>
      <c r="D29" s="136"/>
      <c r="E29" s="136"/>
      <c r="F29" s="136"/>
      <c r="G29" s="136"/>
    </row>
    <row r="30" spans="1:9" ht="17.25" customHeight="1">
      <c r="A30" s="136"/>
      <c r="B30" s="926" t="s">
        <v>934</v>
      </c>
      <c r="C30" s="926"/>
      <c r="D30" s="926"/>
      <c r="E30" s="926"/>
      <c r="F30" s="926"/>
      <c r="G30" s="926"/>
      <c r="H30" s="845"/>
      <c r="I30" s="135"/>
    </row>
    <row r="31" spans="1:7" ht="17.25" customHeight="1">
      <c r="A31" s="136"/>
      <c r="B31" s="844" t="s">
        <v>180</v>
      </c>
      <c r="C31" s="136">
        <f>SUM(C32,C34)</f>
        <v>4760</v>
      </c>
      <c r="D31" s="136">
        <f>SUM(D32,D34)</f>
        <v>1250</v>
      </c>
      <c r="E31" s="136">
        <f>SUM(E32,E34)</f>
        <v>374</v>
      </c>
      <c r="F31" s="838">
        <f>E31/C31*100</f>
        <v>7.857142857142857</v>
      </c>
      <c r="G31" s="136">
        <f>SUM(G32,G34)</f>
        <v>374</v>
      </c>
    </row>
    <row r="32" spans="1:7" ht="17.25" customHeight="1">
      <c r="A32" s="136"/>
      <c r="B32" s="839" t="s">
        <v>929</v>
      </c>
      <c r="C32" s="136">
        <f>C33</f>
        <v>2320</v>
      </c>
      <c r="D32" s="136">
        <f>D33</f>
        <v>554</v>
      </c>
      <c r="E32" s="136">
        <f>E33</f>
        <v>256</v>
      </c>
      <c r="F32" s="838">
        <f>E32/C32*100</f>
        <v>11.03448275862069</v>
      </c>
      <c r="G32" s="136">
        <f>G33</f>
        <v>256</v>
      </c>
    </row>
    <row r="33" spans="1:7" ht="17.25" customHeight="1">
      <c r="A33" s="136"/>
      <c r="B33" s="136" t="s">
        <v>53</v>
      </c>
      <c r="C33" s="136">
        <v>2320</v>
      </c>
      <c r="D33" s="136">
        <v>554</v>
      </c>
      <c r="E33" s="136">
        <v>256</v>
      </c>
      <c r="F33" s="838">
        <f>E33/C33*100</f>
        <v>11.03448275862069</v>
      </c>
      <c r="G33" s="136">
        <v>256</v>
      </c>
    </row>
    <row r="34" spans="1:7" ht="17.25" customHeight="1">
      <c r="A34" s="136"/>
      <c r="B34" s="839" t="s">
        <v>388</v>
      </c>
      <c r="C34" s="136">
        <f>C35</f>
        <v>2440</v>
      </c>
      <c r="D34" s="136">
        <f>D35</f>
        <v>696</v>
      </c>
      <c r="E34" s="136">
        <f>E35</f>
        <v>118</v>
      </c>
      <c r="F34" s="838">
        <f>E34/C34*100</f>
        <v>4.836065573770492</v>
      </c>
      <c r="G34" s="136">
        <f>G35</f>
        <v>118</v>
      </c>
    </row>
    <row r="35" spans="1:7" ht="17.25" customHeight="1">
      <c r="A35" s="136"/>
      <c r="B35" s="136" t="s">
        <v>53</v>
      </c>
      <c r="C35" s="136">
        <v>2440</v>
      </c>
      <c r="D35" s="136">
        <f>(48000+136000+230000+282000)/1000</f>
        <v>696</v>
      </c>
      <c r="E35" s="136">
        <v>118</v>
      </c>
      <c r="F35" s="838">
        <f>E35/C35*100</f>
        <v>4.836065573770492</v>
      </c>
      <c r="G35" s="136">
        <v>118</v>
      </c>
    </row>
    <row r="36" spans="1:7" ht="17.25" customHeight="1">
      <c r="A36" s="841" t="s">
        <v>84</v>
      </c>
      <c r="B36" s="136"/>
      <c r="C36" s="136"/>
      <c r="D36" s="136"/>
      <c r="E36" s="136"/>
      <c r="F36" s="136"/>
      <c r="G36" s="136"/>
    </row>
    <row r="37" spans="1:8" ht="17.25" customHeight="1">
      <c r="A37" s="136" t="s">
        <v>935</v>
      </c>
      <c r="B37" s="926" t="s">
        <v>936</v>
      </c>
      <c r="C37" s="926"/>
      <c r="D37" s="926"/>
      <c r="E37" s="926"/>
      <c r="F37" s="926"/>
      <c r="G37" s="926"/>
      <c r="H37" s="845"/>
    </row>
    <row r="38" spans="1:7" ht="17.25" customHeight="1">
      <c r="A38" s="136"/>
      <c r="B38" s="844" t="s">
        <v>180</v>
      </c>
      <c r="C38" s="136">
        <f>SUM(C39,C41)</f>
        <v>250</v>
      </c>
      <c r="D38" s="136">
        <f>SUM(D39,D41)</f>
        <v>40</v>
      </c>
      <c r="E38" s="136">
        <f>SUM(E39,E41)</f>
        <v>1</v>
      </c>
      <c r="F38" s="838">
        <f>E38/C38*100</f>
        <v>0.4</v>
      </c>
      <c r="G38" s="136">
        <f>SUM(G39,G41)</f>
        <v>1</v>
      </c>
    </row>
    <row r="39" spans="1:7" ht="17.25" customHeight="1" hidden="1">
      <c r="A39" s="136"/>
      <c r="B39" s="839" t="s">
        <v>926</v>
      </c>
      <c r="C39" s="136">
        <f>C40</f>
        <v>0</v>
      </c>
      <c r="D39" s="136">
        <f>D40</f>
        <v>0</v>
      </c>
      <c r="E39" s="136"/>
      <c r="F39" s="838" t="e">
        <f>E39/C39*100</f>
        <v>#DIV/0!</v>
      </c>
      <c r="G39" s="136"/>
    </row>
    <row r="40" spans="1:7" ht="17.25" customHeight="1" hidden="1">
      <c r="A40" s="136"/>
      <c r="B40" s="847" t="s">
        <v>53</v>
      </c>
      <c r="C40" s="136"/>
      <c r="D40" s="136">
        <v>0</v>
      </c>
      <c r="E40" s="136"/>
      <c r="F40" s="838" t="e">
        <f>E40/C40*100</f>
        <v>#DIV/0!</v>
      </c>
      <c r="G40" s="136"/>
    </row>
    <row r="41" spans="1:7" ht="17.25" customHeight="1">
      <c r="A41" s="136"/>
      <c r="B41" s="839" t="s">
        <v>388</v>
      </c>
      <c r="C41" s="136">
        <f>C42</f>
        <v>250</v>
      </c>
      <c r="D41" s="136">
        <f>D42</f>
        <v>40</v>
      </c>
      <c r="E41" s="136">
        <f>E42</f>
        <v>1</v>
      </c>
      <c r="F41" s="838">
        <f>E41/C41*100</f>
        <v>0.4</v>
      </c>
      <c r="G41" s="136">
        <f>G42</f>
        <v>1</v>
      </c>
    </row>
    <row r="42" spans="1:7" ht="17.25" customHeight="1">
      <c r="A42" s="136"/>
      <c r="B42" s="847" t="s">
        <v>53</v>
      </c>
      <c r="C42" s="136">
        <v>250</v>
      </c>
      <c r="D42" s="136">
        <v>40</v>
      </c>
      <c r="E42" s="136">
        <v>1</v>
      </c>
      <c r="F42" s="838">
        <f>E42/C42*100</f>
        <v>0.4</v>
      </c>
      <c r="G42" s="136">
        <v>1</v>
      </c>
    </row>
    <row r="43" spans="1:7" ht="17.25" customHeight="1">
      <c r="A43" s="927" t="s">
        <v>937</v>
      </c>
      <c r="B43" s="927"/>
      <c r="C43" s="927"/>
      <c r="D43" s="927"/>
      <c r="E43" s="927"/>
      <c r="F43" s="927"/>
      <c r="G43" s="928"/>
    </row>
    <row r="44" spans="1:3" ht="17.25" customHeight="1">
      <c r="A44" s="136" t="s">
        <v>938</v>
      </c>
      <c r="B44" s="926" t="s">
        <v>939</v>
      </c>
      <c r="C44" s="926"/>
    </row>
    <row r="45" spans="1:7" ht="17.25" customHeight="1">
      <c r="A45" s="136"/>
      <c r="B45" s="844" t="s">
        <v>180</v>
      </c>
      <c r="C45" s="136">
        <f>C46</f>
        <v>531</v>
      </c>
      <c r="D45" s="136">
        <f>D46</f>
        <v>0</v>
      </c>
      <c r="E45" s="136">
        <v>0</v>
      </c>
      <c r="F45" s="136">
        <v>0</v>
      </c>
      <c r="G45" s="136">
        <v>0</v>
      </c>
    </row>
    <row r="46" spans="1:7" ht="17.25" customHeight="1">
      <c r="A46" s="136"/>
      <c r="B46" s="839" t="s">
        <v>926</v>
      </c>
      <c r="C46" s="136">
        <f>C48</f>
        <v>531</v>
      </c>
      <c r="D46" s="136">
        <f>D48</f>
        <v>0</v>
      </c>
      <c r="E46" s="136">
        <v>0</v>
      </c>
      <c r="F46" s="136">
        <v>0</v>
      </c>
      <c r="G46" s="136">
        <v>0</v>
      </c>
    </row>
    <row r="47" spans="1:7" ht="17.25" customHeight="1" hidden="1">
      <c r="A47" s="136"/>
      <c r="B47" s="136" t="s">
        <v>758</v>
      </c>
      <c r="C47" s="136"/>
      <c r="D47" s="136"/>
      <c r="E47" s="136"/>
      <c r="F47" s="136"/>
      <c r="G47" s="136"/>
    </row>
    <row r="48" spans="1:7" ht="17.25" customHeight="1">
      <c r="A48" s="136"/>
      <c r="B48" s="136" t="s">
        <v>53</v>
      </c>
      <c r="C48" s="136">
        <v>531</v>
      </c>
      <c r="D48" s="136">
        <v>0</v>
      </c>
      <c r="E48" s="136">
        <v>0</v>
      </c>
      <c r="F48" s="136">
        <v>0</v>
      </c>
      <c r="G48" s="136">
        <v>0</v>
      </c>
    </row>
    <row r="49" spans="1:7" ht="17.25" customHeight="1">
      <c r="A49" s="136" t="s">
        <v>940</v>
      </c>
      <c r="B49" s="848" t="s">
        <v>941</v>
      </c>
      <c r="C49" s="136"/>
      <c r="D49" s="136"/>
      <c r="E49" s="136"/>
      <c r="F49" s="136"/>
      <c r="G49" s="136"/>
    </row>
    <row r="50" spans="1:7" ht="17.25" customHeight="1">
      <c r="A50" s="136"/>
      <c r="B50" s="136" t="s">
        <v>180</v>
      </c>
      <c r="C50" s="136">
        <f>C51</f>
        <v>177</v>
      </c>
      <c r="D50" s="136">
        <f>D51</f>
        <v>0</v>
      </c>
      <c r="E50" s="136">
        <v>0</v>
      </c>
      <c r="F50" s="136">
        <v>0</v>
      </c>
      <c r="G50" s="136">
        <v>0</v>
      </c>
    </row>
    <row r="51" spans="1:7" ht="17.25" customHeight="1">
      <c r="A51" s="136"/>
      <c r="B51" s="136" t="s">
        <v>926</v>
      </c>
      <c r="C51" s="136">
        <f>C52</f>
        <v>177</v>
      </c>
      <c r="D51" s="136">
        <f>D52</f>
        <v>0</v>
      </c>
      <c r="E51" s="136">
        <v>0</v>
      </c>
      <c r="F51" s="136">
        <v>0</v>
      </c>
      <c r="G51" s="136">
        <v>0</v>
      </c>
    </row>
    <row r="52" spans="1:7" ht="17.25" customHeight="1">
      <c r="A52" s="136"/>
      <c r="B52" s="136" t="s">
        <v>53</v>
      </c>
      <c r="C52" s="136">
        <v>177</v>
      </c>
      <c r="D52" s="136">
        <v>0</v>
      </c>
      <c r="E52" s="136">
        <v>0</v>
      </c>
      <c r="F52" s="136">
        <v>0</v>
      </c>
      <c r="G52" s="136">
        <v>0</v>
      </c>
    </row>
    <row r="53" spans="1:7" ht="17.25" customHeight="1">
      <c r="A53" s="136" t="s">
        <v>942</v>
      </c>
      <c r="B53" s="848" t="s">
        <v>943</v>
      </c>
      <c r="C53" s="136"/>
      <c r="D53" s="136"/>
      <c r="E53" s="136"/>
      <c r="F53" s="136"/>
      <c r="G53" s="136"/>
    </row>
    <row r="54" spans="1:7" ht="17.25" customHeight="1">
      <c r="A54" s="136"/>
      <c r="B54" s="136" t="s">
        <v>180</v>
      </c>
      <c r="C54" s="136">
        <f>C55</f>
        <v>1180</v>
      </c>
      <c r="D54" s="136">
        <f>D55</f>
        <v>0</v>
      </c>
      <c r="E54" s="136">
        <v>0</v>
      </c>
      <c r="F54" s="136">
        <v>0</v>
      </c>
      <c r="G54" s="136">
        <v>0</v>
      </c>
    </row>
    <row r="55" spans="1:7" ht="17.25" customHeight="1">
      <c r="A55" s="136"/>
      <c r="B55" s="136" t="s">
        <v>926</v>
      </c>
      <c r="C55" s="136">
        <f>C56</f>
        <v>1180</v>
      </c>
      <c r="D55" s="136">
        <f>D56+D57</f>
        <v>0</v>
      </c>
      <c r="E55" s="136">
        <v>0</v>
      </c>
      <c r="F55" s="136">
        <v>0</v>
      </c>
      <c r="G55" s="136">
        <v>0</v>
      </c>
    </row>
    <row r="56" spans="1:7" ht="17.25" customHeight="1" hidden="1">
      <c r="A56" s="136"/>
      <c r="B56" s="136" t="s">
        <v>758</v>
      </c>
      <c r="C56" s="136">
        <f>C57</f>
        <v>1180</v>
      </c>
      <c r="D56" s="136"/>
      <c r="E56" s="136"/>
      <c r="F56" s="136"/>
      <c r="G56" s="136"/>
    </row>
    <row r="57" spans="1:7" ht="17.25" customHeight="1">
      <c r="A57" s="136"/>
      <c r="B57" s="136" t="s">
        <v>53</v>
      </c>
      <c r="C57" s="136">
        <v>1180</v>
      </c>
      <c r="D57" s="136">
        <v>0</v>
      </c>
      <c r="E57" s="136">
        <v>0</v>
      </c>
      <c r="F57" s="136">
        <v>0</v>
      </c>
      <c r="G57" s="136">
        <v>0</v>
      </c>
    </row>
    <row r="58" spans="1:7" ht="17.25" customHeight="1" hidden="1">
      <c r="A58" s="136" t="s">
        <v>944</v>
      </c>
      <c r="B58" s="848" t="s">
        <v>945</v>
      </c>
      <c r="C58" s="136"/>
      <c r="D58" s="136"/>
      <c r="E58" s="136"/>
      <c r="F58" s="136"/>
      <c r="G58" s="136"/>
    </row>
    <row r="59" spans="1:7" ht="17.25" customHeight="1" hidden="1">
      <c r="A59" s="136"/>
      <c r="B59" s="136" t="s">
        <v>180</v>
      </c>
      <c r="C59" s="136"/>
      <c r="D59" s="136">
        <f>D60</f>
        <v>0</v>
      </c>
      <c r="E59" s="136"/>
      <c r="F59" s="136"/>
      <c r="G59" s="136"/>
    </row>
    <row r="60" spans="1:7" ht="17.25" customHeight="1" hidden="1">
      <c r="A60" s="136"/>
      <c r="B60" s="136" t="s">
        <v>926</v>
      </c>
      <c r="C60" s="136"/>
      <c r="D60" s="136">
        <f>D62</f>
        <v>0</v>
      </c>
      <c r="E60" s="136"/>
      <c r="F60" s="136"/>
      <c r="G60" s="136"/>
    </row>
    <row r="61" spans="1:7" ht="17.25" customHeight="1" hidden="1">
      <c r="A61" s="136"/>
      <c r="B61" s="136" t="s">
        <v>758</v>
      </c>
      <c r="C61" s="136"/>
      <c r="D61" s="136"/>
      <c r="E61" s="136"/>
      <c r="F61" s="136"/>
      <c r="G61" s="136"/>
    </row>
    <row r="62" spans="1:7" ht="17.25" customHeight="1" hidden="1">
      <c r="A62" s="136"/>
      <c r="B62" s="136" t="s">
        <v>53</v>
      </c>
      <c r="C62" s="136"/>
      <c r="D62" s="136">
        <v>0</v>
      </c>
      <c r="E62" s="136"/>
      <c r="F62" s="136"/>
      <c r="G62" s="136"/>
    </row>
    <row r="63" spans="1:7" ht="17.25" customHeight="1" hidden="1">
      <c r="A63" s="136" t="s">
        <v>944</v>
      </c>
      <c r="B63" s="848" t="s">
        <v>946</v>
      </c>
      <c r="C63" s="136"/>
      <c r="D63" s="136"/>
      <c r="E63" s="136"/>
      <c r="F63" s="136"/>
      <c r="G63" s="136"/>
    </row>
    <row r="64" spans="1:7" ht="17.25" customHeight="1" hidden="1">
      <c r="A64" s="136"/>
      <c r="B64" s="136" t="s">
        <v>180</v>
      </c>
      <c r="C64" s="136"/>
      <c r="D64" s="136">
        <f>D65</f>
        <v>0</v>
      </c>
      <c r="E64" s="136"/>
      <c r="F64" s="136"/>
      <c r="G64" s="136"/>
    </row>
    <row r="65" spans="1:7" ht="17.25" customHeight="1" hidden="1">
      <c r="A65" s="136"/>
      <c r="B65" s="136" t="s">
        <v>926</v>
      </c>
      <c r="C65" s="136"/>
      <c r="D65" s="136">
        <f>D67</f>
        <v>0</v>
      </c>
      <c r="E65" s="136"/>
      <c r="F65" s="136"/>
      <c r="G65" s="136"/>
    </row>
    <row r="66" spans="1:7" ht="17.25" customHeight="1" hidden="1">
      <c r="A66" s="136"/>
      <c r="B66" s="136" t="s">
        <v>758</v>
      </c>
      <c r="C66" s="136"/>
      <c r="D66" s="136"/>
      <c r="E66" s="136"/>
      <c r="F66" s="136"/>
      <c r="G66" s="136"/>
    </row>
    <row r="67" spans="1:7" ht="17.25" customHeight="1" hidden="1">
      <c r="A67" s="136"/>
      <c r="B67" s="136" t="s">
        <v>53</v>
      </c>
      <c r="C67" s="136"/>
      <c r="D67" s="136">
        <v>0</v>
      </c>
      <c r="E67" s="136"/>
      <c r="F67" s="136"/>
      <c r="G67" s="136"/>
    </row>
    <row r="68" spans="1:7" ht="17.25" customHeight="1" hidden="1">
      <c r="A68" s="136" t="s">
        <v>947</v>
      </c>
      <c r="B68" s="848" t="s">
        <v>948</v>
      </c>
      <c r="C68" s="136"/>
      <c r="D68" s="136"/>
      <c r="E68" s="136"/>
      <c r="F68" s="136"/>
      <c r="G68" s="136"/>
    </row>
    <row r="69" spans="1:7" ht="17.25" customHeight="1" hidden="1">
      <c r="A69" s="136"/>
      <c r="B69" s="136" t="s">
        <v>180</v>
      </c>
      <c r="C69" s="136"/>
      <c r="D69" s="136">
        <f>D70</f>
        <v>0</v>
      </c>
      <c r="E69" s="136"/>
      <c r="F69" s="136"/>
      <c r="G69" s="136"/>
    </row>
    <row r="70" spans="1:7" ht="17.25" customHeight="1" hidden="1">
      <c r="A70" s="136"/>
      <c r="B70" s="136" t="s">
        <v>926</v>
      </c>
      <c r="C70" s="136"/>
      <c r="D70" s="136">
        <f>D72</f>
        <v>0</v>
      </c>
      <c r="E70" s="136"/>
      <c r="F70" s="136"/>
      <c r="G70" s="136"/>
    </row>
    <row r="71" spans="1:7" ht="17.25" customHeight="1" hidden="1">
      <c r="A71" s="136"/>
      <c r="B71" s="136" t="s">
        <v>758</v>
      </c>
      <c r="C71" s="136"/>
      <c r="D71" s="136"/>
      <c r="E71" s="136"/>
      <c r="F71" s="136"/>
      <c r="G71" s="136"/>
    </row>
    <row r="72" spans="1:7" ht="17.25" customHeight="1" hidden="1">
      <c r="A72" s="136"/>
      <c r="B72" s="136" t="s">
        <v>53</v>
      </c>
      <c r="C72" s="136"/>
      <c r="D72" s="136">
        <v>0</v>
      </c>
      <c r="E72" s="136"/>
      <c r="F72" s="136"/>
      <c r="G72" s="136"/>
    </row>
    <row r="73" spans="1:7" ht="17.25" customHeight="1" hidden="1">
      <c r="A73" s="136" t="s">
        <v>944</v>
      </c>
      <c r="B73" s="848" t="s">
        <v>949</v>
      </c>
      <c r="C73" s="136"/>
      <c r="D73" s="136"/>
      <c r="E73" s="136"/>
      <c r="F73" s="136"/>
      <c r="G73" s="136"/>
    </row>
    <row r="74" spans="1:7" ht="17.25" customHeight="1" hidden="1">
      <c r="A74" s="136"/>
      <c r="B74" s="136" t="s">
        <v>180</v>
      </c>
      <c r="C74" s="136"/>
      <c r="D74" s="136">
        <f>D75</f>
        <v>0</v>
      </c>
      <c r="E74" s="136"/>
      <c r="F74" s="136"/>
      <c r="G74" s="136"/>
    </row>
    <row r="75" spans="1:7" ht="17.25" customHeight="1" hidden="1">
      <c r="A75" s="136"/>
      <c r="B75" s="136" t="s">
        <v>926</v>
      </c>
      <c r="C75" s="136"/>
      <c r="D75" s="136">
        <f>D77</f>
        <v>0</v>
      </c>
      <c r="E75" s="136"/>
      <c r="F75" s="136"/>
      <c r="G75" s="136"/>
    </row>
    <row r="76" spans="1:7" ht="17.25" customHeight="1" hidden="1">
      <c r="A76" s="136"/>
      <c r="B76" s="136" t="s">
        <v>758</v>
      </c>
      <c r="C76" s="136"/>
      <c r="D76" s="136">
        <f>D78</f>
        <v>0</v>
      </c>
      <c r="E76" s="136"/>
      <c r="F76" s="136"/>
      <c r="G76" s="136"/>
    </row>
    <row r="77" spans="1:7" ht="17.25" customHeight="1" hidden="1">
      <c r="A77" s="136"/>
      <c r="B77" s="136" t="s">
        <v>53</v>
      </c>
      <c r="C77" s="136"/>
      <c r="D77" s="136">
        <f>D79</f>
        <v>0</v>
      </c>
      <c r="E77" s="136"/>
      <c r="F77" s="136"/>
      <c r="G77" s="136"/>
    </row>
    <row r="78" spans="1:7" ht="17.25" customHeight="1">
      <c r="A78" s="135"/>
      <c r="B78" s="135"/>
      <c r="C78" s="135"/>
      <c r="D78" s="135"/>
      <c r="E78" s="135"/>
      <c r="F78" s="135"/>
      <c r="G78" s="135"/>
    </row>
    <row r="79" spans="6:7" ht="17.25" customHeight="1">
      <c r="F79" s="135"/>
      <c r="G79" s="135"/>
    </row>
    <row r="80" spans="1:7" s="509" customFormat="1" ht="17.25" customHeight="1">
      <c r="A80" s="722" t="s">
        <v>950</v>
      </c>
      <c r="F80" s="175" t="s">
        <v>862</v>
      </c>
      <c r="G80" s="849"/>
    </row>
    <row r="81" spans="1:7" ht="17.25" customHeight="1">
      <c r="A81" s="135"/>
      <c r="B81" s="135"/>
      <c r="C81" s="135"/>
      <c r="D81" s="135"/>
      <c r="E81" s="135"/>
      <c r="F81" s="135"/>
      <c r="G81" s="135"/>
    </row>
    <row r="83" ht="17.25" customHeight="1">
      <c r="A83" t="s">
        <v>272</v>
      </c>
    </row>
    <row r="84" ht="17.25" customHeight="1">
      <c r="A84" t="s">
        <v>847</v>
      </c>
    </row>
    <row r="85" ht="17.25" customHeight="1">
      <c r="G85" s="49"/>
    </row>
  </sheetData>
  <mergeCells count="10">
    <mergeCell ref="A2:G2"/>
    <mergeCell ref="A4:G4"/>
    <mergeCell ref="A5:G5"/>
    <mergeCell ref="B17:G17"/>
    <mergeCell ref="B21:G21"/>
    <mergeCell ref="B44:C44"/>
    <mergeCell ref="B25:G25"/>
    <mergeCell ref="B30:G30"/>
    <mergeCell ref="B37:G37"/>
    <mergeCell ref="A43:G43"/>
  </mergeCells>
  <printOptions horizontalCentered="1"/>
  <pageMargins left="0.68" right="0.2755905511811024" top="0.53" bottom="0.55" header="0.25" footer="0.26"/>
  <pageSetup firstPageNumber="57" useFirstPageNumber="1" horizontalDpi="600" verticalDpi="600" orientation="portrait" paperSize="9" scale="70" r:id="rId1"/>
  <headerFooter alignWithMargins="0">
    <oddFooter>&amp;R&amp;P</oddFooter>
  </headerFooter>
  <rowBreaks count="1" manualBreakCount="1">
    <brk id="84" max="6" man="1"/>
  </rowBreaks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A59" sqref="A59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0039062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301" t="s">
        <v>751</v>
      </c>
      <c r="F1" s="50"/>
      <c r="H1" s="301" t="s">
        <v>751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301"/>
      <c r="F2" s="50"/>
      <c r="H2" s="30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65" t="s">
        <v>3</v>
      </c>
      <c r="B3" s="865"/>
      <c r="C3" s="865"/>
      <c r="D3" s="865"/>
      <c r="E3" s="865" t="s">
        <v>3</v>
      </c>
      <c r="F3" s="865"/>
      <c r="G3" s="865"/>
      <c r="H3" s="865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301"/>
      <c r="F4" s="50"/>
      <c r="H4" s="30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932" t="s">
        <v>752</v>
      </c>
      <c r="B5" s="932"/>
      <c r="C5" s="932"/>
      <c r="D5" s="932"/>
      <c r="E5" s="932" t="s">
        <v>752</v>
      </c>
      <c r="F5" s="932"/>
      <c r="G5" s="932"/>
      <c r="H5" s="932"/>
    </row>
    <row r="6" spans="1:8" ht="12.75">
      <c r="A6" s="884" t="s">
        <v>914</v>
      </c>
      <c r="B6" s="884"/>
      <c r="C6" s="884"/>
      <c r="D6" s="884"/>
      <c r="E6" s="865" t="s">
        <v>833</v>
      </c>
      <c r="F6" s="865"/>
      <c r="G6" s="865"/>
      <c r="H6" s="865"/>
    </row>
    <row r="7" spans="1:8" ht="12.75">
      <c r="A7" s="248"/>
      <c r="B7" s="248"/>
      <c r="C7" s="248"/>
      <c r="D7" s="248"/>
      <c r="E7" s="248"/>
      <c r="F7" s="248"/>
      <c r="G7" s="248"/>
      <c r="H7" s="248"/>
    </row>
    <row r="8" spans="4:8" ht="12.75">
      <c r="D8" s="2" t="s">
        <v>382</v>
      </c>
      <c r="H8" s="2" t="s">
        <v>957</v>
      </c>
    </row>
    <row r="9" spans="1:8" s="689" customFormat="1" ht="57" customHeight="1">
      <c r="A9" s="688" t="s">
        <v>791</v>
      </c>
      <c r="B9" s="304" t="s">
        <v>753</v>
      </c>
      <c r="C9" s="304" t="s">
        <v>760</v>
      </c>
      <c r="D9" s="304" t="s">
        <v>761</v>
      </c>
      <c r="E9" s="688" t="s">
        <v>791</v>
      </c>
      <c r="F9" s="304" t="s">
        <v>753</v>
      </c>
      <c r="G9" s="304" t="s">
        <v>760</v>
      </c>
      <c r="H9" s="304" t="s">
        <v>761</v>
      </c>
    </row>
    <row r="10" spans="1:8" s="691" customFormat="1" ht="11.25" customHeight="1">
      <c r="A10" s="690">
        <v>1</v>
      </c>
      <c r="B10" s="690">
        <v>2</v>
      </c>
      <c r="C10" s="8">
        <v>3</v>
      </c>
      <c r="D10" s="8" t="s">
        <v>762</v>
      </c>
      <c r="E10" s="690">
        <v>1</v>
      </c>
      <c r="F10" s="690">
        <v>2</v>
      </c>
      <c r="G10" s="8">
        <v>3</v>
      </c>
      <c r="H10" s="8" t="s">
        <v>762</v>
      </c>
    </row>
    <row r="11" spans="1:8" s="694" customFormat="1" ht="15">
      <c r="A11" s="692" t="s">
        <v>763</v>
      </c>
      <c r="B11" s="693">
        <f>B12+B35</f>
        <v>49031643</v>
      </c>
      <c r="C11" s="693">
        <f>C12+C35</f>
        <v>95225255</v>
      </c>
      <c r="D11" s="693">
        <f>C11-B11</f>
        <v>46193612</v>
      </c>
      <c r="E11" s="692" t="s">
        <v>763</v>
      </c>
      <c r="F11" s="693">
        <f>F12+F35</f>
        <v>49032</v>
      </c>
      <c r="G11" s="693">
        <f>G12+G35</f>
        <v>95225</v>
      </c>
      <c r="H11" s="693">
        <f>G11-F11</f>
        <v>46193</v>
      </c>
    </row>
    <row r="12" spans="1:8" s="466" customFormat="1" ht="12.75">
      <c r="A12" s="236" t="s">
        <v>764</v>
      </c>
      <c r="B12" s="237">
        <f>B13+B22</f>
        <v>47461838</v>
      </c>
      <c r="C12" s="237">
        <f>C13+C22</f>
        <v>93007702</v>
      </c>
      <c r="D12" s="237">
        <f aca="true" t="shared" si="0" ref="D12:D41">C12-B12</f>
        <v>45545864</v>
      </c>
      <c r="E12" s="236" t="s">
        <v>764</v>
      </c>
      <c r="F12" s="237">
        <f>F13+F22</f>
        <v>47462</v>
      </c>
      <c r="G12" s="237">
        <f>G13+G22</f>
        <v>93008</v>
      </c>
      <c r="H12" s="237">
        <f aca="true" t="shared" si="1" ref="H12:H41">G12-F12</f>
        <v>45546</v>
      </c>
    </row>
    <row r="13" spans="1:8" s="666" customFormat="1" ht="12">
      <c r="A13" s="74" t="s">
        <v>765</v>
      </c>
      <c r="B13" s="179">
        <f>SUM(B14:B21)</f>
        <v>25367091</v>
      </c>
      <c r="C13" s="179">
        <f>SUM(C14:C21)</f>
        <v>23729174</v>
      </c>
      <c r="D13" s="179">
        <f t="shared" si="0"/>
        <v>-1637917</v>
      </c>
      <c r="E13" s="74" t="s">
        <v>765</v>
      </c>
      <c r="F13" s="179">
        <f>SUM(F14:F21)</f>
        <v>25367</v>
      </c>
      <c r="G13" s="179">
        <f>SUM(G14:G21)</f>
        <v>23730</v>
      </c>
      <c r="H13" s="179">
        <f t="shared" si="1"/>
        <v>-1637</v>
      </c>
    </row>
    <row r="14" spans="1:8" s="38" customFormat="1" ht="11.25">
      <c r="A14" s="65" t="s">
        <v>820</v>
      </c>
      <c r="B14" s="575">
        <v>24184285</v>
      </c>
      <c r="C14" s="575">
        <f>5403012+1007279+7939163+4901878+857831+363636</f>
        <v>20472799</v>
      </c>
      <c r="D14" s="575">
        <f t="shared" si="0"/>
        <v>-3711486</v>
      </c>
      <c r="E14" s="65" t="s">
        <v>820</v>
      </c>
      <c r="F14" s="575">
        <f>ROUND(B14/1000,0)</f>
        <v>24184</v>
      </c>
      <c r="G14" s="575">
        <f>ROUND(C14/1000,0)</f>
        <v>20473</v>
      </c>
      <c r="H14" s="575">
        <f t="shared" si="1"/>
        <v>-3711</v>
      </c>
    </row>
    <row r="15" spans="1:8" s="38" customFormat="1" ht="11.25">
      <c r="A15" s="65" t="s">
        <v>766</v>
      </c>
      <c r="B15" s="575">
        <f>1683+47151</f>
        <v>48834</v>
      </c>
      <c r="C15" s="575">
        <v>47059</v>
      </c>
      <c r="D15" s="575">
        <f t="shared" si="0"/>
        <v>-1775</v>
      </c>
      <c r="E15" s="65" t="s">
        <v>766</v>
      </c>
      <c r="F15" s="575">
        <f aca="true" t="shared" si="2" ref="F15:G30">ROUND(B15/1000,0)</f>
        <v>49</v>
      </c>
      <c r="G15" s="575">
        <f t="shared" si="2"/>
        <v>47</v>
      </c>
      <c r="H15" s="575">
        <f t="shared" si="1"/>
        <v>-2</v>
      </c>
    </row>
    <row r="16" spans="1:8" s="38" customFormat="1" ht="11.25">
      <c r="A16" s="65" t="s">
        <v>767</v>
      </c>
      <c r="B16" s="575">
        <f>1051331+27952</f>
        <v>1079283</v>
      </c>
      <c r="C16" s="575">
        <f>3170104+17041</f>
        <v>3187145</v>
      </c>
      <c r="D16" s="575">
        <f t="shared" si="0"/>
        <v>2107862</v>
      </c>
      <c r="E16" s="65" t="s">
        <v>767</v>
      </c>
      <c r="F16" s="575">
        <f t="shared" si="2"/>
        <v>1079</v>
      </c>
      <c r="G16" s="575">
        <f t="shared" si="2"/>
        <v>3187</v>
      </c>
      <c r="H16" s="575">
        <f t="shared" si="1"/>
        <v>2108</v>
      </c>
    </row>
    <row r="17" spans="1:8" s="38" customFormat="1" ht="11.25">
      <c r="A17" s="65" t="s">
        <v>768</v>
      </c>
      <c r="B17" s="575">
        <v>11043</v>
      </c>
      <c r="C17" s="575">
        <v>17515</v>
      </c>
      <c r="D17" s="575">
        <f t="shared" si="0"/>
        <v>6472</v>
      </c>
      <c r="E17" s="65" t="s">
        <v>768</v>
      </c>
      <c r="F17" s="575">
        <f t="shared" si="2"/>
        <v>11</v>
      </c>
      <c r="G17" s="575">
        <f>ROUND(C17/1000,0)</f>
        <v>18</v>
      </c>
      <c r="H17" s="575">
        <f t="shared" si="1"/>
        <v>7</v>
      </c>
    </row>
    <row r="18" spans="1:8" s="38" customFormat="1" ht="11.25">
      <c r="A18" s="65" t="s">
        <v>769</v>
      </c>
      <c r="B18" s="575">
        <v>1284</v>
      </c>
      <c r="C18" s="575">
        <v>1825</v>
      </c>
      <c r="D18" s="575">
        <f t="shared" si="0"/>
        <v>541</v>
      </c>
      <c r="E18" s="65" t="s">
        <v>770</v>
      </c>
      <c r="F18" s="575">
        <f t="shared" si="2"/>
        <v>1</v>
      </c>
      <c r="G18" s="575">
        <f t="shared" si="2"/>
        <v>2</v>
      </c>
      <c r="H18" s="575">
        <f t="shared" si="1"/>
        <v>1</v>
      </c>
    </row>
    <row r="19" spans="1:8" s="38" customFormat="1" ht="11.25">
      <c r="A19" s="65" t="s">
        <v>771</v>
      </c>
      <c r="B19" s="575"/>
      <c r="C19" s="575"/>
      <c r="D19" s="575">
        <f t="shared" si="0"/>
        <v>0</v>
      </c>
      <c r="E19" s="65" t="s">
        <v>771</v>
      </c>
      <c r="F19" s="575">
        <f t="shared" si="2"/>
        <v>0</v>
      </c>
      <c r="G19" s="575">
        <f t="shared" si="2"/>
        <v>0</v>
      </c>
      <c r="H19" s="575">
        <f t="shared" si="1"/>
        <v>0</v>
      </c>
    </row>
    <row r="20" spans="1:8" s="38" customFormat="1" ht="11.25">
      <c r="A20" s="65" t="s">
        <v>772</v>
      </c>
      <c r="B20" s="575">
        <v>42362</v>
      </c>
      <c r="C20" s="575">
        <v>2831</v>
      </c>
      <c r="D20" s="575">
        <f t="shared" si="0"/>
        <v>-39531</v>
      </c>
      <c r="E20" s="65" t="s">
        <v>772</v>
      </c>
      <c r="F20" s="575">
        <f>ROUND(B20/1000,0)+1</f>
        <v>43</v>
      </c>
      <c r="G20" s="575">
        <f t="shared" si="2"/>
        <v>3</v>
      </c>
      <c r="H20" s="575">
        <f t="shared" si="1"/>
        <v>-40</v>
      </c>
    </row>
    <row r="21" spans="1:8" s="38" customFormat="1" ht="11.25">
      <c r="A21" s="65" t="s">
        <v>773</v>
      </c>
      <c r="B21" s="575"/>
      <c r="C21" s="575"/>
      <c r="D21" s="575">
        <f t="shared" si="0"/>
        <v>0</v>
      </c>
      <c r="E21" s="65" t="s">
        <v>773</v>
      </c>
      <c r="F21" s="575">
        <f t="shared" si="2"/>
        <v>0</v>
      </c>
      <c r="G21" s="575">
        <f t="shared" si="2"/>
        <v>0</v>
      </c>
      <c r="H21" s="575">
        <f t="shared" si="1"/>
        <v>0</v>
      </c>
    </row>
    <row r="22" spans="1:8" s="666" customFormat="1" ht="12">
      <c r="A22" s="74" t="s">
        <v>774</v>
      </c>
      <c r="B22" s="179">
        <f>SUM(B23:B34)</f>
        <v>22094747</v>
      </c>
      <c r="C22" s="179">
        <f>SUM(C23:C34)</f>
        <v>69278528</v>
      </c>
      <c r="D22" s="179">
        <f t="shared" si="0"/>
        <v>47183781</v>
      </c>
      <c r="E22" s="74" t="s">
        <v>774</v>
      </c>
      <c r="F22" s="179">
        <f>SUM(F23:F34)</f>
        <v>22095</v>
      </c>
      <c r="G22" s="179">
        <f>SUM(G23:G34)</f>
        <v>69278</v>
      </c>
      <c r="H22" s="179">
        <f t="shared" si="1"/>
        <v>47183</v>
      </c>
    </row>
    <row r="23" spans="1:8" s="38" customFormat="1" ht="11.25">
      <c r="A23" s="65" t="s">
        <v>820</v>
      </c>
      <c r="B23" s="575">
        <v>22085409</v>
      </c>
      <c r="C23" s="575">
        <f>39700000+1557396+2921000</f>
        <v>44178396</v>
      </c>
      <c r="D23" s="575">
        <f t="shared" si="0"/>
        <v>22092987</v>
      </c>
      <c r="E23" s="65" t="s">
        <v>820</v>
      </c>
      <c r="F23" s="575">
        <f>ROUND(B23/1000,0)+1</f>
        <v>22086</v>
      </c>
      <c r="G23" s="575">
        <f>ROUND(C23/1000,0)</f>
        <v>44178</v>
      </c>
      <c r="H23" s="575">
        <f t="shared" si="1"/>
        <v>22092</v>
      </c>
    </row>
    <row r="24" spans="1:8" s="38" customFormat="1" ht="11.25">
      <c r="A24" s="65" t="s">
        <v>766</v>
      </c>
      <c r="B24" s="575"/>
      <c r="C24" s="575">
        <v>2500000</v>
      </c>
      <c r="D24" s="575">
        <f t="shared" si="0"/>
        <v>2500000</v>
      </c>
      <c r="E24" s="65" t="s">
        <v>766</v>
      </c>
      <c r="F24" s="575">
        <f t="shared" si="2"/>
        <v>0</v>
      </c>
      <c r="G24" s="575">
        <f t="shared" si="2"/>
        <v>2500</v>
      </c>
      <c r="H24" s="575">
        <f t="shared" si="1"/>
        <v>2500</v>
      </c>
    </row>
    <row r="25" spans="1:8" s="38" customFormat="1" ht="11.25">
      <c r="A25" s="65" t="s">
        <v>767</v>
      </c>
      <c r="B25" s="575"/>
      <c r="C25" s="575">
        <v>6300000</v>
      </c>
      <c r="D25" s="575">
        <f t="shared" si="0"/>
        <v>6300000</v>
      </c>
      <c r="E25" s="65" t="s">
        <v>767</v>
      </c>
      <c r="F25" s="575">
        <f t="shared" si="2"/>
        <v>0</v>
      </c>
      <c r="G25" s="575">
        <f t="shared" si="2"/>
        <v>6300</v>
      </c>
      <c r="H25" s="575">
        <f t="shared" si="1"/>
        <v>6300</v>
      </c>
    </row>
    <row r="26" spans="1:8" s="38" customFormat="1" ht="11.25">
      <c r="A26" s="65" t="s">
        <v>775</v>
      </c>
      <c r="B26" s="575"/>
      <c r="C26" s="575">
        <v>4800132</v>
      </c>
      <c r="D26" s="575">
        <f t="shared" si="0"/>
        <v>4800132</v>
      </c>
      <c r="E26" s="65" t="s">
        <v>775</v>
      </c>
      <c r="F26" s="575">
        <f t="shared" si="2"/>
        <v>0</v>
      </c>
      <c r="G26" s="575">
        <f t="shared" si="2"/>
        <v>4800</v>
      </c>
      <c r="H26" s="575">
        <f t="shared" si="1"/>
        <v>4800</v>
      </c>
    </row>
    <row r="27" spans="1:8" s="38" customFormat="1" ht="11.25">
      <c r="A27" s="65" t="s">
        <v>768</v>
      </c>
      <c r="B27" s="575"/>
      <c r="C27" s="575">
        <v>3700000</v>
      </c>
      <c r="D27" s="575">
        <f t="shared" si="0"/>
        <v>3700000</v>
      </c>
      <c r="E27" s="65" t="s">
        <v>768</v>
      </c>
      <c r="F27" s="575">
        <f t="shared" si="2"/>
        <v>0</v>
      </c>
      <c r="G27" s="575">
        <f t="shared" si="2"/>
        <v>3700</v>
      </c>
      <c r="H27" s="575">
        <f t="shared" si="1"/>
        <v>3700</v>
      </c>
    </row>
    <row r="28" spans="1:8" s="38" customFormat="1" ht="11.25">
      <c r="A28" s="65" t="s">
        <v>776</v>
      </c>
      <c r="B28" s="575"/>
      <c r="C28" s="575">
        <v>1500000</v>
      </c>
      <c r="D28" s="575">
        <f t="shared" si="0"/>
        <v>1500000</v>
      </c>
      <c r="E28" s="65" t="s">
        <v>776</v>
      </c>
      <c r="F28" s="575">
        <f t="shared" si="2"/>
        <v>0</v>
      </c>
      <c r="G28" s="575">
        <f t="shared" si="2"/>
        <v>1500</v>
      </c>
      <c r="H28" s="575">
        <f t="shared" si="1"/>
        <v>1500</v>
      </c>
    </row>
    <row r="29" spans="1:8" s="38" customFormat="1" ht="11.25">
      <c r="A29" s="65" t="s">
        <v>771</v>
      </c>
      <c r="B29" s="575">
        <v>9338</v>
      </c>
      <c r="C29" s="575">
        <v>2000000</v>
      </c>
      <c r="D29" s="575">
        <f t="shared" si="0"/>
        <v>1990662</v>
      </c>
      <c r="E29" s="65" t="s">
        <v>771</v>
      </c>
      <c r="F29" s="575">
        <f t="shared" si="2"/>
        <v>9</v>
      </c>
      <c r="G29" s="575">
        <f t="shared" si="2"/>
        <v>2000</v>
      </c>
      <c r="H29" s="575">
        <f t="shared" si="1"/>
        <v>1991</v>
      </c>
    </row>
    <row r="30" spans="1:8" s="38" customFormat="1" ht="11.25">
      <c r="A30" s="65" t="s">
        <v>772</v>
      </c>
      <c r="B30" s="575"/>
      <c r="C30" s="575"/>
      <c r="D30" s="575">
        <f t="shared" si="0"/>
        <v>0</v>
      </c>
      <c r="E30" s="65" t="s">
        <v>772</v>
      </c>
      <c r="F30" s="575">
        <f t="shared" si="2"/>
        <v>0</v>
      </c>
      <c r="G30" s="575">
        <f t="shared" si="2"/>
        <v>0</v>
      </c>
      <c r="H30" s="575">
        <f t="shared" si="1"/>
        <v>0</v>
      </c>
    </row>
    <row r="31" spans="1:8" s="38" customFormat="1" ht="11.25">
      <c r="A31" s="65" t="s">
        <v>769</v>
      </c>
      <c r="B31" s="575"/>
      <c r="C31" s="575">
        <v>500000</v>
      </c>
      <c r="D31" s="575">
        <f t="shared" si="0"/>
        <v>500000</v>
      </c>
      <c r="E31" s="65" t="s">
        <v>770</v>
      </c>
      <c r="F31" s="575">
        <f aca="true" t="shared" si="3" ref="F31:G34">ROUND(B31/1000,0)</f>
        <v>0</v>
      </c>
      <c r="G31" s="575">
        <f t="shared" si="3"/>
        <v>500</v>
      </c>
      <c r="H31" s="575">
        <f t="shared" si="1"/>
        <v>500</v>
      </c>
    </row>
    <row r="32" spans="1:8" s="38" customFormat="1" ht="11.25">
      <c r="A32" s="65" t="s">
        <v>777</v>
      </c>
      <c r="B32" s="575"/>
      <c r="C32" s="575">
        <v>800000</v>
      </c>
      <c r="D32" s="575">
        <f t="shared" si="0"/>
        <v>800000</v>
      </c>
      <c r="E32" s="65" t="s">
        <v>777</v>
      </c>
      <c r="F32" s="575">
        <f t="shared" si="3"/>
        <v>0</v>
      </c>
      <c r="G32" s="575">
        <f t="shared" si="3"/>
        <v>800</v>
      </c>
      <c r="H32" s="575">
        <f t="shared" si="1"/>
        <v>800</v>
      </c>
    </row>
    <row r="33" spans="1:8" s="38" customFormat="1" ht="11.25">
      <c r="A33" s="65" t="s">
        <v>778</v>
      </c>
      <c r="B33" s="575"/>
      <c r="C33" s="575">
        <v>3000000</v>
      </c>
      <c r="D33" s="575">
        <f t="shared" si="0"/>
        <v>3000000</v>
      </c>
      <c r="E33" s="65" t="s">
        <v>778</v>
      </c>
      <c r="F33" s="575">
        <f t="shared" si="3"/>
        <v>0</v>
      </c>
      <c r="G33" s="575">
        <f t="shared" si="3"/>
        <v>3000</v>
      </c>
      <c r="H33" s="575">
        <f t="shared" si="1"/>
        <v>3000</v>
      </c>
    </row>
    <row r="34" spans="1:8" s="38" customFormat="1" ht="11.25">
      <c r="A34" s="65" t="s">
        <v>773</v>
      </c>
      <c r="B34" s="575"/>
      <c r="C34" s="575"/>
      <c r="D34" s="575">
        <f t="shared" si="0"/>
        <v>0</v>
      </c>
      <c r="E34" s="65" t="s">
        <v>773</v>
      </c>
      <c r="F34" s="575">
        <f t="shared" si="3"/>
        <v>0</v>
      </c>
      <c r="G34" s="575">
        <f t="shared" si="3"/>
        <v>0</v>
      </c>
      <c r="H34" s="575">
        <f t="shared" si="1"/>
        <v>0</v>
      </c>
    </row>
    <row r="35" spans="1:8" s="466" customFormat="1" ht="12.75">
      <c r="A35" s="236" t="s">
        <v>779</v>
      </c>
      <c r="B35" s="237">
        <f>B36</f>
        <v>1569805</v>
      </c>
      <c r="C35" s="237">
        <f>C36</f>
        <v>2217553</v>
      </c>
      <c r="D35" s="237">
        <f t="shared" si="0"/>
        <v>647748</v>
      </c>
      <c r="E35" s="236" t="s">
        <v>779</v>
      </c>
      <c r="F35" s="237">
        <f>F36</f>
        <v>1570</v>
      </c>
      <c r="G35" s="237">
        <f>G36</f>
        <v>2217</v>
      </c>
      <c r="H35" s="237">
        <f t="shared" si="1"/>
        <v>647</v>
      </c>
    </row>
    <row r="36" spans="1:8" s="666" customFormat="1" ht="12">
      <c r="A36" s="74" t="s">
        <v>780</v>
      </c>
      <c r="B36" s="179">
        <f>SUM(B37:B41)</f>
        <v>1569805</v>
      </c>
      <c r="C36" s="179">
        <f>SUM(C37:C41)</f>
        <v>2217553</v>
      </c>
      <c r="D36" s="179">
        <f t="shared" si="0"/>
        <v>647748</v>
      </c>
      <c r="E36" s="74" t="s">
        <v>780</v>
      </c>
      <c r="F36" s="179">
        <f>SUM(F37:F41)</f>
        <v>1570</v>
      </c>
      <c r="G36" s="179">
        <f>SUM(G37:G41)</f>
        <v>2217</v>
      </c>
      <c r="H36" s="179">
        <f t="shared" si="1"/>
        <v>647</v>
      </c>
    </row>
    <row r="37" spans="1:8" s="38" customFormat="1" ht="11.25">
      <c r="A37" s="65" t="s">
        <v>781</v>
      </c>
      <c r="B37" s="575">
        <v>158837</v>
      </c>
      <c r="C37" s="575">
        <v>134710</v>
      </c>
      <c r="D37" s="575">
        <f t="shared" si="0"/>
        <v>-24127</v>
      </c>
      <c r="E37" s="65" t="s">
        <v>781</v>
      </c>
      <c r="F37" s="575">
        <f aca="true" t="shared" si="4" ref="F37:G41">ROUND(B37/1000,0)</f>
        <v>159</v>
      </c>
      <c r="G37" s="575">
        <f>ROUND(C37/1000,0)</f>
        <v>135</v>
      </c>
      <c r="H37" s="575">
        <f t="shared" si="1"/>
        <v>-24</v>
      </c>
    </row>
    <row r="38" spans="1:8" s="38" customFormat="1" ht="11.25">
      <c r="A38" s="65" t="s">
        <v>782</v>
      </c>
      <c r="B38" s="575">
        <v>760900</v>
      </c>
      <c r="C38" s="575">
        <v>636683</v>
      </c>
      <c r="D38" s="575">
        <f t="shared" si="0"/>
        <v>-124217</v>
      </c>
      <c r="E38" s="65" t="s">
        <v>782</v>
      </c>
      <c r="F38" s="575">
        <f t="shared" si="4"/>
        <v>761</v>
      </c>
      <c r="G38" s="575">
        <f>ROUND(C38/1000,0)-1</f>
        <v>636</v>
      </c>
      <c r="H38" s="575">
        <f t="shared" si="1"/>
        <v>-125</v>
      </c>
    </row>
    <row r="39" spans="1:8" s="38" customFormat="1" ht="11.25">
      <c r="A39" s="65" t="s">
        <v>783</v>
      </c>
      <c r="B39" s="575">
        <v>120897</v>
      </c>
      <c r="C39" s="575">
        <v>153065</v>
      </c>
      <c r="D39" s="575">
        <f t="shared" si="0"/>
        <v>32168</v>
      </c>
      <c r="E39" s="65" t="s">
        <v>783</v>
      </c>
      <c r="F39" s="575">
        <f t="shared" si="4"/>
        <v>121</v>
      </c>
      <c r="G39" s="575">
        <f>ROUND(C39/1000,0)</f>
        <v>153</v>
      </c>
      <c r="H39" s="575">
        <f t="shared" si="1"/>
        <v>32</v>
      </c>
    </row>
    <row r="40" spans="1:8" s="38" customFormat="1" ht="11.25">
      <c r="A40" s="65" t="s">
        <v>784</v>
      </c>
      <c r="B40" s="575">
        <v>37031</v>
      </c>
      <c r="C40" s="575"/>
      <c r="D40" s="575">
        <f t="shared" si="0"/>
        <v>-37031</v>
      </c>
      <c r="E40" s="65" t="s">
        <v>784</v>
      </c>
      <c r="F40" s="575">
        <f>ROUND(B40/1000,0)</f>
        <v>37</v>
      </c>
      <c r="G40" s="575">
        <f t="shared" si="4"/>
        <v>0</v>
      </c>
      <c r="H40" s="575">
        <f t="shared" si="1"/>
        <v>-37</v>
      </c>
    </row>
    <row r="41" spans="1:8" s="38" customFormat="1" ht="11.25">
      <c r="A41" s="65" t="s">
        <v>785</v>
      </c>
      <c r="B41" s="575">
        <v>492140</v>
      </c>
      <c r="C41" s="575">
        <v>1293095</v>
      </c>
      <c r="D41" s="575">
        <f t="shared" si="0"/>
        <v>800955</v>
      </c>
      <c r="E41" s="65" t="s">
        <v>785</v>
      </c>
      <c r="F41" s="575">
        <f t="shared" si="4"/>
        <v>492</v>
      </c>
      <c r="G41" s="575">
        <f t="shared" si="4"/>
        <v>1293</v>
      </c>
      <c r="H41" s="575">
        <f t="shared" si="1"/>
        <v>801</v>
      </c>
    </row>
    <row r="42" ht="12.75">
      <c r="E42" s="38"/>
    </row>
    <row r="44" spans="1:8" s="49" customFormat="1" ht="12.75">
      <c r="A44" s="49" t="s">
        <v>786</v>
      </c>
      <c r="B44" s="659"/>
      <c r="C44" s="659"/>
      <c r="D44" s="365" t="s">
        <v>36</v>
      </c>
      <c r="F44" s="83"/>
      <c r="G44" s="83"/>
      <c r="H44" s="365"/>
    </row>
    <row r="46" spans="5:8" ht="12.75">
      <c r="E46" s="49" t="s">
        <v>900</v>
      </c>
      <c r="G46" s="931" t="s">
        <v>951</v>
      </c>
      <c r="H46" s="931"/>
    </row>
    <row r="52" ht="12.75">
      <c r="E52" s="38" t="s">
        <v>0</v>
      </c>
    </row>
    <row r="53" ht="12.75">
      <c r="E53" s="38" t="s">
        <v>911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 horizontalCentered="1"/>
  <pageMargins left="0.9448818897637796" right="0.5511811023622047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I1">
      <selection activeCell="A59" sqref="A59"/>
    </sheetView>
  </sheetViews>
  <sheetFormatPr defaultColWidth="9.140625" defaultRowHeight="17.25" customHeight="1"/>
  <cols>
    <col min="1" max="1" width="37.7109375" style="140" hidden="1" customWidth="1"/>
    <col min="2" max="2" width="12.140625" style="140" hidden="1" customWidth="1"/>
    <col min="3" max="3" width="12.421875" style="140" hidden="1" customWidth="1"/>
    <col min="4" max="4" width="11.140625" style="140" hidden="1" customWidth="1"/>
    <col min="5" max="5" width="7.8515625" style="140" hidden="1" customWidth="1"/>
    <col min="6" max="6" width="12.7109375" style="140" hidden="1" customWidth="1"/>
    <col min="7" max="7" width="10.421875" style="140" hidden="1" customWidth="1"/>
    <col min="8" max="8" width="6.57421875" style="140" hidden="1" customWidth="1"/>
    <col min="9" max="9" width="35.00390625" style="140" customWidth="1"/>
    <col min="10" max="10" width="11.8515625" style="140" customWidth="1"/>
    <col min="11" max="11" width="12.57421875" style="140" customWidth="1"/>
    <col min="12" max="12" width="8.421875" style="140" customWidth="1"/>
    <col min="13" max="13" width="7.7109375" style="140" customWidth="1"/>
    <col min="14" max="14" width="10.28125" style="140" customWidth="1"/>
    <col min="15" max="15" width="10.57421875" style="140" customWidth="1"/>
    <col min="16" max="16" width="7.421875" style="140" customWidth="1"/>
    <col min="17" max="19" width="11.421875" style="140" hidden="1" customWidth="1"/>
    <col min="20" max="16384" width="11.421875" style="140" customWidth="1"/>
  </cols>
  <sheetData>
    <row r="1" spans="2:15" ht="17.25" customHeight="1">
      <c r="B1" s="141"/>
      <c r="C1" s="141"/>
      <c r="D1" s="141"/>
      <c r="E1" s="141"/>
      <c r="F1" s="141"/>
      <c r="G1" s="140" t="s">
        <v>38</v>
      </c>
      <c r="J1" s="141"/>
      <c r="K1" s="141"/>
      <c r="L1" s="141"/>
      <c r="M1" s="141"/>
      <c r="N1" s="141"/>
      <c r="O1" s="140" t="s">
        <v>38</v>
      </c>
    </row>
    <row r="2" spans="1:14" ht="17.25" customHeight="1">
      <c r="A2" s="141" t="s">
        <v>39</v>
      </c>
      <c r="B2" s="141"/>
      <c r="C2" s="141"/>
      <c r="D2" s="141"/>
      <c r="E2" s="141"/>
      <c r="F2" s="141"/>
      <c r="I2" s="141" t="s">
        <v>39</v>
      </c>
      <c r="J2" s="141"/>
      <c r="K2" s="141"/>
      <c r="L2" s="141"/>
      <c r="M2" s="141"/>
      <c r="N2" s="141"/>
    </row>
    <row r="3" spans="1:15" ht="17.25" customHeight="1">
      <c r="A3" s="142" t="s">
        <v>40</v>
      </c>
      <c r="B3" s="141"/>
      <c r="C3" s="141"/>
      <c r="D3" s="141"/>
      <c r="E3" s="141"/>
      <c r="F3" s="141"/>
      <c r="I3" s="858" t="s">
        <v>40</v>
      </c>
      <c r="J3" s="858"/>
      <c r="K3" s="858"/>
      <c r="L3" s="858"/>
      <c r="M3" s="858"/>
      <c r="N3" s="858"/>
      <c r="O3" s="858"/>
    </row>
    <row r="4" spans="1:14" ht="17.25" customHeight="1">
      <c r="A4" s="859" t="s">
        <v>864</v>
      </c>
      <c r="B4" s="859"/>
      <c r="C4" s="859"/>
      <c r="D4" s="859"/>
      <c r="E4" s="859"/>
      <c r="F4" s="859"/>
      <c r="I4" s="859" t="s">
        <v>865</v>
      </c>
      <c r="J4" s="859"/>
      <c r="K4" s="859"/>
      <c r="L4" s="859"/>
      <c r="M4" s="859"/>
      <c r="N4" s="859"/>
    </row>
    <row r="5" spans="1:14" ht="17.25" customHeight="1">
      <c r="A5" s="857" t="s">
        <v>41</v>
      </c>
      <c r="B5" s="857"/>
      <c r="C5" s="857"/>
      <c r="D5" s="857"/>
      <c r="E5" s="857"/>
      <c r="F5" s="857"/>
      <c r="I5" s="857" t="s">
        <v>41</v>
      </c>
      <c r="J5" s="857"/>
      <c r="K5" s="857"/>
      <c r="L5" s="857"/>
      <c r="M5" s="857"/>
      <c r="N5" s="857"/>
    </row>
    <row r="6" spans="1:14" ht="17.25" customHeight="1" hidden="1">
      <c r="A6" s="143"/>
      <c r="B6" s="143"/>
      <c r="C6" s="143"/>
      <c r="D6" s="143"/>
      <c r="E6" s="143"/>
      <c r="F6" s="143"/>
      <c r="I6" s="143"/>
      <c r="J6" s="143"/>
      <c r="K6" s="143"/>
      <c r="L6" s="143"/>
      <c r="M6" s="143"/>
      <c r="N6" s="143"/>
    </row>
    <row r="7" spans="1:15" ht="15.75" customHeight="1">
      <c r="A7" s="857"/>
      <c r="B7" s="857"/>
      <c r="C7" s="857"/>
      <c r="D7" s="857"/>
      <c r="E7" s="857"/>
      <c r="F7" s="857"/>
      <c r="G7" s="140" t="s">
        <v>957</v>
      </c>
      <c r="I7" s="857"/>
      <c r="J7" s="857"/>
      <c r="K7" s="857"/>
      <c r="L7" s="857"/>
      <c r="M7" s="857"/>
      <c r="N7" s="857"/>
      <c r="O7" s="140" t="s">
        <v>957</v>
      </c>
    </row>
    <row r="8" spans="1:15" ht="85.5" customHeight="1">
      <c r="A8" s="144" t="s">
        <v>791</v>
      </c>
      <c r="B8" s="144" t="s">
        <v>958</v>
      </c>
      <c r="C8" s="144" t="s">
        <v>42</v>
      </c>
      <c r="D8" s="144" t="s">
        <v>959</v>
      </c>
      <c r="E8" s="144" t="s">
        <v>43</v>
      </c>
      <c r="F8" s="144" t="s">
        <v>44</v>
      </c>
      <c r="G8" s="144" t="s">
        <v>1022</v>
      </c>
      <c r="I8" s="144" t="s">
        <v>791</v>
      </c>
      <c r="J8" s="144" t="s">
        <v>958</v>
      </c>
      <c r="K8" s="144" t="s">
        <v>42</v>
      </c>
      <c r="L8" s="144" t="s">
        <v>959</v>
      </c>
      <c r="M8" s="144" t="s">
        <v>43</v>
      </c>
      <c r="N8" s="144" t="s">
        <v>44</v>
      </c>
      <c r="O8" s="144" t="s">
        <v>850</v>
      </c>
    </row>
    <row r="9" spans="1:15" ht="12">
      <c r="A9" s="144">
        <v>1</v>
      </c>
      <c r="B9" s="144">
        <v>2</v>
      </c>
      <c r="C9" s="144">
        <v>3</v>
      </c>
      <c r="D9" s="144">
        <v>4</v>
      </c>
      <c r="E9" s="144">
        <v>5</v>
      </c>
      <c r="F9" s="144">
        <v>6</v>
      </c>
      <c r="G9" s="145">
        <v>7</v>
      </c>
      <c r="I9" s="144">
        <v>1</v>
      </c>
      <c r="J9" s="144">
        <v>2</v>
      </c>
      <c r="K9" s="144">
        <v>3</v>
      </c>
      <c r="L9" s="144">
        <v>4</v>
      </c>
      <c r="M9" s="144">
        <v>5</v>
      </c>
      <c r="N9" s="144">
        <v>6</v>
      </c>
      <c r="O9" s="145">
        <v>7</v>
      </c>
    </row>
    <row r="10" spans="1:19" ht="17.25" customHeight="1">
      <c r="A10" s="146" t="s">
        <v>45</v>
      </c>
      <c r="B10" s="147">
        <v>795345958</v>
      </c>
      <c r="C10" s="148"/>
      <c r="D10" s="147">
        <v>433250507</v>
      </c>
      <c r="E10" s="149">
        <f aca="true" t="shared" si="0" ref="E10:E19">IF(ISERROR(D10/B10)," ",(D10/B10))*100</f>
        <v>54.473214158209124</v>
      </c>
      <c r="F10" s="150"/>
      <c r="G10" s="151">
        <v>65721467</v>
      </c>
      <c r="I10" s="146" t="s">
        <v>45</v>
      </c>
      <c r="J10" s="147">
        <v>795346</v>
      </c>
      <c r="K10" s="152" t="s">
        <v>797</v>
      </c>
      <c r="L10" s="147">
        <v>433250</v>
      </c>
      <c r="M10" s="156">
        <f aca="true" t="shared" si="1" ref="M10:M20">L10/J10*100</f>
        <v>54.47314753578946</v>
      </c>
      <c r="N10" s="153" t="s">
        <v>797</v>
      </c>
      <c r="O10" s="147">
        <v>65721</v>
      </c>
      <c r="Q10" s="147">
        <v>433251</v>
      </c>
      <c r="R10" s="147">
        <v>367529</v>
      </c>
      <c r="S10" s="140">
        <f aca="true" t="shared" si="2" ref="S10:S73">Q10-R10</f>
        <v>65722</v>
      </c>
    </row>
    <row r="11" spans="1:19" ht="12.75" customHeight="1">
      <c r="A11" s="154" t="s">
        <v>46</v>
      </c>
      <c r="B11" s="703">
        <f>B22+B28+B35+B43+B50+B57+B66+B77+B85+B94+B102+B110+B119+B127+B135+B143+B150+B158+B164+B171+B178+B184+B189+B195+B202+B207+B215+B223+B230+B236</f>
        <v>831560440</v>
      </c>
      <c r="C11" s="703">
        <f>C22+C28+C35+C43+C50+C57+C66+C77+C85+C94+C102+C110+C119+C127+C135+C143+C150+C158+C164+C171+C178+C184+C189+C195+C202+C207+C215+C223+C230+C236</f>
        <v>484281987</v>
      </c>
      <c r="D11" s="703">
        <f>D22+D28+D35+D43+D50+D57+D66+D77+D85+D94+D102+D110+D119+D127+D135+D143+D150+D158+D164+D171+D178+D184+D189+D195+D202+D207+D215+D223+D230+D236</f>
        <v>468763260.46</v>
      </c>
      <c r="E11" s="149">
        <f t="shared" si="0"/>
        <v>56.371520085779935</v>
      </c>
      <c r="F11" s="149">
        <f aca="true" t="shared" si="3" ref="F11:F18">IF(ISERROR(D11/C11)," ",(D11/C11))*100</f>
        <v>96.79551852916634</v>
      </c>
      <c r="G11" s="703">
        <f>G22+G28+G35+G43+G50+G57+G66+G77+G85+G94+G102+G110+G119+G127+G135+G143+G150+G158+G164+G171+G178+G184+G189+G195+G202+G207+G215+G223+G230+G236</f>
        <v>69338696.56</v>
      </c>
      <c r="I11" s="154" t="s">
        <v>46</v>
      </c>
      <c r="J11" s="147">
        <f>J22+J28+J35+J43+J50+J57+J66+J77+J85+J94+J102+J110+J119+J127+J135+J143+J150+J158+J164+J171+J178+J184+J189+J195+J202+J207+J215+J223+J230+J236</f>
        <v>831560</v>
      </c>
      <c r="K11" s="147">
        <f>K22+K28+K35+K43+K50+K57+K66+K77+K85+K94+K102+K110+K119+K127+K135+K143+K150+K158+K164+K171+K178+K184+K189+K195+K202+K207+K215+K223+K230+K236</f>
        <v>484282</v>
      </c>
      <c r="L11" s="147">
        <f>L22+L28+L35+L43+L50+L57+L66+L77+L85+L94+L102+L110+L119+L127+L135+L143+L150+L158+L164+L171+L178+L184+L189+L195+L202+L207+L215+L223+L230+L236</f>
        <v>468763</v>
      </c>
      <c r="M11" s="156">
        <f t="shared" si="1"/>
        <v>56.37151859156284</v>
      </c>
      <c r="N11" s="156">
        <f aca="true" t="shared" si="4" ref="N11:N18">L11/K11*100</f>
        <v>96.79546214808727</v>
      </c>
      <c r="O11" s="147">
        <f>O22+O28+O35+O43+O50+O57+O66+O77+O85+O94+O102+O110+O119+O127+O135+O143+O150+O158+O164+O171+O178+O184+O189+O195+O202+O207+O215+O223+O230+O236</f>
        <v>69346</v>
      </c>
      <c r="Q11" s="147">
        <v>468763</v>
      </c>
      <c r="R11" s="147">
        <v>399417</v>
      </c>
      <c r="S11" s="140">
        <f t="shared" si="2"/>
        <v>69346</v>
      </c>
    </row>
    <row r="12" spans="1:19" ht="12.75" customHeight="1">
      <c r="A12" s="154" t="s">
        <v>47</v>
      </c>
      <c r="B12" s="155">
        <f>B23+B29+B36+B44+B51+B58+B67+B78+B86+B95+B103+B111+B120+B128+B136+B144+B151+B159+B165+B172+B179+B185+B190+B196+B203+B208+B216+B231+B237</f>
        <v>711819838</v>
      </c>
      <c r="C12" s="155">
        <f>C23+C29+C36+C44+C51+C58+C67+C78+C86+C95+C103+C111+C120+C128+C136+C144+C151+C159+C165+C172+C179+C185+C190+C196+C203+C208+C216+C231+C237</f>
        <v>425885568</v>
      </c>
      <c r="D12" s="155">
        <f>D23+D29+D36+D44+D51+D58+D67+D78+D86+D95+D103+D111+D120+D128+D136+D144+D151+D159+D165+D172+D179+D185+D190+D196+D203+D208+D216+D231+D237</f>
        <v>425885568</v>
      </c>
      <c r="E12" s="150">
        <f t="shared" si="0"/>
        <v>59.83052807246993</v>
      </c>
      <c r="F12" s="150">
        <f t="shared" si="3"/>
        <v>100</v>
      </c>
      <c r="G12" s="155">
        <f>G23+G29+G36+G44+G51+G58+G67+G78+G86+G95+G103+G111+G120+G128+G136+G144+G151+G159+G165+G172+G179+G185+G190+G196+G203+G208+G216+G231+G237</f>
        <v>63582450</v>
      </c>
      <c r="I12" s="154" t="s">
        <v>47</v>
      </c>
      <c r="J12" s="157">
        <f>J23+J29+J36+J44+J51+J58+J67+J78+J86+J95+J103+J111+J120+J128+J136+J144+J151+J159+J165+J172+J179+J185+J190+J196+J203+J208+J216+J231+J237</f>
        <v>711820</v>
      </c>
      <c r="K12" s="157">
        <f>K23+K29+K36+K44+K51+K58+K67+K78+K86+K95+K103+K111+K120+K128+K136+K144+K151+K159+K165+K172+K179+K185+K190+K196+K203+K208+K216+K231+K237</f>
        <v>425886</v>
      </c>
      <c r="L12" s="157">
        <f>L23+L29+L36+L44+L51+L58+L67+L78+L86+L95+L103+L111+L120+L128+L136+L144+L151+L159+L165+L172+L179+L185+L190+L196+L203+L208+L216+L231+L237</f>
        <v>425886</v>
      </c>
      <c r="M12" s="158">
        <f t="shared" si="1"/>
        <v>59.83057514540193</v>
      </c>
      <c r="N12" s="158">
        <f t="shared" si="4"/>
        <v>100</v>
      </c>
      <c r="O12" s="157">
        <f>O23+O29+O36+O44+O51+O58+O67+O78+O86+O95+O103+O111+O120+O128+O136+O144+O151+O159+O165+O172+O179+O185+O190+O196+O203+O208+O216+O231+O237</f>
        <v>63583</v>
      </c>
      <c r="Q12" s="157">
        <v>425886</v>
      </c>
      <c r="R12" s="157">
        <v>362303</v>
      </c>
      <c r="S12" s="140">
        <f t="shared" si="2"/>
        <v>63583</v>
      </c>
    </row>
    <row r="13" spans="1:19" ht="12.75" customHeight="1">
      <c r="A13" s="154" t="s">
        <v>48</v>
      </c>
      <c r="B13" s="155">
        <f>B59+B68+B87+B112</f>
        <v>3405024</v>
      </c>
      <c r="C13" s="155">
        <f>C59+C68+C87+C112</f>
        <v>1446993</v>
      </c>
      <c r="D13" s="155">
        <f>D59+D68+D87+D112</f>
        <v>812554.28</v>
      </c>
      <c r="E13" s="150">
        <f t="shared" si="0"/>
        <v>23.86339362072044</v>
      </c>
      <c r="F13" s="150">
        <f t="shared" si="3"/>
        <v>56.15467939374966</v>
      </c>
      <c r="G13" s="155">
        <f>G59+G68+G87+G112</f>
        <v>219301.08999999997</v>
      </c>
      <c r="I13" s="154" t="s">
        <v>48</v>
      </c>
      <c r="J13" s="157">
        <f>J59+J68+J87+J112</f>
        <v>3405</v>
      </c>
      <c r="K13" s="157">
        <f>K59+K68+K87+K112</f>
        <v>1447</v>
      </c>
      <c r="L13" s="157">
        <f>L59+L68+L87+L112</f>
        <v>812</v>
      </c>
      <c r="M13" s="158">
        <f>L13/J13*100+0.01</f>
        <v>23.85728340675477</v>
      </c>
      <c r="N13" s="158">
        <f>L13/K13*100+0.1</f>
        <v>56.216102280580515</v>
      </c>
      <c r="O13" s="157">
        <f>O59+O68+O87+O112</f>
        <v>219</v>
      </c>
      <c r="Q13" s="157">
        <v>812</v>
      </c>
      <c r="R13" s="157">
        <v>593</v>
      </c>
      <c r="S13" s="140">
        <f t="shared" si="2"/>
        <v>219</v>
      </c>
    </row>
    <row r="14" spans="1:19" ht="12.75" customHeight="1">
      <c r="A14" s="154" t="s">
        <v>49</v>
      </c>
      <c r="B14" s="155">
        <f>B30+B37+B45+B52+B60+B69+B79+B88+B96+B104+B113+B121+B129+B137+B145+B152+B166+B173+B197+B224</f>
        <v>65026004</v>
      </c>
      <c r="C14" s="155">
        <f>C30+C37+C45+C52+C60+C69+C79+C88+C96+C104+C113+C121+C129+C137+C145+C152+C166+C173+C197+C224</f>
        <v>35927015</v>
      </c>
      <c r="D14" s="155">
        <f>D30+D37+D45+D52+D60+D69+D79+D88+D96+D104+D113+D121+D129+D137+D145+D152+D166+D173+D191+D197+D224</f>
        <v>33213210.049999993</v>
      </c>
      <c r="E14" s="150">
        <f t="shared" si="0"/>
        <v>51.076812362635714</v>
      </c>
      <c r="F14" s="150">
        <f t="shared" si="3"/>
        <v>92.44633891794237</v>
      </c>
      <c r="G14" s="155">
        <f>G30+G37+G45+G52+G60+G69+G79+G88+G96+G104+G113+G121+G129+G137+G145+G152+G166+G173+G191+G197+G224</f>
        <v>4331320.129999999</v>
      </c>
      <c r="I14" s="154" t="s">
        <v>49</v>
      </c>
      <c r="J14" s="157">
        <f>J30+J37+J45+J52+J60+J69+J79+J88+J96+J104+J113+J121+J129+J137+J145+J152+J166+J173+J197+J217+J224</f>
        <v>65026</v>
      </c>
      <c r="K14" s="157">
        <f>K30+K37+K45+K52+K60+K69+K79+K88+K96+K104+K113+K121+K129+K137+K145+K152+K166+K173+K197+K224</f>
        <v>35927</v>
      </c>
      <c r="L14" s="157">
        <f>L30+L37+L45+L52+L60+L69+L79+L88+L96+L104+L113+L121+L129+L137+L145+L152+L166+L173+L191+L197+L217+L224</f>
        <v>33213</v>
      </c>
      <c r="M14" s="158">
        <f>L14/J14*100+0.01</f>
        <v>51.0864924799311</v>
      </c>
      <c r="N14" s="158">
        <f t="shared" si="4"/>
        <v>92.4457928577393</v>
      </c>
      <c r="O14" s="157">
        <f>O30+O37+O45+O52+O60+O69+O79+O88+O96+O104+O113+O121+O129+O137+O145+O152+O166+O173+O191+O197+O224</f>
        <v>4331</v>
      </c>
      <c r="Q14" s="157">
        <v>33213</v>
      </c>
      <c r="R14" s="157">
        <v>28882</v>
      </c>
      <c r="S14" s="140">
        <f t="shared" si="2"/>
        <v>4331</v>
      </c>
    </row>
    <row r="15" spans="1:19" ht="12.75" customHeight="1">
      <c r="A15" s="154" t="s">
        <v>50</v>
      </c>
      <c r="B15" s="155">
        <f>B38+B61+B70+B80+B89+B97+B105+B114+B122+B130+B138+B153+B210+B218</f>
        <v>51309574</v>
      </c>
      <c r="C15" s="155">
        <f>C38+C61+C70+C80+C89+C97+C105+C114+C122+C130+C138+C153+C210+C218</f>
        <v>21022411</v>
      </c>
      <c r="D15" s="159">
        <f>D38+D61+D70+D80+D89+D97+D105+D114+D122+D130+D138+D153+D210+D218</f>
        <v>8851915.87</v>
      </c>
      <c r="E15" s="150">
        <f t="shared" si="0"/>
        <v>17.25197693124484</v>
      </c>
      <c r="F15" s="150">
        <f t="shared" si="3"/>
        <v>42.107044096892594</v>
      </c>
      <c r="G15" s="155">
        <f>G38+G61+G70+G80+G89+G97+G105+G114+G122+G130+G138+G153+G210+G218</f>
        <v>1213137.2100000002</v>
      </c>
      <c r="I15" s="154" t="s">
        <v>50</v>
      </c>
      <c r="J15" s="157">
        <f>J38+J61+J70+J80+J89+J97+J105+J114+J122+J130+J138+J153+J210+J218</f>
        <v>51309</v>
      </c>
      <c r="K15" s="157">
        <f>K38+K61+K70+K80+K89+K97+K105+K114+K122+K130+K138+K153+K210+K218</f>
        <v>21022</v>
      </c>
      <c r="L15" s="157">
        <f>L38+L61+L70+L80+L89+L97+L105+L114+L122+L130+L138+L153+L210+L218</f>
        <v>8852</v>
      </c>
      <c r="M15" s="158">
        <f t="shared" si="1"/>
        <v>17.252333898536317</v>
      </c>
      <c r="N15" s="158">
        <f t="shared" si="4"/>
        <v>42.108267529255066</v>
      </c>
      <c r="O15" s="157">
        <f>O38+O61+O70+O80+O89+O97+O105+O114+O122+O130+O138+O153+O210+O218</f>
        <v>1213</v>
      </c>
      <c r="Q15" s="157">
        <v>8852</v>
      </c>
      <c r="R15" s="157">
        <v>7639</v>
      </c>
      <c r="S15" s="140">
        <f t="shared" si="2"/>
        <v>1213</v>
      </c>
    </row>
    <row r="16" spans="1:88" s="143" customFormat="1" ht="12.75" customHeight="1">
      <c r="A16" s="160" t="s">
        <v>51</v>
      </c>
      <c r="B16" s="161">
        <f>B24+B31+B39+B46+B53+B62+B71+B81+B90+B98+B106+B115+B123+B131+B139+B146+B154+B161+B167+B174+B180+B186+B192+B198+B204+B211+B219+B225+B232+B238</f>
        <v>832064074</v>
      </c>
      <c r="C16" s="161">
        <f>C24+C31+C39+C46+C53+C62+C71+C81+C90+C98+C106+C115+C123+C131+C139+C146+C154+C161+C167+C174+C180+C186+C192+C198+C204+C211+C219+C225+C232+C238</f>
        <v>484611966</v>
      </c>
      <c r="D16" s="161">
        <f>D24+D31+D39+D46+D53+D62+D71+D81+D90+D98+D106+D115+D123+D131+D139+D146+D154+D161+D167+D174+D180+D186+D192+D198+D204+D211+D219+D225+D232+D238</f>
        <v>450751441.8399998</v>
      </c>
      <c r="E16" s="149">
        <f t="shared" si="0"/>
        <v>54.172684042599315</v>
      </c>
      <c r="F16" s="149">
        <f t="shared" si="3"/>
        <v>93.01285842372282</v>
      </c>
      <c r="G16" s="161">
        <f>G24+G31+G39+G46+G53+G62+G71+G81+G90+G98+G106+G115+G123+G131+G139+G146+G154+G161+G167+G174+G180+G186+G192+G198+G204+G211+G219+G225+G232+G238</f>
        <v>67364164.69000001</v>
      </c>
      <c r="H16" s="140"/>
      <c r="I16" s="160" t="s">
        <v>51</v>
      </c>
      <c r="J16" s="147">
        <f>J17+J18</f>
        <v>832064</v>
      </c>
      <c r="K16" s="147">
        <f>K17+K18</f>
        <v>484612</v>
      </c>
      <c r="L16" s="147">
        <f>L17+L18</f>
        <v>450751</v>
      </c>
      <c r="M16" s="156">
        <f t="shared" si="1"/>
        <v>54.17263575878779</v>
      </c>
      <c r="N16" s="156">
        <f t="shared" si="4"/>
        <v>93.01276072404315</v>
      </c>
      <c r="O16" s="147">
        <f>O24+O31+O39+O46+O53+O62+O71+O81+O90+O98+O106+O115+O123+O131+O139+O146+O154+O161+O167+O174+O180+O186+O192+O198+O204+O211+O219+O225+O232+O238</f>
        <v>67363</v>
      </c>
      <c r="P16" s="140"/>
      <c r="Q16" s="147">
        <v>450751</v>
      </c>
      <c r="R16" s="147">
        <v>383388</v>
      </c>
      <c r="S16" s="140">
        <f t="shared" si="2"/>
        <v>67363</v>
      </c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0"/>
      <c r="CD16" s="140"/>
      <c r="CE16" s="140"/>
      <c r="CF16" s="140"/>
      <c r="CG16" s="140"/>
      <c r="CH16" s="140"/>
      <c r="CI16" s="140"/>
      <c r="CJ16" s="140"/>
    </row>
    <row r="17" spans="1:88" s="704" customFormat="1" ht="12.75" customHeight="1">
      <c r="A17" s="162" t="s">
        <v>52</v>
      </c>
      <c r="B17" s="163">
        <f>B25+B32+B40+B47+B54+B63+B72+B82+B91+B99+B107+B116+B124+B132+B140+B147+B155+B162+B175+B181+B187+B193+B199+B205+B212+B220+B226+B233+B239+B168</f>
        <v>754923325</v>
      </c>
      <c r="C17" s="163">
        <f>C25+C32+C40+C47+C54+C63+C72+C82+C91+C99+C107+C116+C124+C132+C140+C147+C155+C162+C175+C181+C187+C193+C199+C205+C212+C220+C226+C233+C239+C168</f>
        <v>441535359</v>
      </c>
      <c r="D17" s="163">
        <f>D25+D32+D40+D47+D54+D63+D72+D82+D91+D99+D107+D116+D124+D132+D140+D147+D155+D162+D175+D181+D187+D193+D199+D205+D212+D220+D226+D233+D239+D168</f>
        <v>421661579.2099998</v>
      </c>
      <c r="E17" s="150">
        <f t="shared" si="0"/>
        <v>55.854888204706064</v>
      </c>
      <c r="F17" s="150">
        <f t="shared" si="3"/>
        <v>95.49893810656278</v>
      </c>
      <c r="G17" s="163">
        <f>G25+G32+G40+G47+G54+G63+G72+G82+G91+G99+G107+G116+G124+G132+G140+G147+G155+G162+G175+G181+G187+G193+G199+G205+G212+G220+G226+G233+G239+G168</f>
        <v>62437155.23000001</v>
      </c>
      <c r="H17" s="140"/>
      <c r="I17" s="162" t="s">
        <v>52</v>
      </c>
      <c r="J17" s="163">
        <f>J25+J32+J40+J47+J54+J63+J72+J82+J91+J99+J107+J116+J124+J132+J140+J147+J155+J162+J175+J181+J187+J193+J199+J205+J212+J220+J226+J233+J239+J168</f>
        <v>754923</v>
      </c>
      <c r="K17" s="163">
        <f>K25+K32+K40+K47+K54+K63+K72+K82+K91+K99+K107+K116+K124+K132+K140+K147+K155+K162+K175+K181+K187+K193+K199+K205+K212+K220+K226+K233+K239+K168</f>
        <v>441535</v>
      </c>
      <c r="L17" s="163">
        <f>L25+L32+L40+L47+L54+L63+L72+L82+L91+L99+L107+L116+L124+L132+L140+L147+L155+L162+L175+L181+L187+L193+L199+L205+L212+L220+L226+L233+L239+L168</f>
        <v>421661</v>
      </c>
      <c r="M17" s="158">
        <f t="shared" si="1"/>
        <v>55.85483552627222</v>
      </c>
      <c r="N17" s="158">
        <f t="shared" si="4"/>
        <v>95.4988845731369</v>
      </c>
      <c r="O17" s="157">
        <f>O25+O32+O40+O47+O54+O63+O72+O82+O91+O99+O107+O116+O124+O132+O140+O147+O155+O162+O175+O181+O187+O193+O199+O205+O212+O220+O226+O233+O239+O168</f>
        <v>62436</v>
      </c>
      <c r="P17" s="140"/>
      <c r="Q17" s="163">
        <v>421661</v>
      </c>
      <c r="R17" s="163">
        <v>359225</v>
      </c>
      <c r="S17" s="140">
        <f t="shared" si="2"/>
        <v>62436</v>
      </c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  <c r="CC17" s="140"/>
      <c r="CD17" s="140"/>
      <c r="CE17" s="140"/>
      <c r="CF17" s="140"/>
      <c r="CG17" s="140"/>
      <c r="CH17" s="140"/>
      <c r="CI17" s="140"/>
      <c r="CJ17" s="140"/>
    </row>
    <row r="18" spans="1:88" s="704" customFormat="1" ht="12.75" customHeight="1">
      <c r="A18" s="162" t="s">
        <v>53</v>
      </c>
      <c r="B18" s="163">
        <f>B26+B33+B41+B48+B55+B64+B73+B83+B92+B100+B108+B117+B125+B133+B141+B148+B156+B169+B176+B182+B200+B213+B221+B227+B234</f>
        <v>77140749</v>
      </c>
      <c r="C18" s="163">
        <f>C26+C33+C41+C48+C55+C64+C73+C83+C92+C100+C108+C117+C125+C133+C141+C148+C156+C169+C176+C182+C200+C213+C221+C227+C234</f>
        <v>43076607</v>
      </c>
      <c r="D18" s="163">
        <f>D26+D33+D41+D48+D55+D64+D73+D83+D92+D100+D108+D117+D125+D133+D141+D148+D156+D169+D176+D182+D200+D213+D221+D227+D234</f>
        <v>29089862.630000003</v>
      </c>
      <c r="E18" s="150">
        <f t="shared" si="0"/>
        <v>37.71011172059012</v>
      </c>
      <c r="F18" s="150">
        <f t="shared" si="3"/>
        <v>67.53053375350571</v>
      </c>
      <c r="G18" s="163">
        <f>G26+G33+G41+G48+G55+G64+G73+G83+G92+G100+G108+G117+G125+G133+G141+G148+G156+G169+G176+G182+G200+G213+G221+G227+G234</f>
        <v>4927009.46</v>
      </c>
      <c r="H18" s="140"/>
      <c r="I18" s="162" t="s">
        <v>53</v>
      </c>
      <c r="J18" s="163">
        <f>J26+J33+J41+J48+J55+J64+J73+J83+J92+J100+J108+J117+J125+J133+J141+J148+J156+J169+J176+J182+J200+J213+J221+J227+J234</f>
        <v>77141</v>
      </c>
      <c r="K18" s="163">
        <f>K26+K33+K41+K48+K55+K64+K73+K83+K92+K100+K108+K117+K125+K133+K141+K148+K156+K169+K176+K182+K200+K213+K221+K227+K234</f>
        <v>43077</v>
      </c>
      <c r="L18" s="163">
        <f>L26+L33+L41+L48+L55+L64+L73+L83+L92+L100+L108+L117+L125+L133+L141+L148+L156+L169+L176+L182+L200+L213+L221+L227+L234</f>
        <v>29090</v>
      </c>
      <c r="M18" s="158">
        <f t="shared" si="1"/>
        <v>37.71016709661529</v>
      </c>
      <c r="N18" s="158">
        <f t="shared" si="4"/>
        <v>67.53023655314901</v>
      </c>
      <c r="O18" s="157">
        <f>O26+O33+O41+O48+O55+O64+O73+O83+O92+O100+O108+O117+O125+O133+O141+O148+O156+O169+O176+O182+O200+O213+O221+O227+O234</f>
        <v>4927</v>
      </c>
      <c r="P18" s="140"/>
      <c r="Q18" s="163">
        <v>29090</v>
      </c>
      <c r="R18" s="163">
        <v>24163</v>
      </c>
      <c r="S18" s="140">
        <f t="shared" si="2"/>
        <v>4927</v>
      </c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  <c r="CC18" s="140"/>
      <c r="CD18" s="140"/>
      <c r="CE18" s="140"/>
      <c r="CF18" s="140"/>
      <c r="CG18" s="140"/>
      <c r="CH18" s="140"/>
      <c r="CI18" s="140"/>
      <c r="CJ18" s="140"/>
    </row>
    <row r="19" spans="1:19" ht="12.75" customHeight="1">
      <c r="A19" s="119" t="s">
        <v>54</v>
      </c>
      <c r="B19" s="164">
        <f>B74</f>
        <v>48031380</v>
      </c>
      <c r="C19" s="164"/>
      <c r="D19" s="164">
        <v>22021312</v>
      </c>
      <c r="E19" s="150">
        <f t="shared" si="0"/>
        <v>45.847760359997984</v>
      </c>
      <c r="F19" s="164"/>
      <c r="G19" s="164">
        <f>G74</f>
        <v>9250347</v>
      </c>
      <c r="I19" s="119" t="s">
        <v>54</v>
      </c>
      <c r="J19" s="157">
        <f>ROUND(B19/1000,0)</f>
        <v>48031</v>
      </c>
      <c r="K19" s="152" t="s">
        <v>797</v>
      </c>
      <c r="L19" s="157">
        <f>ROUND(D19/1000,0)</f>
        <v>22021</v>
      </c>
      <c r="M19" s="158">
        <f t="shared" si="1"/>
        <v>45.84747350669359</v>
      </c>
      <c r="N19" s="153" t="s">
        <v>797</v>
      </c>
      <c r="O19" s="157">
        <f>O74</f>
        <v>9250</v>
      </c>
      <c r="Q19" s="157">
        <v>0</v>
      </c>
      <c r="R19" s="157">
        <v>12771</v>
      </c>
      <c r="S19" s="140">
        <f t="shared" si="2"/>
        <v>-12771</v>
      </c>
    </row>
    <row r="20" spans="1:19" ht="12.75" customHeight="1">
      <c r="A20" s="119" t="s">
        <v>55</v>
      </c>
      <c r="B20" s="164">
        <f>B10-B16-B19</f>
        <v>-84749496</v>
      </c>
      <c r="C20" s="164"/>
      <c r="D20" s="164">
        <f>D10-D16-D19</f>
        <v>-39522246.839999795</v>
      </c>
      <c r="E20" s="150">
        <f>E10-E16-E19</f>
        <v>-45.547230244388174</v>
      </c>
      <c r="F20" s="150"/>
      <c r="G20" s="164">
        <f>G10-G16-G19</f>
        <v>-10893044.690000013</v>
      </c>
      <c r="I20" s="119" t="s">
        <v>55</v>
      </c>
      <c r="J20" s="157">
        <f>J10-J16-J19</f>
        <v>-84749</v>
      </c>
      <c r="K20" s="152" t="s">
        <v>797</v>
      </c>
      <c r="L20" s="157">
        <f>L10-L16-L19</f>
        <v>-39522</v>
      </c>
      <c r="M20" s="158">
        <f t="shared" si="1"/>
        <v>46.63417857437846</v>
      </c>
      <c r="N20" s="153" t="s">
        <v>797</v>
      </c>
      <c r="O20" s="157">
        <f>O10-O16-O19</f>
        <v>-10892</v>
      </c>
      <c r="Q20" s="157">
        <v>-17500</v>
      </c>
      <c r="R20" s="157">
        <v>-28630</v>
      </c>
      <c r="S20" s="140">
        <f t="shared" si="2"/>
        <v>11130</v>
      </c>
    </row>
    <row r="21" spans="1:88" s="704" customFormat="1" ht="12.75" customHeight="1">
      <c r="A21" s="165" t="s">
        <v>56</v>
      </c>
      <c r="B21" s="166"/>
      <c r="C21" s="166"/>
      <c r="D21" s="166"/>
      <c r="E21" s="166"/>
      <c r="F21" s="166"/>
      <c r="G21" s="166"/>
      <c r="H21" s="140"/>
      <c r="I21" s="165" t="s">
        <v>57</v>
      </c>
      <c r="J21" s="166"/>
      <c r="K21" s="166"/>
      <c r="L21" s="166"/>
      <c r="M21" s="158"/>
      <c r="N21" s="158"/>
      <c r="O21" s="166"/>
      <c r="P21" s="140"/>
      <c r="Q21" s="166"/>
      <c r="R21" s="166"/>
      <c r="S21" s="140">
        <f t="shared" si="2"/>
        <v>0</v>
      </c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  <c r="CC21" s="140"/>
      <c r="CD21" s="140"/>
      <c r="CE21" s="140"/>
      <c r="CF21" s="140"/>
      <c r="CG21" s="140"/>
      <c r="CH21" s="140"/>
      <c r="CI21" s="140"/>
      <c r="CJ21" s="140"/>
    </row>
    <row r="22" spans="1:88" s="704" customFormat="1" ht="12.75" customHeight="1">
      <c r="A22" s="154" t="s">
        <v>46</v>
      </c>
      <c r="B22" s="166">
        <f>B23</f>
        <v>1331732</v>
      </c>
      <c r="C22" s="166">
        <f>SUM(C23:C23)</f>
        <v>696512</v>
      </c>
      <c r="D22" s="166">
        <f>D23</f>
        <v>696512</v>
      </c>
      <c r="E22" s="149">
        <f>IF(ISERROR(D22/B22)," ",(D22/B22))*100</f>
        <v>52.30121375772303</v>
      </c>
      <c r="F22" s="149">
        <f>IF(ISERROR(D22/C22)," ",(D22/C22))*100</f>
        <v>100</v>
      </c>
      <c r="G22" s="166">
        <f>G23</f>
        <v>119175</v>
      </c>
      <c r="H22" s="168"/>
      <c r="I22" s="154" t="s">
        <v>46</v>
      </c>
      <c r="J22" s="147">
        <f>J23</f>
        <v>1332</v>
      </c>
      <c r="K22" s="147">
        <f>K23</f>
        <v>697</v>
      </c>
      <c r="L22" s="147">
        <f>L23</f>
        <v>697</v>
      </c>
      <c r="M22" s="156">
        <f>L22/J22*100</f>
        <v>52.327327327327325</v>
      </c>
      <c r="N22" s="156">
        <f>L22/K22*100</f>
        <v>100</v>
      </c>
      <c r="O22" s="147">
        <f>O23</f>
        <v>120</v>
      </c>
      <c r="P22" s="140"/>
      <c r="Q22" s="147">
        <v>697</v>
      </c>
      <c r="R22" s="147">
        <v>577</v>
      </c>
      <c r="S22" s="140">
        <f t="shared" si="2"/>
        <v>120</v>
      </c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  <c r="CC22" s="140"/>
      <c r="CD22" s="140"/>
      <c r="CE22" s="140"/>
      <c r="CF22" s="140"/>
      <c r="CG22" s="140"/>
      <c r="CH22" s="140"/>
      <c r="CI22" s="140"/>
      <c r="CJ22" s="140"/>
    </row>
    <row r="23" spans="1:88" s="704" customFormat="1" ht="12">
      <c r="A23" s="154" t="s">
        <v>47</v>
      </c>
      <c r="B23" s="164">
        <v>1331732</v>
      </c>
      <c r="C23" s="164">
        <v>696512</v>
      </c>
      <c r="D23" s="164">
        <v>696512</v>
      </c>
      <c r="E23" s="150">
        <f>IF(ISERROR(D23/B23)," ",(D23/B23))*100</f>
        <v>52.30121375772303</v>
      </c>
      <c r="F23" s="150">
        <f>IF(ISERROR(D23/C23)," ",(D23/C23))*100</f>
        <v>100</v>
      </c>
      <c r="G23" s="164">
        <f>D23-'[1]Jūnijs'!D23</f>
        <v>119175</v>
      </c>
      <c r="H23" s="140"/>
      <c r="I23" s="154" t="s">
        <v>47</v>
      </c>
      <c r="J23" s="157">
        <f>ROUND(B23/1000,0)</f>
        <v>1332</v>
      </c>
      <c r="K23" s="157">
        <f>ROUND(C23/1000,0)</f>
        <v>697</v>
      </c>
      <c r="L23" s="157">
        <f>ROUND(D23/1000,0)</f>
        <v>697</v>
      </c>
      <c r="M23" s="158">
        <f>L23/J23*100</f>
        <v>52.327327327327325</v>
      </c>
      <c r="N23" s="158">
        <f>L23/K23*100</f>
        <v>100</v>
      </c>
      <c r="O23" s="157">
        <f>L23-'[1]Jūnijs'!L23</f>
        <v>120</v>
      </c>
      <c r="P23" s="140"/>
      <c r="Q23" s="157">
        <v>697</v>
      </c>
      <c r="R23" s="157">
        <v>577</v>
      </c>
      <c r="S23" s="140">
        <f t="shared" si="2"/>
        <v>120</v>
      </c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  <c r="CC23" s="140"/>
      <c r="CD23" s="140"/>
      <c r="CE23" s="140"/>
      <c r="CF23" s="140"/>
      <c r="CG23" s="140"/>
      <c r="CH23" s="140"/>
      <c r="CI23" s="140"/>
      <c r="CJ23" s="140"/>
    </row>
    <row r="24" spans="1:88" s="704" customFormat="1" ht="12.75" customHeight="1">
      <c r="A24" s="160" t="s">
        <v>58</v>
      </c>
      <c r="B24" s="166">
        <f>SUM(B25:B26)</f>
        <v>1331732</v>
      </c>
      <c r="C24" s="166">
        <f>SUM(C25:C26)</f>
        <v>696512</v>
      </c>
      <c r="D24" s="166">
        <f>SUM(D25:D26)</f>
        <v>678694.4</v>
      </c>
      <c r="E24" s="149">
        <f>IF(ISERROR(D24/B24)," ",(D24/B24))*100</f>
        <v>50.963286907576</v>
      </c>
      <c r="F24" s="149">
        <f>IF(ISERROR(D24/C24)," ",(D24/C24))*100</f>
        <v>97.4418818340531</v>
      </c>
      <c r="G24" s="166">
        <f>SUM(G25:G26)</f>
        <v>101797.4</v>
      </c>
      <c r="H24" s="140"/>
      <c r="I24" s="160" t="s">
        <v>58</v>
      </c>
      <c r="J24" s="147">
        <f>J25+J26</f>
        <v>1332</v>
      </c>
      <c r="K24" s="147">
        <f>K25+K26</f>
        <v>696</v>
      </c>
      <c r="L24" s="147">
        <f>L25+L26</f>
        <v>679</v>
      </c>
      <c r="M24" s="156">
        <f>L24/J24*100</f>
        <v>50.97597597597597</v>
      </c>
      <c r="N24" s="156">
        <f>L24/K24*100</f>
        <v>97.5574712643678</v>
      </c>
      <c r="O24" s="147">
        <f>SUM(O25:O26)</f>
        <v>102</v>
      </c>
      <c r="P24" s="140"/>
      <c r="Q24" s="147">
        <v>679</v>
      </c>
      <c r="R24" s="147">
        <v>577</v>
      </c>
      <c r="S24" s="140">
        <f t="shared" si="2"/>
        <v>102</v>
      </c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140"/>
      <c r="CH24" s="140"/>
      <c r="CI24" s="140"/>
      <c r="CJ24" s="140"/>
    </row>
    <row r="25" spans="1:88" s="704" customFormat="1" ht="12.75" customHeight="1">
      <c r="A25" s="162" t="s">
        <v>52</v>
      </c>
      <c r="B25" s="164">
        <v>1257672</v>
      </c>
      <c r="C25" s="164">
        <v>660324</v>
      </c>
      <c r="D25" s="164">
        <v>649069.78</v>
      </c>
      <c r="E25" s="150">
        <f>IF(ISERROR(D25/B25)," ",(D25/B25))*100</f>
        <v>51.608828056917865</v>
      </c>
      <c r="F25" s="150">
        <f>IF(ISERROR(D25/C25)," ",(D25/C25))*100</f>
        <v>98.29565183152513</v>
      </c>
      <c r="G25" s="164">
        <f>D25-'[1]Jūnijs'!D25</f>
        <v>96332.5</v>
      </c>
      <c r="H25" s="140"/>
      <c r="I25" s="162" t="s">
        <v>52</v>
      </c>
      <c r="J25" s="157">
        <f aca="true" t="shared" si="5" ref="J25:L26">ROUND(B25/1000,0)</f>
        <v>1258</v>
      </c>
      <c r="K25" s="157">
        <f t="shared" si="5"/>
        <v>660</v>
      </c>
      <c r="L25" s="157">
        <f t="shared" si="5"/>
        <v>649</v>
      </c>
      <c r="M25" s="158">
        <f>L25/J25*100</f>
        <v>51.589825119236885</v>
      </c>
      <c r="N25" s="158">
        <f>L25/K25*100</f>
        <v>98.33333333333333</v>
      </c>
      <c r="O25" s="157">
        <f>L25-'[1]Jūnijs'!L25</f>
        <v>96</v>
      </c>
      <c r="P25" s="140"/>
      <c r="Q25" s="157">
        <v>649</v>
      </c>
      <c r="R25" s="157">
        <v>553</v>
      </c>
      <c r="S25" s="140">
        <f t="shared" si="2"/>
        <v>96</v>
      </c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</row>
    <row r="26" spans="1:88" s="704" customFormat="1" ht="12.75" customHeight="1">
      <c r="A26" s="162" t="s">
        <v>53</v>
      </c>
      <c r="B26" s="164">
        <v>74060</v>
      </c>
      <c r="C26" s="164">
        <v>36188</v>
      </c>
      <c r="D26" s="164">
        <v>29624.62</v>
      </c>
      <c r="E26" s="150">
        <f>IF(ISERROR(D26/B26)," ",(D26/B26))*100</f>
        <v>40.00083715906022</v>
      </c>
      <c r="F26" s="150">
        <f>IF(ISERROR(D26/C26)," ",(D26/C26))*100</f>
        <v>81.86310379131203</v>
      </c>
      <c r="G26" s="164">
        <f>D26-'[1]Jūnijs'!D26</f>
        <v>5464.899999999998</v>
      </c>
      <c r="H26" s="140"/>
      <c r="I26" s="162" t="s">
        <v>53</v>
      </c>
      <c r="J26" s="157">
        <f t="shared" si="5"/>
        <v>74</v>
      </c>
      <c r="K26" s="157">
        <f t="shared" si="5"/>
        <v>36</v>
      </c>
      <c r="L26" s="157">
        <f t="shared" si="5"/>
        <v>30</v>
      </c>
      <c r="M26" s="158">
        <f>L26/J26*100</f>
        <v>40.54054054054054</v>
      </c>
      <c r="N26" s="158">
        <f>L26/K26*100</f>
        <v>83.33333333333334</v>
      </c>
      <c r="O26" s="157">
        <f>L26-'[1]Jūnijs'!L26</f>
        <v>6</v>
      </c>
      <c r="P26" s="140"/>
      <c r="Q26" s="157">
        <v>30</v>
      </c>
      <c r="R26" s="157">
        <v>24</v>
      </c>
      <c r="S26" s="140">
        <f t="shared" si="2"/>
        <v>6</v>
      </c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</row>
    <row r="27" spans="1:88" s="704" customFormat="1" ht="12.75" customHeight="1">
      <c r="A27" s="160" t="s">
        <v>59</v>
      </c>
      <c r="B27" s="166"/>
      <c r="C27" s="166"/>
      <c r="D27" s="166"/>
      <c r="E27" s="166"/>
      <c r="F27" s="166"/>
      <c r="G27" s="164"/>
      <c r="H27" s="140"/>
      <c r="I27" s="160" t="s">
        <v>60</v>
      </c>
      <c r="J27" s="166"/>
      <c r="K27" s="166"/>
      <c r="L27" s="166"/>
      <c r="M27" s="158"/>
      <c r="N27" s="158"/>
      <c r="O27" s="166"/>
      <c r="P27" s="140"/>
      <c r="Q27" s="166"/>
      <c r="R27" s="166"/>
      <c r="S27" s="140">
        <f t="shared" si="2"/>
        <v>0</v>
      </c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</row>
    <row r="28" spans="1:88" s="704" customFormat="1" ht="12.75" customHeight="1">
      <c r="A28" s="154" t="s">
        <v>46</v>
      </c>
      <c r="B28" s="164">
        <f>SUM(B29:B30)</f>
        <v>7212591</v>
      </c>
      <c r="C28" s="166">
        <f>SUM(C29:C30)</f>
        <v>4205597</v>
      </c>
      <c r="D28" s="166">
        <f>SUM(D29:D30)</f>
        <v>4226945.03</v>
      </c>
      <c r="E28" s="149">
        <f aca="true" t="shared" si="6" ref="E28:E33">IF(ISERROR(D28/B28)," ",(D28/B28))*100</f>
        <v>58.60508422008125</v>
      </c>
      <c r="F28" s="149">
        <f aca="true" t="shared" si="7" ref="F28:F33">IF(ISERROR(D28/C28)," ",(D28/C28))*100</f>
        <v>100.5076099778462</v>
      </c>
      <c r="G28" s="166">
        <f>SUM(G29:G30)</f>
        <v>618335.5</v>
      </c>
      <c r="H28" s="140"/>
      <c r="I28" s="154" t="s">
        <v>46</v>
      </c>
      <c r="J28" s="147">
        <f>J29+J30</f>
        <v>7213</v>
      </c>
      <c r="K28" s="147">
        <f>K29+K30</f>
        <v>4205</v>
      </c>
      <c r="L28" s="147">
        <f>L29+L30</f>
        <v>4227</v>
      </c>
      <c r="M28" s="156">
        <f aca="true" t="shared" si="8" ref="M28:M33">L28/J28*100</f>
        <v>58.60252322196035</v>
      </c>
      <c r="N28" s="156">
        <f aca="true" t="shared" si="9" ref="N28:N33">L28/K28*100</f>
        <v>100.5231866825208</v>
      </c>
      <c r="O28" s="147">
        <f>SUM(O29:O30)</f>
        <v>619</v>
      </c>
      <c r="P28" s="140"/>
      <c r="Q28" s="147">
        <v>4227</v>
      </c>
      <c r="R28" s="147">
        <v>3608</v>
      </c>
      <c r="S28" s="140">
        <f t="shared" si="2"/>
        <v>619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  <c r="CC28" s="140"/>
      <c r="CD28" s="140"/>
      <c r="CE28" s="140"/>
      <c r="CF28" s="140"/>
      <c r="CG28" s="140"/>
      <c r="CH28" s="140"/>
      <c r="CI28" s="140"/>
      <c r="CJ28" s="140"/>
    </row>
    <row r="29" spans="1:88" s="704" customFormat="1" ht="12.75" customHeight="1">
      <c r="A29" s="154" t="s">
        <v>47</v>
      </c>
      <c r="B29" s="164">
        <v>6972591</v>
      </c>
      <c r="C29" s="164">
        <v>4032266</v>
      </c>
      <c r="D29" s="164">
        <v>4032266</v>
      </c>
      <c r="E29" s="150">
        <f t="shared" si="6"/>
        <v>57.830238429301254</v>
      </c>
      <c r="F29" s="150">
        <f t="shared" si="7"/>
        <v>100</v>
      </c>
      <c r="G29" s="164">
        <f>D29-'[1]Jūnijs'!D29</f>
        <v>594909</v>
      </c>
      <c r="H29" s="140"/>
      <c r="I29" s="154" t="s">
        <v>47</v>
      </c>
      <c r="J29" s="157">
        <f aca="true" t="shared" si="10" ref="J29:L30">ROUND(B29/1000,0)</f>
        <v>6973</v>
      </c>
      <c r="K29" s="157">
        <f t="shared" si="10"/>
        <v>4032</v>
      </c>
      <c r="L29" s="157">
        <f t="shared" si="10"/>
        <v>4032</v>
      </c>
      <c r="M29" s="158">
        <f t="shared" si="8"/>
        <v>57.82303169367561</v>
      </c>
      <c r="N29" s="158">
        <f t="shared" si="9"/>
        <v>100</v>
      </c>
      <c r="O29" s="157">
        <f>L29-'[1]Jūnijs'!L29</f>
        <v>595</v>
      </c>
      <c r="P29" s="140"/>
      <c r="Q29" s="157">
        <v>4032</v>
      </c>
      <c r="R29" s="157">
        <v>3437</v>
      </c>
      <c r="S29" s="140">
        <f t="shared" si="2"/>
        <v>595</v>
      </c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</row>
    <row r="30" spans="1:88" s="704" customFormat="1" ht="12.75" customHeight="1">
      <c r="A30" s="154" t="s">
        <v>49</v>
      </c>
      <c r="B30" s="164">
        <v>240000</v>
      </c>
      <c r="C30" s="164">
        <v>173331</v>
      </c>
      <c r="D30" s="164">
        <v>194679.03</v>
      </c>
      <c r="E30" s="150">
        <f t="shared" si="6"/>
        <v>81.1162625</v>
      </c>
      <c r="F30" s="150">
        <f t="shared" si="7"/>
        <v>112.31633695068972</v>
      </c>
      <c r="G30" s="164">
        <f>D30-'[1]Jūnijs'!D30</f>
        <v>23426.5</v>
      </c>
      <c r="H30" s="140"/>
      <c r="I30" s="154" t="s">
        <v>49</v>
      </c>
      <c r="J30" s="157">
        <f t="shared" si="10"/>
        <v>240</v>
      </c>
      <c r="K30" s="157">
        <f t="shared" si="10"/>
        <v>173</v>
      </c>
      <c r="L30" s="157">
        <f t="shared" si="10"/>
        <v>195</v>
      </c>
      <c r="M30" s="158">
        <f t="shared" si="8"/>
        <v>81.25</v>
      </c>
      <c r="N30" s="158">
        <f t="shared" si="9"/>
        <v>112.71676300578035</v>
      </c>
      <c r="O30" s="157">
        <f>L30-'[1]Jūnijs'!L30</f>
        <v>24</v>
      </c>
      <c r="P30" s="140"/>
      <c r="Q30" s="157">
        <v>195</v>
      </c>
      <c r="R30" s="157">
        <v>171</v>
      </c>
      <c r="S30" s="140">
        <f t="shared" si="2"/>
        <v>24</v>
      </c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</row>
    <row r="31" spans="1:88" s="704" customFormat="1" ht="12.75" customHeight="1">
      <c r="A31" s="160" t="s">
        <v>51</v>
      </c>
      <c r="B31" s="166">
        <f>SUM(B32:B33)</f>
        <v>7212591</v>
      </c>
      <c r="C31" s="166">
        <f>SUM(C32:C33)</f>
        <v>4205597</v>
      </c>
      <c r="D31" s="166">
        <f>SUM(D32:D33)</f>
        <v>3862363.89</v>
      </c>
      <c r="E31" s="149">
        <f t="shared" si="6"/>
        <v>53.550296835076324</v>
      </c>
      <c r="F31" s="149">
        <f t="shared" si="7"/>
        <v>91.83865905363734</v>
      </c>
      <c r="G31" s="166">
        <f>SUM(G32:G33)</f>
        <v>498326.0700000003</v>
      </c>
      <c r="H31" s="140"/>
      <c r="I31" s="160" t="s">
        <v>51</v>
      </c>
      <c r="J31" s="147">
        <f>J32+J33</f>
        <v>7213</v>
      </c>
      <c r="K31" s="147">
        <f>K32+K33</f>
        <v>4206</v>
      </c>
      <c r="L31" s="147">
        <f>L32+L33</f>
        <v>3862</v>
      </c>
      <c r="M31" s="156">
        <f t="shared" si="8"/>
        <v>53.54221544433662</v>
      </c>
      <c r="N31" s="156">
        <f t="shared" si="9"/>
        <v>91.82120779838327</v>
      </c>
      <c r="O31" s="147">
        <f>SUM(O32:O33)</f>
        <v>498</v>
      </c>
      <c r="P31" s="140"/>
      <c r="Q31" s="147">
        <v>3862</v>
      </c>
      <c r="R31" s="147">
        <v>3364</v>
      </c>
      <c r="S31" s="140">
        <f t="shared" si="2"/>
        <v>498</v>
      </c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  <c r="CC31" s="140"/>
      <c r="CD31" s="140"/>
      <c r="CE31" s="140"/>
      <c r="CF31" s="140"/>
      <c r="CG31" s="140"/>
      <c r="CH31" s="140"/>
      <c r="CI31" s="140"/>
      <c r="CJ31" s="140"/>
    </row>
    <row r="32" spans="1:88" s="704" customFormat="1" ht="12.75" customHeight="1">
      <c r="A32" s="162" t="s">
        <v>52</v>
      </c>
      <c r="B32" s="164">
        <v>5998635</v>
      </c>
      <c r="C32" s="164">
        <v>3391759</v>
      </c>
      <c r="D32" s="164">
        <v>3185843.66</v>
      </c>
      <c r="E32" s="150">
        <f t="shared" si="6"/>
        <v>53.10947673929153</v>
      </c>
      <c r="F32" s="150">
        <f t="shared" si="7"/>
        <v>93.92895131994933</v>
      </c>
      <c r="G32" s="164">
        <f>D32-'[1]Jūnijs'!D32</f>
        <v>456286.88000000035</v>
      </c>
      <c r="H32" s="140"/>
      <c r="I32" s="162" t="s">
        <v>52</v>
      </c>
      <c r="J32" s="157">
        <f>ROUND(B32/1000,0)</f>
        <v>5999</v>
      </c>
      <c r="K32" s="157">
        <f>ROUND(C32/1000,0)</f>
        <v>3392</v>
      </c>
      <c r="L32" s="157">
        <f>ROUND(D32/1000,0)</f>
        <v>3186</v>
      </c>
      <c r="M32" s="158">
        <f t="shared" si="8"/>
        <v>53.10885147524588</v>
      </c>
      <c r="N32" s="158">
        <f t="shared" si="9"/>
        <v>93.92688679245283</v>
      </c>
      <c r="O32" s="157">
        <f>L32-'[1]Jūnijs'!L32</f>
        <v>456</v>
      </c>
      <c r="P32" s="140"/>
      <c r="Q32" s="157">
        <v>3186</v>
      </c>
      <c r="R32" s="157">
        <v>2730</v>
      </c>
      <c r="S32" s="140">
        <f t="shared" si="2"/>
        <v>456</v>
      </c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</row>
    <row r="33" spans="1:88" s="704" customFormat="1" ht="12.75" customHeight="1">
      <c r="A33" s="162" t="s">
        <v>53</v>
      </c>
      <c r="B33" s="164">
        <v>1213956</v>
      </c>
      <c r="C33" s="164">
        <v>813838</v>
      </c>
      <c r="D33" s="164">
        <v>676520.23</v>
      </c>
      <c r="E33" s="150">
        <f t="shared" si="6"/>
        <v>55.72856264971712</v>
      </c>
      <c r="F33" s="150">
        <f t="shared" si="7"/>
        <v>83.12713709608055</v>
      </c>
      <c r="G33" s="164">
        <f>D33-'[1]Jūnijs'!D33</f>
        <v>42039.189999999944</v>
      </c>
      <c r="H33" s="140"/>
      <c r="I33" s="162" t="s">
        <v>53</v>
      </c>
      <c r="J33" s="157">
        <f>ROUND(B33/1000,0)</f>
        <v>1214</v>
      </c>
      <c r="K33" s="157">
        <f>ROUND(C33/1000,0)</f>
        <v>814</v>
      </c>
      <c r="L33" s="157">
        <f>ROUND(D33/1000,0)-1</f>
        <v>676</v>
      </c>
      <c r="M33" s="158">
        <f t="shared" si="8"/>
        <v>55.6836902800659</v>
      </c>
      <c r="N33" s="158">
        <f t="shared" si="9"/>
        <v>83.04668304668304</v>
      </c>
      <c r="O33" s="157">
        <f>L33-'[1]Jūnijs'!L33</f>
        <v>42</v>
      </c>
      <c r="P33" s="140"/>
      <c r="Q33" s="157">
        <v>676</v>
      </c>
      <c r="R33" s="157">
        <v>634</v>
      </c>
      <c r="S33" s="140">
        <f t="shared" si="2"/>
        <v>42</v>
      </c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  <c r="CC33" s="140"/>
      <c r="CD33" s="140"/>
      <c r="CE33" s="140"/>
      <c r="CF33" s="140"/>
      <c r="CG33" s="140"/>
      <c r="CH33" s="140"/>
      <c r="CI33" s="140"/>
      <c r="CJ33" s="140"/>
    </row>
    <row r="34" spans="1:88" s="704" customFormat="1" ht="12.75" customHeight="1">
      <c r="A34" s="160" t="s">
        <v>61</v>
      </c>
      <c r="B34" s="164"/>
      <c r="C34" s="164"/>
      <c r="D34" s="164"/>
      <c r="E34" s="164"/>
      <c r="F34" s="164"/>
      <c r="G34" s="164"/>
      <c r="H34" s="140"/>
      <c r="I34" s="160" t="s">
        <v>62</v>
      </c>
      <c r="J34" s="164"/>
      <c r="K34" s="164"/>
      <c r="L34" s="164"/>
      <c r="M34" s="158"/>
      <c r="N34" s="158"/>
      <c r="O34" s="164"/>
      <c r="P34" s="140"/>
      <c r="Q34" s="164"/>
      <c r="R34" s="164"/>
      <c r="S34" s="140">
        <f t="shared" si="2"/>
        <v>0</v>
      </c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</row>
    <row r="35" spans="1:88" s="704" customFormat="1" ht="12.75" customHeight="1">
      <c r="A35" s="154" t="s">
        <v>46</v>
      </c>
      <c r="B35" s="164">
        <f>SUM(B36:B38)</f>
        <v>3633702</v>
      </c>
      <c r="C35" s="166">
        <f>SUM(C36:C38)</f>
        <v>2174471</v>
      </c>
      <c r="D35" s="166">
        <f>SUM(D36:D38)</f>
        <v>1904904.6300000001</v>
      </c>
      <c r="E35" s="149">
        <f aca="true" t="shared" si="11" ref="E35:E41">IF(ISERROR(D35/B35)," ",(D35/B35))*100</f>
        <v>52.423248521755504</v>
      </c>
      <c r="F35" s="149">
        <f aca="true" t="shared" si="12" ref="F35:F41">IF(ISERROR(D35/C35)," ",(D35/C35))*100</f>
        <v>87.60312876097221</v>
      </c>
      <c r="G35" s="166">
        <f>SUM(G36:G38)</f>
        <v>278314.82999999996</v>
      </c>
      <c r="H35" s="140"/>
      <c r="I35" s="154" t="s">
        <v>46</v>
      </c>
      <c r="J35" s="147">
        <f>J36+J37+J38</f>
        <v>3634</v>
      </c>
      <c r="K35" s="147">
        <f>K36+K37+K38</f>
        <v>2175</v>
      </c>
      <c r="L35" s="147">
        <f>L36+L37+L38</f>
        <v>1905</v>
      </c>
      <c r="M35" s="156">
        <f aca="true" t="shared" si="13" ref="M35:M41">L35/J35*100</f>
        <v>52.42157402311503</v>
      </c>
      <c r="N35" s="156">
        <f aca="true" t="shared" si="14" ref="N35:N41">L35/K35*100</f>
        <v>87.58620689655172</v>
      </c>
      <c r="O35" s="147">
        <f>SUM(O36:O38)</f>
        <v>278</v>
      </c>
      <c r="P35" s="140"/>
      <c r="Q35" s="147">
        <v>1905</v>
      </c>
      <c r="R35" s="147">
        <v>1627</v>
      </c>
      <c r="S35" s="140">
        <f t="shared" si="2"/>
        <v>278</v>
      </c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</row>
    <row r="36" spans="1:88" s="704" customFormat="1" ht="12.75" customHeight="1">
      <c r="A36" s="154" t="s">
        <v>47</v>
      </c>
      <c r="B36" s="164">
        <v>3048776</v>
      </c>
      <c r="C36" s="164">
        <v>1716765</v>
      </c>
      <c r="D36" s="164">
        <v>1716765</v>
      </c>
      <c r="E36" s="150">
        <f t="shared" si="11"/>
        <v>56.30997488828303</v>
      </c>
      <c r="F36" s="150">
        <f t="shared" si="12"/>
        <v>100</v>
      </c>
      <c r="G36" s="164">
        <f>D36-'[1]Jūnijs'!D36</f>
        <v>254878</v>
      </c>
      <c r="H36" s="140"/>
      <c r="I36" s="154" t="s">
        <v>47</v>
      </c>
      <c r="J36" s="157">
        <f>ROUND(B36/1000,0)</f>
        <v>3049</v>
      </c>
      <c r="K36" s="157">
        <f aca="true" t="shared" si="15" ref="K36:L38">ROUND(C36/1000,0)</f>
        <v>1717</v>
      </c>
      <c r="L36" s="157">
        <f t="shared" si="15"/>
        <v>1717</v>
      </c>
      <c r="M36" s="158">
        <f t="shared" si="13"/>
        <v>56.31354542472942</v>
      </c>
      <c r="N36" s="158">
        <f t="shared" si="14"/>
        <v>100</v>
      </c>
      <c r="O36" s="157">
        <f>L36-'[1]Jūnijs'!L36</f>
        <v>255</v>
      </c>
      <c r="P36" s="140"/>
      <c r="Q36" s="157">
        <v>1717</v>
      </c>
      <c r="R36" s="157">
        <v>1462</v>
      </c>
      <c r="S36" s="140">
        <f t="shared" si="2"/>
        <v>255</v>
      </c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</row>
    <row r="37" spans="1:88" s="704" customFormat="1" ht="12.75" customHeight="1">
      <c r="A37" s="154" t="s">
        <v>49</v>
      </c>
      <c r="B37" s="164">
        <v>323000</v>
      </c>
      <c r="C37" s="164">
        <v>195780</v>
      </c>
      <c r="D37" s="164">
        <v>166429.12</v>
      </c>
      <c r="E37" s="150">
        <f t="shared" si="11"/>
        <v>51.52604334365325</v>
      </c>
      <c r="F37" s="150">
        <f t="shared" si="12"/>
        <v>85.00823373173971</v>
      </c>
      <c r="G37" s="164">
        <f>D37-'[1]Jūnijs'!D37</f>
        <v>23436.829999999987</v>
      </c>
      <c r="H37" s="140"/>
      <c r="I37" s="154" t="s">
        <v>49</v>
      </c>
      <c r="J37" s="157">
        <f>ROUND(B37/1000,0)</f>
        <v>323</v>
      </c>
      <c r="K37" s="157">
        <f>ROUND(C37/1000,0)</f>
        <v>196</v>
      </c>
      <c r="L37" s="157">
        <f t="shared" si="15"/>
        <v>166</v>
      </c>
      <c r="M37" s="158">
        <f t="shared" si="13"/>
        <v>51.39318885448917</v>
      </c>
      <c r="N37" s="158">
        <f t="shared" si="14"/>
        <v>84.6938775510204</v>
      </c>
      <c r="O37" s="157">
        <f>L37-'[1]Jūnijs'!L37</f>
        <v>23</v>
      </c>
      <c r="P37" s="140"/>
      <c r="Q37" s="157">
        <v>166</v>
      </c>
      <c r="R37" s="157">
        <v>143</v>
      </c>
      <c r="S37" s="140">
        <f t="shared" si="2"/>
        <v>23</v>
      </c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  <c r="CC37" s="140"/>
      <c r="CD37" s="140"/>
      <c r="CE37" s="140"/>
      <c r="CF37" s="140"/>
      <c r="CG37" s="140"/>
      <c r="CH37" s="140"/>
      <c r="CI37" s="140"/>
      <c r="CJ37" s="140"/>
    </row>
    <row r="38" spans="1:88" s="704" customFormat="1" ht="12.75" customHeight="1">
      <c r="A38" s="154" t="s">
        <v>50</v>
      </c>
      <c r="B38" s="164">
        <v>261926</v>
      </c>
      <c r="C38" s="164">
        <v>261926</v>
      </c>
      <c r="D38" s="164">
        <v>21710.51</v>
      </c>
      <c r="E38" s="150">
        <f t="shared" si="11"/>
        <v>8.28879530859861</v>
      </c>
      <c r="F38" s="150">
        <f t="shared" si="12"/>
        <v>8.28879530859861</v>
      </c>
      <c r="G38" s="164">
        <f>D38-'[1]Jūnijs'!D38</f>
        <v>0</v>
      </c>
      <c r="H38" s="140"/>
      <c r="I38" s="154" t="s">
        <v>50</v>
      </c>
      <c r="J38" s="157">
        <f>ROUND(B38/1000,0)</f>
        <v>262</v>
      </c>
      <c r="K38" s="157">
        <f>ROUND(C38/1000,0)</f>
        <v>262</v>
      </c>
      <c r="L38" s="157">
        <f t="shared" si="15"/>
        <v>22</v>
      </c>
      <c r="M38" s="158">
        <f t="shared" si="13"/>
        <v>8.396946564885496</v>
      </c>
      <c r="N38" s="158">
        <f t="shared" si="14"/>
        <v>8.396946564885496</v>
      </c>
      <c r="O38" s="157">
        <f>L38-'[1]Jūnijs'!L38</f>
        <v>0</v>
      </c>
      <c r="P38" s="140"/>
      <c r="Q38" s="157">
        <v>22</v>
      </c>
      <c r="R38" s="157">
        <v>22</v>
      </c>
      <c r="S38" s="140">
        <f t="shared" si="2"/>
        <v>0</v>
      </c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  <c r="CC38" s="140"/>
      <c r="CD38" s="140"/>
      <c r="CE38" s="140"/>
      <c r="CF38" s="140"/>
      <c r="CG38" s="140"/>
      <c r="CH38" s="140"/>
      <c r="CI38" s="140"/>
      <c r="CJ38" s="140"/>
    </row>
    <row r="39" spans="1:88" s="704" customFormat="1" ht="12.75" customHeight="1">
      <c r="A39" s="160" t="s">
        <v>51</v>
      </c>
      <c r="B39" s="166">
        <f>SUM(B40:B41)</f>
        <v>3633702</v>
      </c>
      <c r="C39" s="166">
        <f>SUM(C40:C41)</f>
        <v>2174471</v>
      </c>
      <c r="D39" s="166">
        <f>SUM(D40:D41)</f>
        <v>1879998.3900000001</v>
      </c>
      <c r="E39" s="150">
        <f t="shared" si="11"/>
        <v>51.73782522617431</v>
      </c>
      <c r="F39" s="150">
        <f t="shared" si="12"/>
        <v>86.45773569755588</v>
      </c>
      <c r="G39" s="166">
        <f>SUM(G40:G41)</f>
        <v>264255.14000000013</v>
      </c>
      <c r="H39" s="140"/>
      <c r="I39" s="160" t="s">
        <v>51</v>
      </c>
      <c r="J39" s="147">
        <f>J40+J41</f>
        <v>3633</v>
      </c>
      <c r="K39" s="147">
        <f>K40+K41</f>
        <v>2174</v>
      </c>
      <c r="L39" s="147">
        <f>L40+L41</f>
        <v>1880</v>
      </c>
      <c r="M39" s="156">
        <f t="shared" si="13"/>
        <v>51.74786677676851</v>
      </c>
      <c r="N39" s="156">
        <f t="shared" si="14"/>
        <v>86.47654093836246</v>
      </c>
      <c r="O39" s="147">
        <f>SUM(O40:O41)</f>
        <v>264</v>
      </c>
      <c r="P39" s="140"/>
      <c r="Q39" s="147">
        <v>1880</v>
      </c>
      <c r="R39" s="147">
        <v>1616</v>
      </c>
      <c r="S39" s="140">
        <f t="shared" si="2"/>
        <v>264</v>
      </c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</row>
    <row r="40" spans="1:88" s="704" customFormat="1" ht="12.75" customHeight="1">
      <c r="A40" s="162" t="s">
        <v>52</v>
      </c>
      <c r="B40" s="164">
        <v>3505402</v>
      </c>
      <c r="C40" s="164">
        <v>2102979</v>
      </c>
      <c r="D40" s="164">
        <v>1809502.55</v>
      </c>
      <c r="E40" s="150">
        <f t="shared" si="11"/>
        <v>51.620400456210156</v>
      </c>
      <c r="F40" s="150">
        <f t="shared" si="12"/>
        <v>86.0447275032228</v>
      </c>
      <c r="G40" s="164">
        <f>D40-'[1]Jūnijs'!D40</f>
        <v>255944.14000000013</v>
      </c>
      <c r="H40" s="140"/>
      <c r="I40" s="162" t="s">
        <v>52</v>
      </c>
      <c r="J40" s="157">
        <f>ROUND(B40/1000,0)</f>
        <v>3505</v>
      </c>
      <c r="K40" s="157">
        <f aca="true" t="shared" si="16" ref="J40:L41">ROUND(C40/1000,0)</f>
        <v>2103</v>
      </c>
      <c r="L40" s="157">
        <f t="shared" si="16"/>
        <v>1810</v>
      </c>
      <c r="M40" s="158">
        <f t="shared" si="13"/>
        <v>51.64051355206848</v>
      </c>
      <c r="N40" s="158">
        <f t="shared" si="14"/>
        <v>86.06752258678078</v>
      </c>
      <c r="O40" s="157">
        <f>L40-'[1]Jūnijs'!L40</f>
        <v>256</v>
      </c>
      <c r="P40" s="140"/>
      <c r="Q40" s="157">
        <v>1810</v>
      </c>
      <c r="R40" s="157">
        <v>1554</v>
      </c>
      <c r="S40" s="140">
        <f t="shared" si="2"/>
        <v>256</v>
      </c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  <c r="CC40" s="140"/>
      <c r="CD40" s="140"/>
      <c r="CE40" s="140"/>
      <c r="CF40" s="140"/>
      <c r="CG40" s="140"/>
      <c r="CH40" s="140"/>
      <c r="CI40" s="140"/>
      <c r="CJ40" s="140"/>
    </row>
    <row r="41" spans="1:88" s="704" customFormat="1" ht="12.75" customHeight="1">
      <c r="A41" s="162" t="s">
        <v>53</v>
      </c>
      <c r="B41" s="164">
        <v>128300</v>
      </c>
      <c r="C41" s="164">
        <v>71492</v>
      </c>
      <c r="D41" s="164">
        <v>70495.84</v>
      </c>
      <c r="E41" s="150">
        <f t="shared" si="11"/>
        <v>54.94609508963367</v>
      </c>
      <c r="F41" s="150">
        <f t="shared" si="12"/>
        <v>98.6066133273653</v>
      </c>
      <c r="G41" s="164">
        <f>D41-'[1]Jūnijs'!D41</f>
        <v>8311</v>
      </c>
      <c r="H41" s="140"/>
      <c r="I41" s="162" t="s">
        <v>53</v>
      </c>
      <c r="J41" s="157">
        <f t="shared" si="16"/>
        <v>128</v>
      </c>
      <c r="K41" s="157">
        <f t="shared" si="16"/>
        <v>71</v>
      </c>
      <c r="L41" s="157">
        <f t="shared" si="16"/>
        <v>70</v>
      </c>
      <c r="M41" s="158">
        <f t="shared" si="13"/>
        <v>54.6875</v>
      </c>
      <c r="N41" s="158">
        <f t="shared" si="14"/>
        <v>98.59154929577466</v>
      </c>
      <c r="O41" s="157">
        <f>L41-'[1]Jūnijs'!L41</f>
        <v>8</v>
      </c>
      <c r="P41" s="140"/>
      <c r="Q41" s="157">
        <v>70</v>
      </c>
      <c r="R41" s="157">
        <v>62</v>
      </c>
      <c r="S41" s="140">
        <f t="shared" si="2"/>
        <v>8</v>
      </c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</row>
    <row r="42" spans="1:88" s="704" customFormat="1" ht="12.75" customHeight="1">
      <c r="A42" s="160" t="s">
        <v>63</v>
      </c>
      <c r="B42" s="164"/>
      <c r="C42" s="164"/>
      <c r="D42" s="164"/>
      <c r="E42" s="164"/>
      <c r="F42" s="164"/>
      <c r="G42" s="164"/>
      <c r="H42" s="140"/>
      <c r="I42" s="160" t="s">
        <v>64</v>
      </c>
      <c r="J42" s="164"/>
      <c r="K42" s="164"/>
      <c r="L42" s="164"/>
      <c r="M42" s="158"/>
      <c r="N42" s="158"/>
      <c r="O42" s="164"/>
      <c r="P42" s="140"/>
      <c r="Q42" s="164"/>
      <c r="R42" s="164"/>
      <c r="S42" s="140">
        <f t="shared" si="2"/>
        <v>0</v>
      </c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  <c r="CC42" s="140"/>
      <c r="CD42" s="140"/>
      <c r="CE42" s="140"/>
      <c r="CF42" s="140"/>
      <c r="CG42" s="140"/>
      <c r="CH42" s="140"/>
      <c r="CI42" s="140"/>
      <c r="CJ42" s="140"/>
    </row>
    <row r="43" spans="1:88" s="704" customFormat="1" ht="12.75" customHeight="1">
      <c r="A43" s="154" t="s">
        <v>46</v>
      </c>
      <c r="B43" s="164">
        <f>SUM(B44:B45)</f>
        <v>48087428</v>
      </c>
      <c r="C43" s="166">
        <f>SUM(C44:C45)</f>
        <v>28506556</v>
      </c>
      <c r="D43" s="166">
        <f>SUM(D44:D45)</f>
        <v>28373928.27</v>
      </c>
      <c r="E43" s="149">
        <f aca="true" t="shared" si="17" ref="E43:E48">IF(ISERROR(D43/B43)," ",(D43/B43))*100</f>
        <v>59.00487809412473</v>
      </c>
      <c r="F43" s="149">
        <f aca="true" t="shared" si="18" ref="F43:F48">IF(ISERROR(D43/C43)," ",(D43/C43))*100</f>
        <v>99.53474656847358</v>
      </c>
      <c r="G43" s="166">
        <f>SUM(G44:G45)</f>
        <v>3883698.87</v>
      </c>
      <c r="H43" s="140"/>
      <c r="I43" s="154" t="s">
        <v>46</v>
      </c>
      <c r="J43" s="147">
        <f>J44+J45</f>
        <v>48088</v>
      </c>
      <c r="K43" s="147">
        <f>K44+K45</f>
        <v>28507</v>
      </c>
      <c r="L43" s="147">
        <f>L44+L45</f>
        <v>28374</v>
      </c>
      <c r="M43" s="156">
        <f aca="true" t="shared" si="19" ref="M43:M48">L43/J43*100</f>
        <v>59.004325403427046</v>
      </c>
      <c r="N43" s="156">
        <f aca="true" t="shared" si="20" ref="N43:N48">L43/K43*100</f>
        <v>99.53344792507104</v>
      </c>
      <c r="O43" s="147">
        <f>SUM(O44:O45)</f>
        <v>3884</v>
      </c>
      <c r="P43" s="140"/>
      <c r="Q43" s="147">
        <v>28374</v>
      </c>
      <c r="R43" s="147">
        <v>24490</v>
      </c>
      <c r="S43" s="140">
        <f t="shared" si="2"/>
        <v>3884</v>
      </c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</row>
    <row r="44" spans="1:88" s="704" customFormat="1" ht="12.75" customHeight="1">
      <c r="A44" s="154" t="s">
        <v>47</v>
      </c>
      <c r="B44" s="164">
        <v>46214691</v>
      </c>
      <c r="C44" s="164">
        <v>27405035</v>
      </c>
      <c r="D44" s="164">
        <v>27405035</v>
      </c>
      <c r="E44" s="150">
        <f t="shared" si="17"/>
        <v>59.299401136318316</v>
      </c>
      <c r="F44" s="150">
        <f t="shared" si="18"/>
        <v>100</v>
      </c>
      <c r="G44" s="164">
        <f>D44-'[1]Jūnijs'!D44</f>
        <v>3747734</v>
      </c>
      <c r="H44" s="140"/>
      <c r="I44" s="154" t="s">
        <v>47</v>
      </c>
      <c r="J44" s="157">
        <f aca="true" t="shared" si="21" ref="J44:L45">ROUND(B44/1000,0)</f>
        <v>46215</v>
      </c>
      <c r="K44" s="157">
        <f t="shared" si="21"/>
        <v>27405</v>
      </c>
      <c r="L44" s="157">
        <f t="shared" si="21"/>
        <v>27405</v>
      </c>
      <c r="M44" s="158">
        <f t="shared" si="19"/>
        <v>59.29892891918208</v>
      </c>
      <c r="N44" s="158">
        <f t="shared" si="20"/>
        <v>100</v>
      </c>
      <c r="O44" s="157">
        <f>L44-'[1]Jūnijs'!L44</f>
        <v>3748</v>
      </c>
      <c r="P44" s="140"/>
      <c r="Q44" s="157">
        <v>27405</v>
      </c>
      <c r="R44" s="157">
        <v>23657</v>
      </c>
      <c r="S44" s="140">
        <f t="shared" si="2"/>
        <v>3748</v>
      </c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E44" s="140"/>
      <c r="CF44" s="140"/>
      <c r="CG44" s="140"/>
      <c r="CH44" s="140"/>
      <c r="CI44" s="140"/>
      <c r="CJ44" s="140"/>
    </row>
    <row r="45" spans="1:88" s="704" customFormat="1" ht="12.75" customHeight="1">
      <c r="A45" s="154" t="s">
        <v>49</v>
      </c>
      <c r="B45" s="164">
        <v>1872737</v>
      </c>
      <c r="C45" s="164">
        <v>1101521</v>
      </c>
      <c r="D45" s="164">
        <v>968893.27</v>
      </c>
      <c r="E45" s="150">
        <f t="shared" si="17"/>
        <v>51.736750542120966</v>
      </c>
      <c r="F45" s="150">
        <f t="shared" si="18"/>
        <v>87.9595822503611</v>
      </c>
      <c r="G45" s="164">
        <f>D45-'[1]Jūnijs'!D45</f>
        <v>135964.87</v>
      </c>
      <c r="H45" s="140"/>
      <c r="I45" s="154" t="s">
        <v>49</v>
      </c>
      <c r="J45" s="157">
        <f t="shared" si="21"/>
        <v>1873</v>
      </c>
      <c r="K45" s="157">
        <f t="shared" si="21"/>
        <v>1102</v>
      </c>
      <c r="L45" s="157">
        <f t="shared" si="21"/>
        <v>969</v>
      </c>
      <c r="M45" s="158">
        <f t="shared" si="19"/>
        <v>51.73518419647623</v>
      </c>
      <c r="N45" s="158">
        <f t="shared" si="20"/>
        <v>87.93103448275862</v>
      </c>
      <c r="O45" s="157">
        <f>L45-'[1]Jūnijs'!L45</f>
        <v>136</v>
      </c>
      <c r="P45" s="140"/>
      <c r="Q45" s="157">
        <v>969</v>
      </c>
      <c r="R45" s="157">
        <v>833</v>
      </c>
      <c r="S45" s="140">
        <f t="shared" si="2"/>
        <v>136</v>
      </c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  <c r="CC45" s="140"/>
      <c r="CD45" s="140"/>
      <c r="CE45" s="140"/>
      <c r="CF45" s="140"/>
      <c r="CG45" s="140"/>
      <c r="CH45" s="140"/>
      <c r="CI45" s="140"/>
      <c r="CJ45" s="140"/>
    </row>
    <row r="46" spans="1:88" s="704" customFormat="1" ht="12.75" customHeight="1">
      <c r="A46" s="160" t="s">
        <v>51</v>
      </c>
      <c r="B46" s="166">
        <f>SUM(B47:B48)</f>
        <v>48087428</v>
      </c>
      <c r="C46" s="166">
        <f>SUM(C47:C48)</f>
        <v>28506556</v>
      </c>
      <c r="D46" s="166">
        <f>SUM(D47:D48)</f>
        <v>27159395.81</v>
      </c>
      <c r="E46" s="150">
        <f t="shared" si="17"/>
        <v>56.47920244351601</v>
      </c>
      <c r="F46" s="150">
        <f t="shared" si="18"/>
        <v>95.27420923804334</v>
      </c>
      <c r="G46" s="166">
        <f>SUM(G47:G48)</f>
        <v>4400947.630000001</v>
      </c>
      <c r="H46" s="140"/>
      <c r="I46" s="160" t="s">
        <v>51</v>
      </c>
      <c r="J46" s="147">
        <f>J47+J48</f>
        <v>48088</v>
      </c>
      <c r="K46" s="147">
        <f>K47+K48</f>
        <v>28507</v>
      </c>
      <c r="L46" s="147">
        <f>L47+L48</f>
        <v>27159</v>
      </c>
      <c r="M46" s="156">
        <f t="shared" si="19"/>
        <v>56.477707536183665</v>
      </c>
      <c r="N46" s="156">
        <f t="shared" si="20"/>
        <v>95.27133686462975</v>
      </c>
      <c r="O46" s="147">
        <f>SUM(O47:O48)</f>
        <v>4401</v>
      </c>
      <c r="P46" s="140"/>
      <c r="Q46" s="147">
        <v>27159</v>
      </c>
      <c r="R46" s="147">
        <v>22758</v>
      </c>
      <c r="S46" s="140">
        <f t="shared" si="2"/>
        <v>4401</v>
      </c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</row>
    <row r="47" spans="1:88" s="704" customFormat="1" ht="12.75" customHeight="1">
      <c r="A47" s="126" t="s">
        <v>52</v>
      </c>
      <c r="B47" s="164">
        <v>43342782</v>
      </c>
      <c r="C47" s="164">
        <v>25527970</v>
      </c>
      <c r="D47" s="164">
        <v>24501973.11</v>
      </c>
      <c r="E47" s="150">
        <f t="shared" si="17"/>
        <v>56.5306885700138</v>
      </c>
      <c r="F47" s="150">
        <f t="shared" si="18"/>
        <v>95.9808911950304</v>
      </c>
      <c r="G47" s="164">
        <f>D47-'[1]Jūnijs'!D47</f>
        <v>3702908.9800000004</v>
      </c>
      <c r="H47" s="140"/>
      <c r="I47" s="126" t="s">
        <v>52</v>
      </c>
      <c r="J47" s="157">
        <f aca="true" t="shared" si="22" ref="J47:L48">ROUND(B47/1000,0)</f>
        <v>43343</v>
      </c>
      <c r="K47" s="157">
        <f t="shared" si="22"/>
        <v>25528</v>
      </c>
      <c r="L47" s="157">
        <f t="shared" si="22"/>
        <v>24502</v>
      </c>
      <c r="M47" s="158">
        <f t="shared" si="19"/>
        <v>56.530466280598944</v>
      </c>
      <c r="N47" s="158">
        <f t="shared" si="20"/>
        <v>95.98088373550611</v>
      </c>
      <c r="O47" s="157">
        <f>L47-'[1]Jūnijs'!L47</f>
        <v>3703</v>
      </c>
      <c r="P47" s="140"/>
      <c r="Q47" s="157">
        <v>24502</v>
      </c>
      <c r="R47" s="157">
        <v>20799</v>
      </c>
      <c r="S47" s="140">
        <f t="shared" si="2"/>
        <v>3703</v>
      </c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E47" s="140"/>
      <c r="CF47" s="140"/>
      <c r="CG47" s="140"/>
      <c r="CH47" s="140"/>
      <c r="CI47" s="140"/>
      <c r="CJ47" s="140"/>
    </row>
    <row r="48" spans="1:88" s="704" customFormat="1" ht="12.75" customHeight="1">
      <c r="A48" s="126" t="s">
        <v>53</v>
      </c>
      <c r="B48" s="164">
        <v>4744646</v>
      </c>
      <c r="C48" s="164">
        <v>2978586</v>
      </c>
      <c r="D48" s="164">
        <v>2657422.7</v>
      </c>
      <c r="E48" s="150">
        <f t="shared" si="17"/>
        <v>56.00887189476307</v>
      </c>
      <c r="F48" s="150">
        <f t="shared" si="18"/>
        <v>89.21759183720062</v>
      </c>
      <c r="G48" s="164">
        <f>D48-'[1]Jūnijs'!D48</f>
        <v>698038.6500000001</v>
      </c>
      <c r="H48" s="140"/>
      <c r="I48" s="126" t="s">
        <v>53</v>
      </c>
      <c r="J48" s="157">
        <f t="shared" si="22"/>
        <v>4745</v>
      </c>
      <c r="K48" s="157">
        <f t="shared" si="22"/>
        <v>2979</v>
      </c>
      <c r="L48" s="157">
        <f t="shared" si="22"/>
        <v>2657</v>
      </c>
      <c r="M48" s="158">
        <f t="shared" si="19"/>
        <v>55.99578503688093</v>
      </c>
      <c r="N48" s="158">
        <f t="shared" si="20"/>
        <v>89.19100369251427</v>
      </c>
      <c r="O48" s="157">
        <f>L48-'[1]Jūnijs'!L48</f>
        <v>698</v>
      </c>
      <c r="P48" s="140"/>
      <c r="Q48" s="157">
        <v>2657</v>
      </c>
      <c r="R48" s="157">
        <v>1959</v>
      </c>
      <c r="S48" s="140">
        <f t="shared" si="2"/>
        <v>698</v>
      </c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</row>
    <row r="49" spans="1:88" s="704" customFormat="1" ht="12.75" customHeight="1">
      <c r="A49" s="160" t="s">
        <v>65</v>
      </c>
      <c r="B49" s="164"/>
      <c r="C49" s="164"/>
      <c r="D49" s="164"/>
      <c r="E49" s="150"/>
      <c r="F49" s="164"/>
      <c r="G49" s="164"/>
      <c r="H49" s="140"/>
      <c r="I49" s="160" t="s">
        <v>66</v>
      </c>
      <c r="J49" s="164"/>
      <c r="K49" s="164"/>
      <c r="L49" s="164"/>
      <c r="M49" s="158"/>
      <c r="N49" s="158"/>
      <c r="O49" s="164"/>
      <c r="P49" s="140"/>
      <c r="Q49" s="164"/>
      <c r="R49" s="164"/>
      <c r="S49" s="140">
        <f t="shared" si="2"/>
        <v>0</v>
      </c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  <c r="CC49" s="140"/>
      <c r="CD49" s="140"/>
      <c r="CE49" s="140"/>
      <c r="CF49" s="140"/>
      <c r="CG49" s="140"/>
      <c r="CH49" s="140"/>
      <c r="CI49" s="140"/>
      <c r="CJ49" s="140"/>
    </row>
    <row r="50" spans="1:88" s="704" customFormat="1" ht="12.75" customHeight="1">
      <c r="A50" s="154" t="s">
        <v>46</v>
      </c>
      <c r="B50" s="164">
        <f>SUM(B51:B52)</f>
        <v>11218968</v>
      </c>
      <c r="C50" s="166">
        <f>SUM(C51:C52)</f>
        <v>6718942</v>
      </c>
      <c r="D50" s="166">
        <f>SUM(D51:D52)</f>
        <v>6695487.43</v>
      </c>
      <c r="E50" s="149">
        <f aca="true" t="shared" si="23" ref="E50:E55">IF(ISERROR(D50/B50)," ",(D50/B50))*100</f>
        <v>59.68006531438542</v>
      </c>
      <c r="F50" s="149">
        <f aca="true" t="shared" si="24" ref="F50:F55">IF(ISERROR(D50/C50)," ",(D50/C50))*100</f>
        <v>99.65091870118836</v>
      </c>
      <c r="G50" s="166">
        <f>SUM(G51:G52)</f>
        <v>943272.8</v>
      </c>
      <c r="H50" s="140"/>
      <c r="I50" s="154" t="s">
        <v>46</v>
      </c>
      <c r="J50" s="147">
        <f>J51+J52</f>
        <v>11219</v>
      </c>
      <c r="K50" s="147">
        <f>K51+K52</f>
        <v>6719</v>
      </c>
      <c r="L50" s="147">
        <f>L51+L52</f>
        <v>6696</v>
      </c>
      <c r="M50" s="156">
        <f aca="true" t="shared" si="25" ref="M50:M55">L50/J50*100</f>
        <v>59.68446385595865</v>
      </c>
      <c r="N50" s="156">
        <f aca="true" t="shared" si="26" ref="N50:N55">L50/K50*100</f>
        <v>99.65768715582676</v>
      </c>
      <c r="O50" s="147">
        <f>SUM(O51:O52)</f>
        <v>944</v>
      </c>
      <c r="P50" s="140"/>
      <c r="Q50" s="147">
        <v>6696</v>
      </c>
      <c r="R50" s="147">
        <v>5752</v>
      </c>
      <c r="S50" s="140">
        <f t="shared" si="2"/>
        <v>944</v>
      </c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E50" s="140"/>
      <c r="CF50" s="140"/>
      <c r="CG50" s="140"/>
      <c r="CH50" s="140"/>
      <c r="CI50" s="140"/>
      <c r="CJ50" s="140"/>
    </row>
    <row r="51" spans="1:88" s="704" customFormat="1" ht="12.75" customHeight="1">
      <c r="A51" s="154" t="s">
        <v>47</v>
      </c>
      <c r="B51" s="164">
        <v>10847968</v>
      </c>
      <c r="C51" s="164">
        <v>6586817</v>
      </c>
      <c r="D51" s="164">
        <v>6586817</v>
      </c>
      <c r="E51" s="150">
        <f t="shared" si="23"/>
        <v>60.71936237275036</v>
      </c>
      <c r="F51" s="150">
        <f t="shared" si="24"/>
        <v>100</v>
      </c>
      <c r="G51" s="164">
        <f>D51-'[1]Jūnijs'!D51</f>
        <v>906890</v>
      </c>
      <c r="H51" s="140"/>
      <c r="I51" s="154" t="s">
        <v>47</v>
      </c>
      <c r="J51" s="157">
        <f aca="true" t="shared" si="27" ref="J51:L52">ROUND(B51/1000,0)</f>
        <v>10848</v>
      </c>
      <c r="K51" s="157">
        <f t="shared" si="27"/>
        <v>6587</v>
      </c>
      <c r="L51" s="157">
        <f t="shared" si="27"/>
        <v>6587</v>
      </c>
      <c r="M51" s="158">
        <f t="shared" si="25"/>
        <v>60.72087020648967</v>
      </c>
      <c r="N51" s="158">
        <f t="shared" si="26"/>
        <v>100</v>
      </c>
      <c r="O51" s="157">
        <f>L51-'[1]Jūnijs'!L51</f>
        <v>907</v>
      </c>
      <c r="P51" s="140"/>
      <c r="Q51" s="157">
        <v>6587</v>
      </c>
      <c r="R51" s="157">
        <v>5680</v>
      </c>
      <c r="S51" s="140">
        <f t="shared" si="2"/>
        <v>907</v>
      </c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</row>
    <row r="52" spans="1:19" ht="12.75" customHeight="1">
      <c r="A52" s="154" t="s">
        <v>49</v>
      </c>
      <c r="B52" s="164">
        <v>371000</v>
      </c>
      <c r="C52" s="164">
        <v>132125</v>
      </c>
      <c r="D52" s="164">
        <v>108670.43</v>
      </c>
      <c r="E52" s="150">
        <f t="shared" si="23"/>
        <v>29.291221024258757</v>
      </c>
      <c r="F52" s="150">
        <f t="shared" si="24"/>
        <v>82.24819678334909</v>
      </c>
      <c r="G52" s="164">
        <f>D52-'[1]Jūnijs'!D52</f>
        <v>36382.79999999999</v>
      </c>
      <c r="I52" s="154" t="s">
        <v>49</v>
      </c>
      <c r="J52" s="157">
        <f t="shared" si="27"/>
        <v>371</v>
      </c>
      <c r="K52" s="157">
        <f t="shared" si="27"/>
        <v>132</v>
      </c>
      <c r="L52" s="157">
        <f t="shared" si="27"/>
        <v>109</v>
      </c>
      <c r="M52" s="158">
        <f t="shared" si="25"/>
        <v>29.380053908355798</v>
      </c>
      <c r="N52" s="158">
        <f t="shared" si="26"/>
        <v>82.57575757575758</v>
      </c>
      <c r="O52" s="157">
        <f>L52-'[1]Jūnijs'!L52</f>
        <v>37</v>
      </c>
      <c r="Q52" s="157">
        <v>109</v>
      </c>
      <c r="R52" s="157">
        <v>72</v>
      </c>
      <c r="S52" s="140">
        <f t="shared" si="2"/>
        <v>37</v>
      </c>
    </row>
    <row r="53" spans="1:88" s="704" customFormat="1" ht="12.75" customHeight="1">
      <c r="A53" s="160" t="s">
        <v>51</v>
      </c>
      <c r="B53" s="166">
        <f>SUM(B54:B55)</f>
        <v>11218968</v>
      </c>
      <c r="C53" s="166">
        <f>SUM(C54:C55)</f>
        <v>6718942</v>
      </c>
      <c r="D53" s="166">
        <f>SUM(D54:D55)</f>
        <v>6304284.850000001</v>
      </c>
      <c r="E53" s="150">
        <f t="shared" si="23"/>
        <v>56.19309057660205</v>
      </c>
      <c r="F53" s="150">
        <f t="shared" si="24"/>
        <v>93.82853505804933</v>
      </c>
      <c r="G53" s="166">
        <f>SUM(G54:G55)</f>
        <v>804489.5200000005</v>
      </c>
      <c r="H53" s="140"/>
      <c r="I53" s="160" t="s">
        <v>51</v>
      </c>
      <c r="J53" s="147">
        <f>J54+J55</f>
        <v>11219</v>
      </c>
      <c r="K53" s="147">
        <f>K54+K55</f>
        <v>6719</v>
      </c>
      <c r="L53" s="147">
        <f>L54+L55</f>
        <v>6305</v>
      </c>
      <c r="M53" s="156">
        <f t="shared" si="25"/>
        <v>56.19930475086906</v>
      </c>
      <c r="N53" s="156">
        <f t="shared" si="26"/>
        <v>93.83836880488168</v>
      </c>
      <c r="O53" s="147">
        <f>SUM(O54:O55)</f>
        <v>805</v>
      </c>
      <c r="P53" s="140"/>
      <c r="Q53" s="147">
        <v>6305</v>
      </c>
      <c r="R53" s="147">
        <v>5500</v>
      </c>
      <c r="S53" s="140">
        <f t="shared" si="2"/>
        <v>805</v>
      </c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</row>
    <row r="54" spans="1:88" s="704" customFormat="1" ht="12.75" customHeight="1">
      <c r="A54" s="126" t="s">
        <v>52</v>
      </c>
      <c r="B54" s="164">
        <v>10631758</v>
      </c>
      <c r="C54" s="164">
        <v>6354530</v>
      </c>
      <c r="D54" s="164">
        <v>6091607.19</v>
      </c>
      <c r="E54" s="150">
        <f t="shared" si="23"/>
        <v>57.29633039051492</v>
      </c>
      <c r="F54" s="150">
        <f t="shared" si="24"/>
        <v>95.86243498732401</v>
      </c>
      <c r="G54" s="164">
        <f>D54-'[1]Jūnijs'!D54</f>
        <v>757796.9800000004</v>
      </c>
      <c r="H54" s="140"/>
      <c r="I54" s="126" t="s">
        <v>52</v>
      </c>
      <c r="J54" s="157">
        <f aca="true" t="shared" si="28" ref="J54:L55">ROUND(B54/1000,0)</f>
        <v>10632</v>
      </c>
      <c r="K54" s="157">
        <f t="shared" si="28"/>
        <v>6355</v>
      </c>
      <c r="L54" s="157">
        <f t="shared" si="28"/>
        <v>6092</v>
      </c>
      <c r="M54" s="158">
        <f t="shared" si="25"/>
        <v>57.2987208427389</v>
      </c>
      <c r="N54" s="158">
        <f t="shared" si="26"/>
        <v>95.86152635719905</v>
      </c>
      <c r="O54" s="157">
        <f>L54-'[1]Jūnijs'!L54</f>
        <v>758</v>
      </c>
      <c r="P54" s="140"/>
      <c r="Q54" s="157">
        <v>6092</v>
      </c>
      <c r="R54" s="157">
        <v>5334</v>
      </c>
      <c r="S54" s="140">
        <f t="shared" si="2"/>
        <v>758</v>
      </c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  <c r="CC54" s="140"/>
      <c r="CD54" s="140"/>
      <c r="CE54" s="140"/>
      <c r="CF54" s="140"/>
      <c r="CG54" s="140"/>
      <c r="CH54" s="140"/>
      <c r="CI54" s="140"/>
      <c r="CJ54" s="140"/>
    </row>
    <row r="55" spans="1:88" s="704" customFormat="1" ht="12.75" customHeight="1">
      <c r="A55" s="126" t="s">
        <v>53</v>
      </c>
      <c r="B55" s="164">
        <v>587210</v>
      </c>
      <c r="C55" s="164">
        <v>364412</v>
      </c>
      <c r="D55" s="164">
        <v>212677.66</v>
      </c>
      <c r="E55" s="150">
        <f t="shared" si="23"/>
        <v>36.21833075049812</v>
      </c>
      <c r="F55" s="150">
        <f t="shared" si="24"/>
        <v>58.361870629946324</v>
      </c>
      <c r="G55" s="164">
        <f>D55-'[1]Jūnijs'!D55</f>
        <v>46692.54000000001</v>
      </c>
      <c r="H55" s="140"/>
      <c r="I55" s="126" t="s">
        <v>53</v>
      </c>
      <c r="J55" s="157">
        <f t="shared" si="28"/>
        <v>587</v>
      </c>
      <c r="K55" s="157">
        <f t="shared" si="28"/>
        <v>364</v>
      </c>
      <c r="L55" s="157">
        <f t="shared" si="28"/>
        <v>213</v>
      </c>
      <c r="M55" s="158">
        <f t="shared" si="25"/>
        <v>36.28620102214651</v>
      </c>
      <c r="N55" s="158">
        <f t="shared" si="26"/>
        <v>58.51648351648352</v>
      </c>
      <c r="O55" s="157">
        <f>L55-'[1]Jūnijs'!L55</f>
        <v>47</v>
      </c>
      <c r="P55" s="140"/>
      <c r="Q55" s="157">
        <v>213</v>
      </c>
      <c r="R55" s="157">
        <v>166</v>
      </c>
      <c r="S55" s="140">
        <f t="shared" si="2"/>
        <v>47</v>
      </c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</row>
    <row r="56" spans="1:88" s="704" customFormat="1" ht="12.75" customHeight="1">
      <c r="A56" s="160" t="s">
        <v>67</v>
      </c>
      <c r="B56" s="164"/>
      <c r="C56" s="164"/>
      <c r="D56" s="164"/>
      <c r="E56" s="164"/>
      <c r="F56" s="164"/>
      <c r="G56" s="164"/>
      <c r="H56" s="140"/>
      <c r="I56" s="160" t="s">
        <v>68</v>
      </c>
      <c r="J56" s="164"/>
      <c r="K56" s="164"/>
      <c r="L56" s="164"/>
      <c r="M56" s="158"/>
      <c r="N56" s="158"/>
      <c r="O56" s="164"/>
      <c r="P56" s="140"/>
      <c r="Q56" s="164"/>
      <c r="R56" s="164"/>
      <c r="S56" s="140">
        <f t="shared" si="2"/>
        <v>0</v>
      </c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0"/>
      <c r="CH56" s="140"/>
      <c r="CI56" s="140"/>
      <c r="CJ56" s="140"/>
    </row>
    <row r="57" spans="1:88" s="704" customFormat="1" ht="12.75" customHeight="1">
      <c r="A57" s="154" t="s">
        <v>46</v>
      </c>
      <c r="B57" s="164">
        <f>SUM(B58:B61)</f>
        <v>10882637</v>
      </c>
      <c r="C57" s="166">
        <f>SUM(C58:C61)</f>
        <v>6306650</v>
      </c>
      <c r="D57" s="166">
        <f>SUM(D58:D61)</f>
        <v>4982946.95</v>
      </c>
      <c r="E57" s="149">
        <f aca="true" t="shared" si="29" ref="E57:E64">IF(ISERROR(D57/B57)," ",(D57/B57))*100</f>
        <v>45.78804705146372</v>
      </c>
      <c r="F57" s="149">
        <f aca="true" t="shared" si="30" ref="F57:F63">IF(ISERROR(D57/C57)," ",(D57/C57))*100</f>
        <v>79.01099553645756</v>
      </c>
      <c r="G57" s="166">
        <f>SUM(G58:G61)</f>
        <v>1907399.75</v>
      </c>
      <c r="H57" s="140"/>
      <c r="I57" s="154" t="s">
        <v>46</v>
      </c>
      <c r="J57" s="147">
        <f>J58+J59+J60+J61</f>
        <v>10882</v>
      </c>
      <c r="K57" s="147">
        <f>K58+K59+K60+K61</f>
        <v>6306</v>
      </c>
      <c r="L57" s="147">
        <f>L58+L59+L60+L61</f>
        <v>4981</v>
      </c>
      <c r="M57" s="156">
        <f aca="true" t="shared" si="31" ref="M57:M64">L57/J57*100</f>
        <v>45.77283587575813</v>
      </c>
      <c r="N57" s="156">
        <f aca="true" t="shared" si="32" ref="N57:N64">L57/K57*100</f>
        <v>78.98826514430701</v>
      </c>
      <c r="O57" s="147">
        <f>SUM(O58:O61)</f>
        <v>1905</v>
      </c>
      <c r="P57" s="140"/>
      <c r="Q57" s="147">
        <v>4981</v>
      </c>
      <c r="R57" s="147">
        <v>3076</v>
      </c>
      <c r="S57" s="140">
        <f t="shared" si="2"/>
        <v>1905</v>
      </c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  <c r="CC57" s="140"/>
      <c r="CD57" s="140"/>
      <c r="CE57" s="140"/>
      <c r="CF57" s="140"/>
      <c r="CG57" s="140"/>
      <c r="CH57" s="140"/>
      <c r="CI57" s="140"/>
      <c r="CJ57" s="140"/>
    </row>
    <row r="58" spans="1:88" s="704" customFormat="1" ht="12.75" customHeight="1">
      <c r="A58" s="154" t="s">
        <v>47</v>
      </c>
      <c r="B58" s="164">
        <v>6323187</v>
      </c>
      <c r="C58" s="164">
        <v>4055219</v>
      </c>
      <c r="D58" s="164">
        <v>4055219</v>
      </c>
      <c r="E58" s="150">
        <f t="shared" si="29"/>
        <v>64.13251735240473</v>
      </c>
      <c r="F58" s="150">
        <f t="shared" si="30"/>
        <v>100</v>
      </c>
      <c r="G58" s="164">
        <f>D58-'[1]Jūnijs'!D58</f>
        <v>1747602</v>
      </c>
      <c r="H58" s="140"/>
      <c r="I58" s="154" t="s">
        <v>47</v>
      </c>
      <c r="J58" s="157">
        <f>ROUND(B58/1000,0)</f>
        <v>6323</v>
      </c>
      <c r="K58" s="157">
        <f aca="true" t="shared" si="33" ref="K58:L61">ROUND(C58/1000,0)</f>
        <v>4055</v>
      </c>
      <c r="L58" s="157">
        <f t="shared" si="33"/>
        <v>4055</v>
      </c>
      <c r="M58" s="158">
        <f t="shared" si="31"/>
        <v>64.13095049818124</v>
      </c>
      <c r="N58" s="158">
        <f t="shared" si="32"/>
        <v>100</v>
      </c>
      <c r="O58" s="157">
        <f>L58-'[1]Jūnijs'!L58</f>
        <v>1747</v>
      </c>
      <c r="P58" s="140"/>
      <c r="Q58" s="157">
        <v>4055</v>
      </c>
      <c r="R58" s="157">
        <v>2308</v>
      </c>
      <c r="S58" s="140">
        <f t="shared" si="2"/>
        <v>1747</v>
      </c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  <c r="CC58" s="140"/>
      <c r="CD58" s="140"/>
      <c r="CE58" s="140"/>
      <c r="CF58" s="140"/>
      <c r="CG58" s="140"/>
      <c r="CH58" s="140"/>
      <c r="CI58" s="140"/>
      <c r="CJ58" s="140"/>
    </row>
    <row r="59" spans="1:88" s="704" customFormat="1" ht="12.75" customHeight="1">
      <c r="A59" s="154" t="s">
        <v>48</v>
      </c>
      <c r="B59" s="164">
        <v>12122</v>
      </c>
      <c r="C59" s="164">
        <v>12122</v>
      </c>
      <c r="D59" s="164">
        <v>11722.22</v>
      </c>
      <c r="E59" s="150">
        <f t="shared" si="29"/>
        <v>96.70202936809108</v>
      </c>
      <c r="F59" s="150">
        <f t="shared" si="30"/>
        <v>96.70202936809108</v>
      </c>
      <c r="G59" s="164">
        <f>D59-'[1]Jūnijs'!D59</f>
        <v>0</v>
      </c>
      <c r="H59" s="140"/>
      <c r="I59" s="154" t="s">
        <v>48</v>
      </c>
      <c r="J59" s="157">
        <f>ROUND(B59/1000,0)</f>
        <v>12</v>
      </c>
      <c r="K59" s="157">
        <f t="shared" si="33"/>
        <v>12</v>
      </c>
      <c r="L59" s="157">
        <f>ROUND(D59/1000,0)-1</f>
        <v>11</v>
      </c>
      <c r="M59" s="158">
        <f t="shared" si="31"/>
        <v>91.66666666666666</v>
      </c>
      <c r="N59" s="158">
        <f t="shared" si="32"/>
        <v>91.66666666666666</v>
      </c>
      <c r="O59" s="157">
        <f>L59-'[1]Jūnijs'!L59</f>
        <v>-1</v>
      </c>
      <c r="P59" s="140"/>
      <c r="Q59" s="157">
        <v>11</v>
      </c>
      <c r="R59" s="157">
        <v>12</v>
      </c>
      <c r="S59" s="140">
        <f t="shared" si="2"/>
        <v>-1</v>
      </c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0"/>
      <c r="AL59" s="140"/>
      <c r="AM59" s="140"/>
      <c r="AN59" s="140"/>
      <c r="AO59" s="140"/>
      <c r="AP59" s="140"/>
      <c r="AQ59" s="140"/>
      <c r="AR59" s="140"/>
      <c r="AS59" s="140"/>
      <c r="AT59" s="140"/>
      <c r="AU59" s="140"/>
      <c r="AV59" s="140"/>
      <c r="AW59" s="140"/>
      <c r="AX59" s="140"/>
      <c r="AY59" s="140"/>
      <c r="AZ59" s="140"/>
      <c r="BA59" s="140"/>
      <c r="BB59" s="140"/>
      <c r="BC59" s="140"/>
      <c r="BD59" s="140"/>
      <c r="BE59" s="140"/>
      <c r="BF59" s="140"/>
      <c r="BG59" s="140"/>
      <c r="BH59" s="140"/>
      <c r="BI59" s="140"/>
      <c r="BJ59" s="140"/>
      <c r="BK59" s="140"/>
      <c r="BL59" s="140"/>
      <c r="BM59" s="140"/>
      <c r="BN59" s="140"/>
      <c r="BO59" s="140"/>
      <c r="BP59" s="140"/>
      <c r="BQ59" s="140"/>
      <c r="BR59" s="140"/>
      <c r="BS59" s="140"/>
      <c r="BT59" s="140"/>
      <c r="BU59" s="140"/>
      <c r="BV59" s="140"/>
      <c r="BW59" s="140"/>
      <c r="BX59" s="140"/>
      <c r="BY59" s="140"/>
      <c r="BZ59" s="140"/>
      <c r="CA59" s="140"/>
      <c r="CB59" s="140"/>
      <c r="CC59" s="140"/>
      <c r="CD59" s="140"/>
      <c r="CE59" s="140"/>
      <c r="CF59" s="140"/>
      <c r="CG59" s="140"/>
      <c r="CH59" s="140"/>
      <c r="CI59" s="140"/>
      <c r="CJ59" s="140"/>
    </row>
    <row r="60" spans="1:88" s="704" customFormat="1" ht="12.75" customHeight="1">
      <c r="A60" s="154" t="s">
        <v>49</v>
      </c>
      <c r="B60" s="164">
        <v>1444942</v>
      </c>
      <c r="C60" s="164">
        <v>338919</v>
      </c>
      <c r="D60" s="164">
        <v>308855.73</v>
      </c>
      <c r="E60" s="150">
        <f t="shared" si="29"/>
        <v>21.37495691868601</v>
      </c>
      <c r="F60" s="150">
        <f t="shared" si="30"/>
        <v>91.12965929912457</v>
      </c>
      <c r="G60" s="164">
        <f>D60-'[1]Jūnijs'!D60</f>
        <v>21445.75</v>
      </c>
      <c r="H60" s="140"/>
      <c r="I60" s="154" t="s">
        <v>49</v>
      </c>
      <c r="J60" s="157">
        <f>ROUND(B60/1000,0)</f>
        <v>1445</v>
      </c>
      <c r="K60" s="157">
        <f t="shared" si="33"/>
        <v>339</v>
      </c>
      <c r="L60" s="157">
        <f t="shared" si="33"/>
        <v>309</v>
      </c>
      <c r="M60" s="158">
        <f t="shared" si="31"/>
        <v>21.3840830449827</v>
      </c>
      <c r="N60" s="158">
        <f t="shared" si="32"/>
        <v>91.1504424778761</v>
      </c>
      <c r="O60" s="157">
        <f>L60-'[1]Jūnijs'!L60</f>
        <v>22</v>
      </c>
      <c r="P60" s="140"/>
      <c r="Q60" s="157">
        <v>309</v>
      </c>
      <c r="R60" s="157">
        <v>287</v>
      </c>
      <c r="S60" s="140">
        <f t="shared" si="2"/>
        <v>22</v>
      </c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</row>
    <row r="61" spans="1:88" s="704" customFormat="1" ht="12.75" customHeight="1">
      <c r="A61" s="154" t="s">
        <v>50</v>
      </c>
      <c r="B61" s="164">
        <v>3102386</v>
      </c>
      <c r="C61" s="164">
        <v>1900390</v>
      </c>
      <c r="D61" s="164">
        <v>607150</v>
      </c>
      <c r="E61" s="150">
        <f t="shared" si="29"/>
        <v>19.57042095986766</v>
      </c>
      <c r="F61" s="150">
        <f t="shared" si="30"/>
        <v>31.94870526576124</v>
      </c>
      <c r="G61" s="164">
        <f>D61-'[1]Jūnijs'!D61</f>
        <v>138352</v>
      </c>
      <c r="H61" s="140"/>
      <c r="I61" s="154" t="s">
        <v>50</v>
      </c>
      <c r="J61" s="157">
        <f>ROUND(B61/1000,0)</f>
        <v>3102</v>
      </c>
      <c r="K61" s="157">
        <f t="shared" si="33"/>
        <v>1900</v>
      </c>
      <c r="L61" s="157">
        <f>ROUND(D61/1000,0)-1</f>
        <v>606</v>
      </c>
      <c r="M61" s="158">
        <f t="shared" si="31"/>
        <v>19.535783365570598</v>
      </c>
      <c r="N61" s="158">
        <f t="shared" si="32"/>
        <v>31.894736842105264</v>
      </c>
      <c r="O61" s="157">
        <f>L61-'[1]Jūnijs'!L61</f>
        <v>137</v>
      </c>
      <c r="P61" s="140"/>
      <c r="Q61" s="157">
        <v>606</v>
      </c>
      <c r="R61" s="157">
        <v>469</v>
      </c>
      <c r="S61" s="140">
        <f t="shared" si="2"/>
        <v>137</v>
      </c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  <c r="CC61" s="140"/>
      <c r="CD61" s="140"/>
      <c r="CE61" s="140"/>
      <c r="CF61" s="140"/>
      <c r="CG61" s="140"/>
      <c r="CH61" s="140"/>
      <c r="CI61" s="140"/>
      <c r="CJ61" s="140"/>
    </row>
    <row r="62" spans="1:88" s="704" customFormat="1" ht="12.75" customHeight="1">
      <c r="A62" s="160" t="s">
        <v>51</v>
      </c>
      <c r="B62" s="166">
        <f>SUM(B63:B64)</f>
        <v>10967003</v>
      </c>
      <c r="C62" s="166">
        <f>SUM(C63:C64)</f>
        <v>6309956</v>
      </c>
      <c r="D62" s="166">
        <f>SUM(D63:D64)</f>
        <v>3445730.03</v>
      </c>
      <c r="E62" s="150">
        <f t="shared" si="29"/>
        <v>31.419067086969882</v>
      </c>
      <c r="F62" s="150">
        <f t="shared" si="30"/>
        <v>54.60782975348798</v>
      </c>
      <c r="G62" s="166">
        <f>SUM(G63:G64)</f>
        <v>475530.6099999999</v>
      </c>
      <c r="H62" s="140"/>
      <c r="I62" s="160" t="s">
        <v>51</v>
      </c>
      <c r="J62" s="147">
        <f>J63+J64</f>
        <v>10967</v>
      </c>
      <c r="K62" s="147">
        <f>K63+K64</f>
        <v>6310</v>
      </c>
      <c r="L62" s="147">
        <f>L63+L64</f>
        <v>3446</v>
      </c>
      <c r="M62" s="156">
        <f t="shared" si="31"/>
        <v>31.4215373392906</v>
      </c>
      <c r="N62" s="156">
        <f t="shared" si="32"/>
        <v>54.61172741679873</v>
      </c>
      <c r="O62" s="147">
        <f>SUM(O63:O64)</f>
        <v>476</v>
      </c>
      <c r="P62" s="140"/>
      <c r="Q62" s="147">
        <v>3446</v>
      </c>
      <c r="R62" s="147">
        <v>2970</v>
      </c>
      <c r="S62" s="140">
        <f t="shared" si="2"/>
        <v>476</v>
      </c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  <c r="CC62" s="140"/>
      <c r="CD62" s="140"/>
      <c r="CE62" s="140"/>
      <c r="CF62" s="140"/>
      <c r="CG62" s="140"/>
      <c r="CH62" s="140"/>
      <c r="CI62" s="140"/>
      <c r="CJ62" s="140"/>
    </row>
    <row r="63" spans="1:88" s="704" customFormat="1" ht="12.75" customHeight="1">
      <c r="A63" s="162" t="s">
        <v>52</v>
      </c>
      <c r="B63" s="164">
        <v>10381097</v>
      </c>
      <c r="C63" s="164">
        <v>5959126</v>
      </c>
      <c r="D63" s="164">
        <v>3310502.36</v>
      </c>
      <c r="E63" s="150">
        <f t="shared" si="29"/>
        <v>31.889716086845155</v>
      </c>
      <c r="F63" s="150">
        <f t="shared" si="30"/>
        <v>55.55348821286879</v>
      </c>
      <c r="G63" s="164">
        <f>D63-'[1]Jūnijs'!D63</f>
        <v>441351.6499999999</v>
      </c>
      <c r="H63" s="140"/>
      <c r="I63" s="162" t="s">
        <v>52</v>
      </c>
      <c r="J63" s="157">
        <f aca="true" t="shared" si="34" ref="J63:L64">ROUND(B63/1000,0)</f>
        <v>10381</v>
      </c>
      <c r="K63" s="157">
        <f t="shared" si="34"/>
        <v>5959</v>
      </c>
      <c r="L63" s="157">
        <f t="shared" si="34"/>
        <v>3311</v>
      </c>
      <c r="M63" s="158">
        <f t="shared" si="31"/>
        <v>31.894807821982468</v>
      </c>
      <c r="N63" s="158">
        <f t="shared" si="32"/>
        <v>55.563013928511495</v>
      </c>
      <c r="O63" s="157">
        <f>L63-'[1]Jūnijs'!L63</f>
        <v>442</v>
      </c>
      <c r="P63" s="140"/>
      <c r="Q63" s="157">
        <v>3311</v>
      </c>
      <c r="R63" s="157">
        <v>2869</v>
      </c>
      <c r="S63" s="140">
        <f t="shared" si="2"/>
        <v>442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</row>
    <row r="64" spans="1:88" s="704" customFormat="1" ht="12.75" customHeight="1">
      <c r="A64" s="162" t="s">
        <v>53</v>
      </c>
      <c r="B64" s="164">
        <v>585906</v>
      </c>
      <c r="C64" s="164">
        <v>350830</v>
      </c>
      <c r="D64" s="164">
        <v>135227.67</v>
      </c>
      <c r="E64" s="150">
        <f t="shared" si="29"/>
        <v>23.080096465986013</v>
      </c>
      <c r="F64" s="150"/>
      <c r="G64" s="164">
        <f>D64-'[1]Jūnijs'!D64</f>
        <v>34178.96000000001</v>
      </c>
      <c r="H64" s="140"/>
      <c r="I64" s="162" t="s">
        <v>53</v>
      </c>
      <c r="J64" s="157">
        <f t="shared" si="34"/>
        <v>586</v>
      </c>
      <c r="K64" s="157">
        <f t="shared" si="34"/>
        <v>351</v>
      </c>
      <c r="L64" s="157">
        <f t="shared" si="34"/>
        <v>135</v>
      </c>
      <c r="M64" s="158">
        <f t="shared" si="31"/>
        <v>23.037542662116042</v>
      </c>
      <c r="N64" s="158">
        <f t="shared" si="32"/>
        <v>38.46153846153847</v>
      </c>
      <c r="O64" s="157">
        <f>L64-'[1]Jūnijs'!L64</f>
        <v>34</v>
      </c>
      <c r="P64" s="140"/>
      <c r="Q64" s="157">
        <v>135</v>
      </c>
      <c r="R64" s="157">
        <v>101</v>
      </c>
      <c r="S64" s="140">
        <f t="shared" si="2"/>
        <v>34</v>
      </c>
      <c r="T64" s="140"/>
      <c r="U64" s="140"/>
      <c r="V64" s="140"/>
      <c r="W64" s="140"/>
      <c r="X64" s="140"/>
      <c r="Y64" s="140"/>
      <c r="Z64" s="140"/>
      <c r="AA64" s="140"/>
      <c r="AB64" s="140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A64" s="140"/>
      <c r="BB64" s="140"/>
      <c r="BC64" s="140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  <c r="CB64" s="140"/>
      <c r="CC64" s="140"/>
      <c r="CD64" s="140"/>
      <c r="CE64" s="140"/>
      <c r="CF64" s="140"/>
      <c r="CG64" s="140"/>
      <c r="CH64" s="140"/>
      <c r="CI64" s="140"/>
      <c r="CJ64" s="140"/>
    </row>
    <row r="65" spans="1:88" s="704" customFormat="1" ht="12.75" customHeight="1">
      <c r="A65" s="160" t="s">
        <v>69</v>
      </c>
      <c r="B65" s="164"/>
      <c r="C65" s="164"/>
      <c r="D65" s="164"/>
      <c r="E65" s="164"/>
      <c r="F65" s="164"/>
      <c r="G65" s="164"/>
      <c r="H65" s="140"/>
      <c r="I65" s="160" t="s">
        <v>70</v>
      </c>
      <c r="J65" s="164"/>
      <c r="K65" s="164"/>
      <c r="L65" s="164"/>
      <c r="M65" s="158"/>
      <c r="N65" s="158"/>
      <c r="O65" s="164"/>
      <c r="P65" s="140"/>
      <c r="Q65" s="164"/>
      <c r="R65" s="164"/>
      <c r="S65" s="140">
        <f t="shared" si="2"/>
        <v>0</v>
      </c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</row>
    <row r="66" spans="1:88" s="704" customFormat="1" ht="12.75" customHeight="1">
      <c r="A66" s="154" t="s">
        <v>46</v>
      </c>
      <c r="B66" s="164">
        <f>SUM(B67:B70)</f>
        <v>97190095</v>
      </c>
      <c r="C66" s="166">
        <f>SUM(C67:C70)</f>
        <v>58022798</v>
      </c>
      <c r="D66" s="166">
        <f>SUM(D67:D70)</f>
        <v>57209347.83</v>
      </c>
      <c r="E66" s="149">
        <f aca="true" t="shared" si="35" ref="E66:E73">IF(ISERROR(D66/B66)," ",(D66/B66))*100</f>
        <v>58.86335210393611</v>
      </c>
      <c r="F66" s="149">
        <f aca="true" t="shared" si="36" ref="F66:F73">IF(ISERROR(D66/C66)," ",(D66/C66))*100</f>
        <v>98.59805076963025</v>
      </c>
      <c r="G66" s="166">
        <f>SUM(G67:G70)</f>
        <v>9544395.57</v>
      </c>
      <c r="H66" s="140"/>
      <c r="I66" s="154" t="s">
        <v>46</v>
      </c>
      <c r="J66" s="147">
        <f>J67+J68+J69+J70</f>
        <v>97190</v>
      </c>
      <c r="K66" s="147">
        <f>K67+K68+K69+K70</f>
        <v>58022</v>
      </c>
      <c r="L66" s="147">
        <f>L67+L68+L69+L70</f>
        <v>57209</v>
      </c>
      <c r="M66" s="156">
        <f aca="true" t="shared" si="37" ref="M66:M75">L66/J66*100</f>
        <v>58.86305175429571</v>
      </c>
      <c r="N66" s="156">
        <f aca="true" t="shared" si="38" ref="N66:N73">L66/K66*100</f>
        <v>98.59880734893662</v>
      </c>
      <c r="O66" s="147">
        <f>SUM(O67:O70)</f>
        <v>9543</v>
      </c>
      <c r="P66" s="140"/>
      <c r="Q66" s="147">
        <v>57209</v>
      </c>
      <c r="R66" s="147">
        <v>47666</v>
      </c>
      <c r="S66" s="140">
        <f t="shared" si="2"/>
        <v>9543</v>
      </c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  <c r="CC66" s="140"/>
      <c r="CD66" s="140"/>
      <c r="CE66" s="140"/>
      <c r="CF66" s="140"/>
      <c r="CG66" s="140"/>
      <c r="CH66" s="140"/>
      <c r="CI66" s="140"/>
      <c r="CJ66" s="140"/>
    </row>
    <row r="67" spans="1:88" s="704" customFormat="1" ht="12.75" customHeight="1">
      <c r="A67" s="154" t="s">
        <v>47</v>
      </c>
      <c r="B67" s="164">
        <v>88620314</v>
      </c>
      <c r="C67" s="164">
        <v>53622958</v>
      </c>
      <c r="D67" s="164">
        <v>53622958</v>
      </c>
      <c r="E67" s="150">
        <f>IF(ISERROR(D67/B67)," ",(D67/B67))*100</f>
        <v>60.50865267753396</v>
      </c>
      <c r="F67" s="150">
        <f>IF(ISERROR(D67/C67)," ",(D67/C67))*100</f>
        <v>100</v>
      </c>
      <c r="G67" s="164">
        <f>D67-'[1]Jūnijs'!D67</f>
        <v>9188345</v>
      </c>
      <c r="H67" s="140"/>
      <c r="I67" s="154" t="s">
        <v>47</v>
      </c>
      <c r="J67" s="157">
        <f aca="true" t="shared" si="39" ref="J67:L69">ROUND(B67/1000,0)</f>
        <v>88620</v>
      </c>
      <c r="K67" s="157">
        <f t="shared" si="39"/>
        <v>53623</v>
      </c>
      <c r="L67" s="157">
        <f t="shared" si="39"/>
        <v>53623</v>
      </c>
      <c r="M67" s="158">
        <f t="shared" si="37"/>
        <v>60.508914466260435</v>
      </c>
      <c r="N67" s="158">
        <f t="shared" si="38"/>
        <v>100</v>
      </c>
      <c r="O67" s="157">
        <f>L67-'[1]Jūnijs'!L67</f>
        <v>9188</v>
      </c>
      <c r="P67" s="140"/>
      <c r="Q67" s="157">
        <v>53623</v>
      </c>
      <c r="R67" s="157">
        <v>44435</v>
      </c>
      <c r="S67" s="140">
        <f t="shared" si="2"/>
        <v>9188</v>
      </c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</row>
    <row r="68" spans="1:88" s="704" customFormat="1" ht="12.75" customHeight="1">
      <c r="A68" s="154" t="s">
        <v>48</v>
      </c>
      <c r="B68" s="164">
        <v>1033000</v>
      </c>
      <c r="C68" s="164">
        <v>438371</v>
      </c>
      <c r="D68" s="164">
        <v>339801.05</v>
      </c>
      <c r="E68" s="150">
        <f t="shared" si="35"/>
        <v>32.894583736689256</v>
      </c>
      <c r="F68" s="150">
        <f t="shared" si="36"/>
        <v>77.51449115019014</v>
      </c>
      <c r="G68" s="164">
        <f>D68-'[1]Jūnijs'!D68</f>
        <v>64154.97999999998</v>
      </c>
      <c r="H68" s="140"/>
      <c r="I68" s="154" t="s">
        <v>48</v>
      </c>
      <c r="J68" s="157">
        <f t="shared" si="39"/>
        <v>1033</v>
      </c>
      <c r="K68" s="157">
        <f t="shared" si="39"/>
        <v>438</v>
      </c>
      <c r="L68" s="157">
        <f t="shared" si="39"/>
        <v>340</v>
      </c>
      <c r="M68" s="158">
        <f t="shared" si="37"/>
        <v>32.91384317521781</v>
      </c>
      <c r="N68" s="158">
        <f t="shared" si="38"/>
        <v>77.6255707762557</v>
      </c>
      <c r="O68" s="157">
        <f>L68-'[1]Jūnijs'!L68</f>
        <v>64</v>
      </c>
      <c r="P68" s="140"/>
      <c r="Q68" s="157">
        <v>340</v>
      </c>
      <c r="R68" s="157">
        <v>276</v>
      </c>
      <c r="S68" s="140">
        <f t="shared" si="2"/>
        <v>64</v>
      </c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  <c r="CC68" s="140"/>
      <c r="CD68" s="140"/>
      <c r="CE68" s="140"/>
      <c r="CF68" s="140"/>
      <c r="CG68" s="140"/>
      <c r="CH68" s="140"/>
      <c r="CI68" s="140"/>
      <c r="CJ68" s="140"/>
    </row>
    <row r="69" spans="1:88" s="704" customFormat="1" ht="12.75" customHeight="1">
      <c r="A69" s="154" t="s">
        <v>49</v>
      </c>
      <c r="B69" s="164">
        <v>4507801</v>
      </c>
      <c r="C69" s="164">
        <v>2480771</v>
      </c>
      <c r="D69" s="164">
        <v>2380482.78</v>
      </c>
      <c r="E69" s="150">
        <f t="shared" si="35"/>
        <v>52.80807160742012</v>
      </c>
      <c r="F69" s="150">
        <f t="shared" si="36"/>
        <v>95.95737696063038</v>
      </c>
      <c r="G69" s="164">
        <f>D69-'[1]Jūnijs'!D69</f>
        <v>283883.58999999985</v>
      </c>
      <c r="H69" s="140"/>
      <c r="I69" s="154" t="s">
        <v>49</v>
      </c>
      <c r="J69" s="157">
        <f t="shared" si="39"/>
        <v>4508</v>
      </c>
      <c r="K69" s="157">
        <f t="shared" si="39"/>
        <v>2481</v>
      </c>
      <c r="L69" s="157">
        <f t="shared" si="39"/>
        <v>2380</v>
      </c>
      <c r="M69" s="158">
        <f t="shared" si="37"/>
        <v>52.79503105590062</v>
      </c>
      <c r="N69" s="158">
        <f t="shared" si="38"/>
        <v>95.92906086255543</v>
      </c>
      <c r="O69" s="157">
        <f>L69-'[1]Jūnijs'!L69</f>
        <v>283</v>
      </c>
      <c r="P69" s="140"/>
      <c r="Q69" s="157">
        <v>2380</v>
      </c>
      <c r="R69" s="157">
        <v>2097</v>
      </c>
      <c r="S69" s="140">
        <f t="shared" si="2"/>
        <v>283</v>
      </c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0"/>
      <c r="AV69" s="140"/>
      <c r="AW69" s="140"/>
      <c r="AX69" s="140"/>
      <c r="AY69" s="140"/>
      <c r="AZ69" s="140"/>
      <c r="BA69" s="140"/>
      <c r="BB69" s="140"/>
      <c r="BC69" s="140"/>
      <c r="BD69" s="140"/>
      <c r="BE69" s="140"/>
      <c r="BF69" s="140"/>
      <c r="BG69" s="140"/>
      <c r="BH69" s="140"/>
      <c r="BI69" s="140"/>
      <c r="BJ69" s="140"/>
      <c r="BK69" s="140"/>
      <c r="BL69" s="140"/>
      <c r="BM69" s="140"/>
      <c r="BN69" s="140"/>
      <c r="BO69" s="140"/>
      <c r="BP69" s="140"/>
      <c r="BQ69" s="140"/>
      <c r="BR69" s="140"/>
      <c r="BS69" s="140"/>
      <c r="BT69" s="140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</row>
    <row r="70" spans="1:88" s="704" customFormat="1" ht="12.75" customHeight="1">
      <c r="A70" s="154" t="s">
        <v>50</v>
      </c>
      <c r="B70" s="164">
        <v>3028980</v>
      </c>
      <c r="C70" s="164">
        <v>1480698</v>
      </c>
      <c r="D70" s="164">
        <v>866106</v>
      </c>
      <c r="E70" s="150">
        <f t="shared" si="35"/>
        <v>28.593982132599095</v>
      </c>
      <c r="F70" s="150">
        <f t="shared" si="36"/>
        <v>58.493089070154745</v>
      </c>
      <c r="G70" s="164">
        <f>D70-'[1]Jūnijs'!D70</f>
        <v>8012</v>
      </c>
      <c r="H70" s="140"/>
      <c r="I70" s="154" t="s">
        <v>50</v>
      </c>
      <c r="J70" s="157">
        <f>ROUND(B70/1000,0)</f>
        <v>3029</v>
      </c>
      <c r="K70" s="157">
        <f>ROUND(C70/1000,0)-1</f>
        <v>1480</v>
      </c>
      <c r="L70" s="157">
        <f>ROUND(D70/1000,0)</f>
        <v>866</v>
      </c>
      <c r="M70" s="158">
        <f t="shared" si="37"/>
        <v>28.59029382634533</v>
      </c>
      <c r="N70" s="158">
        <f t="shared" si="38"/>
        <v>58.513513513513516</v>
      </c>
      <c r="O70" s="157">
        <f>L70-'[1]Jūnijs'!L70</f>
        <v>8</v>
      </c>
      <c r="P70" s="140"/>
      <c r="Q70" s="157">
        <v>866</v>
      </c>
      <c r="R70" s="157">
        <v>858</v>
      </c>
      <c r="S70" s="140">
        <f t="shared" si="2"/>
        <v>8</v>
      </c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0"/>
      <c r="BT70" s="140"/>
      <c r="BU70" s="140"/>
      <c r="BV70" s="140"/>
      <c r="BW70" s="140"/>
      <c r="BX70" s="140"/>
      <c r="BY70" s="140"/>
      <c r="BZ70" s="140"/>
      <c r="CA70" s="140"/>
      <c r="CB70" s="140"/>
      <c r="CC70" s="140"/>
      <c r="CD70" s="140"/>
      <c r="CE70" s="140"/>
      <c r="CF70" s="140"/>
      <c r="CG70" s="140"/>
      <c r="CH70" s="140"/>
      <c r="CI70" s="140"/>
      <c r="CJ70" s="140"/>
    </row>
    <row r="71" spans="1:88" s="704" customFormat="1" ht="12.75" customHeight="1">
      <c r="A71" s="160" t="s">
        <v>51</v>
      </c>
      <c r="B71" s="166">
        <f>SUM(B72:B73)</f>
        <v>97287095</v>
      </c>
      <c r="C71" s="166">
        <f>SUM(C72:C73)</f>
        <v>58117488</v>
      </c>
      <c r="D71" s="166">
        <f>SUM(D72:D73)</f>
        <v>54953983.92</v>
      </c>
      <c r="E71" s="150">
        <f t="shared" si="35"/>
        <v>56.48640646531794</v>
      </c>
      <c r="F71" s="150">
        <f t="shared" si="36"/>
        <v>94.55670885155945</v>
      </c>
      <c r="G71" s="166">
        <f>SUM(G72:G73)</f>
        <v>8988143.209999999</v>
      </c>
      <c r="H71" s="140"/>
      <c r="I71" s="160" t="s">
        <v>51</v>
      </c>
      <c r="J71" s="147">
        <f>J72+J73</f>
        <v>97288</v>
      </c>
      <c r="K71" s="147">
        <f>K72+K73</f>
        <v>58118</v>
      </c>
      <c r="L71" s="147">
        <f>L72+L73</f>
        <v>54954</v>
      </c>
      <c r="M71" s="156">
        <f t="shared" si="37"/>
        <v>56.48589754132062</v>
      </c>
      <c r="N71" s="156">
        <f t="shared" si="38"/>
        <v>94.55590350665886</v>
      </c>
      <c r="O71" s="147">
        <f>SUM(O72:O73)</f>
        <v>8988</v>
      </c>
      <c r="P71" s="167"/>
      <c r="Q71" s="147">
        <v>54954</v>
      </c>
      <c r="R71" s="147">
        <v>45966</v>
      </c>
      <c r="S71" s="140">
        <f t="shared" si="2"/>
        <v>8988</v>
      </c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40"/>
      <c r="BH71" s="140"/>
      <c r="BI71" s="140"/>
      <c r="BJ71" s="140"/>
      <c r="BK71" s="140"/>
      <c r="BL71" s="140"/>
      <c r="BM71" s="140"/>
      <c r="BN71" s="140"/>
      <c r="BO71" s="140"/>
      <c r="BP71" s="140"/>
      <c r="BQ71" s="140"/>
      <c r="BR71" s="140"/>
      <c r="BS71" s="140"/>
      <c r="BT71" s="140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</row>
    <row r="72" spans="1:88" s="704" customFormat="1" ht="12.75" customHeight="1">
      <c r="A72" s="162" t="s">
        <v>52</v>
      </c>
      <c r="B72" s="164">
        <v>90113100</v>
      </c>
      <c r="C72" s="164">
        <v>54194887</v>
      </c>
      <c r="D72" s="164">
        <v>51753424.26</v>
      </c>
      <c r="E72" s="150">
        <f t="shared" si="35"/>
        <v>57.431632315390324</v>
      </c>
      <c r="F72" s="150">
        <f t="shared" si="36"/>
        <v>95.49503121945803</v>
      </c>
      <c r="G72" s="164">
        <f>D72-'[1]Jūnijs'!D72</f>
        <v>8759362.719999999</v>
      </c>
      <c r="H72" s="140"/>
      <c r="I72" s="162" t="s">
        <v>52</v>
      </c>
      <c r="J72" s="157">
        <f>ROUND(B72/1000,0)</f>
        <v>90113</v>
      </c>
      <c r="K72" s="157">
        <f aca="true" t="shared" si="40" ref="K72:L74">ROUND(C72/1000,0)</f>
        <v>54195</v>
      </c>
      <c r="L72" s="157">
        <f t="shared" si="40"/>
        <v>51753</v>
      </c>
      <c r="M72" s="158">
        <f t="shared" si="37"/>
        <v>57.431225239421615</v>
      </c>
      <c r="N72" s="158">
        <f t="shared" si="38"/>
        <v>95.4940492665375</v>
      </c>
      <c r="O72" s="157">
        <f>L72-'[1]Jūnijs'!L72</f>
        <v>8759</v>
      </c>
      <c r="P72" s="140"/>
      <c r="Q72" s="157">
        <v>51753</v>
      </c>
      <c r="R72" s="157">
        <v>42994</v>
      </c>
      <c r="S72" s="140">
        <f t="shared" si="2"/>
        <v>8759</v>
      </c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  <c r="CB72" s="140"/>
      <c r="CC72" s="140"/>
      <c r="CD72" s="140"/>
      <c r="CE72" s="140"/>
      <c r="CF72" s="140"/>
      <c r="CG72" s="140"/>
      <c r="CH72" s="140"/>
      <c r="CI72" s="140"/>
      <c r="CJ72" s="140"/>
    </row>
    <row r="73" spans="1:88" s="704" customFormat="1" ht="12.75" customHeight="1">
      <c r="A73" s="162" t="s">
        <v>53</v>
      </c>
      <c r="B73" s="164">
        <v>7173995</v>
      </c>
      <c r="C73" s="164">
        <v>3922601</v>
      </c>
      <c r="D73" s="164">
        <v>3200559.66</v>
      </c>
      <c r="E73" s="150">
        <f t="shared" si="35"/>
        <v>44.61335225352123</v>
      </c>
      <c r="F73" s="150">
        <f t="shared" si="36"/>
        <v>81.59279161964218</v>
      </c>
      <c r="G73" s="164">
        <f>D73-'[1]Jūnijs'!D73</f>
        <v>228780.49000000022</v>
      </c>
      <c r="H73" s="140"/>
      <c r="I73" s="162" t="s">
        <v>53</v>
      </c>
      <c r="J73" s="157">
        <f>ROUND(B73/1000,0)+1</f>
        <v>7175</v>
      </c>
      <c r="K73" s="157">
        <f t="shared" si="40"/>
        <v>3923</v>
      </c>
      <c r="L73" s="157">
        <f t="shared" si="40"/>
        <v>3201</v>
      </c>
      <c r="M73" s="158">
        <f t="shared" si="37"/>
        <v>44.613240418118465</v>
      </c>
      <c r="N73" s="158">
        <f t="shared" si="38"/>
        <v>81.59571756308948</v>
      </c>
      <c r="O73" s="157">
        <f>L73-'[1]Jūnijs'!L73</f>
        <v>229</v>
      </c>
      <c r="P73" s="140"/>
      <c r="Q73" s="157">
        <v>3201</v>
      </c>
      <c r="R73" s="157">
        <v>2972</v>
      </c>
      <c r="S73" s="140">
        <f t="shared" si="2"/>
        <v>229</v>
      </c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</row>
    <row r="74" spans="1:88" s="704" customFormat="1" ht="12.75" customHeight="1">
      <c r="A74" s="119" t="s">
        <v>54</v>
      </c>
      <c r="B74" s="164">
        <v>48031380</v>
      </c>
      <c r="C74" s="164"/>
      <c r="D74" s="164">
        <v>22021312</v>
      </c>
      <c r="E74" s="150"/>
      <c r="F74" s="150"/>
      <c r="G74" s="164">
        <f>D74-'[1]Jūnijs'!D74</f>
        <v>9250347</v>
      </c>
      <c r="H74" s="140"/>
      <c r="I74" s="119" t="s">
        <v>54</v>
      </c>
      <c r="J74" s="157">
        <f>ROUND(B74/1000,0)</f>
        <v>48031</v>
      </c>
      <c r="K74" s="157">
        <f t="shared" si="40"/>
        <v>0</v>
      </c>
      <c r="L74" s="157">
        <f t="shared" si="40"/>
        <v>22021</v>
      </c>
      <c r="M74" s="158">
        <f t="shared" si="37"/>
        <v>45.84747350669359</v>
      </c>
      <c r="N74" s="158"/>
      <c r="O74" s="157">
        <f>L74-'[1]Jūnijs'!L74</f>
        <v>9250</v>
      </c>
      <c r="P74" s="140"/>
      <c r="Q74" s="157">
        <v>0</v>
      </c>
      <c r="R74" s="157">
        <v>12771</v>
      </c>
      <c r="S74" s="140">
        <f aca="true" t="shared" si="41" ref="S74:S137">Q74-R74</f>
        <v>-12771</v>
      </c>
      <c r="T74" s="140"/>
      <c r="U74" s="140"/>
      <c r="V74" s="140"/>
      <c r="W74" s="140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0"/>
      <c r="BT74" s="140"/>
      <c r="BU74" s="140"/>
      <c r="BV74" s="140"/>
      <c r="BW74" s="140"/>
      <c r="BX74" s="140"/>
      <c r="BY74" s="140"/>
      <c r="BZ74" s="140"/>
      <c r="CA74" s="140"/>
      <c r="CB74" s="140"/>
      <c r="CC74" s="140"/>
      <c r="CD74" s="140"/>
      <c r="CE74" s="140"/>
      <c r="CF74" s="140"/>
      <c r="CG74" s="140"/>
      <c r="CH74" s="140"/>
      <c r="CI74" s="140"/>
      <c r="CJ74" s="140"/>
    </row>
    <row r="75" spans="1:88" s="704" customFormat="1" ht="12.75" customHeight="1">
      <c r="A75" s="119" t="s">
        <v>55</v>
      </c>
      <c r="B75" s="164">
        <f>B66-B71-B74</f>
        <v>-48128380</v>
      </c>
      <c r="C75" s="164">
        <f>C66-C71-C74</f>
        <v>-94690</v>
      </c>
      <c r="D75" s="164">
        <f>D66-D71-D74</f>
        <v>-19765948.090000004</v>
      </c>
      <c r="E75" s="164">
        <f>E66-E71-E74</f>
        <v>2.3769456386181673</v>
      </c>
      <c r="F75" s="164">
        <f>F66-F71-F74</f>
        <v>4.041341918070799</v>
      </c>
      <c r="G75" s="164">
        <f>D75-'[1]Jūnijs'!D75</f>
        <v>-8694094.64</v>
      </c>
      <c r="H75" s="140"/>
      <c r="I75" s="119" t="s">
        <v>55</v>
      </c>
      <c r="J75" s="157">
        <f>ROUND(B75/1000,0)-1</f>
        <v>-48129</v>
      </c>
      <c r="K75" s="157">
        <f>ROUND(C75/1000,0)</f>
        <v>-95</v>
      </c>
      <c r="L75" s="157">
        <f>ROUND(D75/1000,0)</f>
        <v>-19766</v>
      </c>
      <c r="M75" s="158">
        <f t="shared" si="37"/>
        <v>41.0687942820337</v>
      </c>
      <c r="N75" s="158"/>
      <c r="O75" s="157">
        <f>L75-'[1]Jūnijs'!L75</f>
        <v>-8694</v>
      </c>
      <c r="P75" s="140"/>
      <c r="Q75" s="157">
        <v>2255</v>
      </c>
      <c r="R75" s="157">
        <v>-11072</v>
      </c>
      <c r="S75" s="140">
        <f t="shared" si="41"/>
        <v>13327</v>
      </c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0"/>
      <c r="AV75" s="140"/>
      <c r="AW75" s="140"/>
      <c r="AX75" s="140"/>
      <c r="AY75" s="140"/>
      <c r="AZ75" s="140"/>
      <c r="BA75" s="140"/>
      <c r="BB75" s="140"/>
      <c r="BC75" s="140"/>
      <c r="BD75" s="140"/>
      <c r="BE75" s="140"/>
      <c r="BF75" s="140"/>
      <c r="BG75" s="140"/>
      <c r="BH75" s="140"/>
      <c r="BI75" s="140"/>
      <c r="BJ75" s="140"/>
      <c r="BK75" s="140"/>
      <c r="BL75" s="140"/>
      <c r="BM75" s="140"/>
      <c r="BN75" s="140"/>
      <c r="BO75" s="140"/>
      <c r="BP75" s="140"/>
      <c r="BQ75" s="140"/>
      <c r="BR75" s="140"/>
      <c r="BS75" s="140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</row>
    <row r="76" spans="1:88" s="704" customFormat="1" ht="12.75" customHeight="1">
      <c r="A76" s="160" t="s">
        <v>71</v>
      </c>
      <c r="B76" s="164"/>
      <c r="C76" s="164"/>
      <c r="D76" s="164"/>
      <c r="E76" s="164"/>
      <c r="F76" s="164"/>
      <c r="G76" s="164"/>
      <c r="H76" s="140"/>
      <c r="I76" s="160" t="s">
        <v>72</v>
      </c>
      <c r="J76" s="164"/>
      <c r="K76" s="164"/>
      <c r="L76" s="164"/>
      <c r="M76" s="158"/>
      <c r="N76" s="158"/>
      <c r="O76" s="164"/>
      <c r="P76" s="140"/>
      <c r="Q76" s="164"/>
      <c r="R76" s="164"/>
      <c r="S76" s="140">
        <f t="shared" si="41"/>
        <v>0</v>
      </c>
      <c r="T76" s="140"/>
      <c r="U76" s="140"/>
      <c r="V76" s="140"/>
      <c r="W76" s="140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0"/>
      <c r="BT76" s="140"/>
      <c r="BU76" s="140"/>
      <c r="BV76" s="140"/>
      <c r="BW76" s="140"/>
      <c r="BX76" s="140"/>
      <c r="BY76" s="140"/>
      <c r="BZ76" s="140"/>
      <c r="CA76" s="140"/>
      <c r="CB76" s="140"/>
      <c r="CC76" s="140"/>
      <c r="CD76" s="140"/>
      <c r="CE76" s="140"/>
      <c r="CF76" s="140"/>
      <c r="CG76" s="140"/>
      <c r="CH76" s="140"/>
      <c r="CI76" s="140"/>
      <c r="CJ76" s="140"/>
    </row>
    <row r="77" spans="1:88" s="704" customFormat="1" ht="12.75" customHeight="1">
      <c r="A77" s="154" t="s">
        <v>46</v>
      </c>
      <c r="B77" s="164">
        <f>SUM(B78:B80)</f>
        <v>89074242</v>
      </c>
      <c r="C77" s="166">
        <f>SUM(C78:C80)</f>
        <v>51769367</v>
      </c>
      <c r="D77" s="166">
        <f>SUM(D78:D80)</f>
        <v>48846321.01</v>
      </c>
      <c r="E77" s="149">
        <f aca="true" t="shared" si="42" ref="E77:E83">IF(ISERROR(D77/B77)," ",(D77/B77))*100</f>
        <v>54.83776220065953</v>
      </c>
      <c r="F77" s="149">
        <f aca="true" t="shared" si="43" ref="F77:F83">IF(ISERROR(D77/C77)," ",(D77/C77))*100</f>
        <v>94.35371502610799</v>
      </c>
      <c r="G77" s="166">
        <f>SUM(G78:G80)</f>
        <v>7173524.54</v>
      </c>
      <c r="H77" s="140"/>
      <c r="I77" s="154" t="s">
        <v>46</v>
      </c>
      <c r="J77" s="147">
        <f>J78+J79+J80</f>
        <v>89074</v>
      </c>
      <c r="K77" s="147">
        <f>K78+K79+K80</f>
        <v>51769</v>
      </c>
      <c r="L77" s="147">
        <f>L78+L79+L80</f>
        <v>48847</v>
      </c>
      <c r="M77" s="156">
        <f aca="true" t="shared" si="44" ref="M77:M83">L77/J77*100</f>
        <v>54.83867346251431</v>
      </c>
      <c r="N77" s="156">
        <f aca="true" t="shared" si="45" ref="N77:N83">L77/K77*100</f>
        <v>94.35569549344203</v>
      </c>
      <c r="O77" s="147">
        <f>SUM(O78:O80)</f>
        <v>7174</v>
      </c>
      <c r="P77" s="140"/>
      <c r="Q77" s="147">
        <v>48847</v>
      </c>
      <c r="R77" s="147">
        <v>41673</v>
      </c>
      <c r="S77" s="140">
        <f t="shared" si="41"/>
        <v>7174</v>
      </c>
      <c r="T77" s="140"/>
      <c r="U77" s="140"/>
      <c r="V77" s="140"/>
      <c r="W77" s="140"/>
      <c r="X77" s="140"/>
      <c r="Y77" s="140"/>
      <c r="Z77" s="140"/>
      <c r="AA77" s="140"/>
      <c r="AB77" s="140"/>
      <c r="AC77" s="140"/>
      <c r="AD77" s="140"/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A77" s="140"/>
      <c r="BB77" s="140"/>
      <c r="BC77" s="140"/>
      <c r="BD77" s="140"/>
      <c r="BE77" s="140"/>
      <c r="BF77" s="140"/>
      <c r="BG77" s="140"/>
      <c r="BH77" s="140"/>
      <c r="BI77" s="140"/>
      <c r="BJ77" s="140"/>
      <c r="BK77" s="140"/>
      <c r="BL77" s="140"/>
      <c r="BM77" s="140"/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</row>
    <row r="78" spans="1:88" s="704" customFormat="1" ht="12.75" customHeight="1">
      <c r="A78" s="154" t="s">
        <v>47</v>
      </c>
      <c r="B78" s="164">
        <v>77608594</v>
      </c>
      <c r="C78" s="164">
        <v>44620756</v>
      </c>
      <c r="D78" s="164">
        <v>44620756</v>
      </c>
      <c r="E78" s="150">
        <f t="shared" si="42"/>
        <v>57.494606847277765</v>
      </c>
      <c r="F78" s="150">
        <f t="shared" si="43"/>
        <v>100</v>
      </c>
      <c r="G78" s="164">
        <f>D78-'[1]Jūnijs'!D78</f>
        <v>6600691</v>
      </c>
      <c r="H78" s="140"/>
      <c r="I78" s="154" t="s">
        <v>47</v>
      </c>
      <c r="J78" s="157">
        <f>ROUND(B78/1000,0)</f>
        <v>77609</v>
      </c>
      <c r="K78" s="157">
        <f aca="true" t="shared" si="46" ref="K78:L80">ROUND(C78/1000,0)</f>
        <v>44621</v>
      </c>
      <c r="L78" s="157">
        <f t="shared" si="46"/>
        <v>44621</v>
      </c>
      <c r="M78" s="158">
        <f t="shared" si="44"/>
        <v>57.49462046927547</v>
      </c>
      <c r="N78" s="158">
        <f t="shared" si="45"/>
        <v>100</v>
      </c>
      <c r="O78" s="157">
        <f>L78-'[1]Jūnijs'!L78</f>
        <v>6601</v>
      </c>
      <c r="P78" s="140"/>
      <c r="Q78" s="157">
        <v>44621</v>
      </c>
      <c r="R78" s="157">
        <v>38020</v>
      </c>
      <c r="S78" s="140">
        <f t="shared" si="41"/>
        <v>6601</v>
      </c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40"/>
      <c r="AW78" s="140"/>
      <c r="AX78" s="140"/>
      <c r="AY78" s="140"/>
      <c r="AZ78" s="140"/>
      <c r="BA78" s="140"/>
      <c r="BB78" s="140"/>
      <c r="BC78" s="140"/>
      <c r="BD78" s="140"/>
      <c r="BE78" s="140"/>
      <c r="BF78" s="140"/>
      <c r="BG78" s="140"/>
      <c r="BH78" s="140"/>
      <c r="BI78" s="140"/>
      <c r="BJ78" s="140"/>
      <c r="BK78" s="140"/>
      <c r="BL78" s="140"/>
      <c r="BM78" s="140"/>
      <c r="BN78" s="140"/>
      <c r="BO78" s="140"/>
      <c r="BP78" s="140"/>
      <c r="BQ78" s="140"/>
      <c r="BR78" s="140"/>
      <c r="BS78" s="140"/>
      <c r="BT78" s="140"/>
      <c r="BU78" s="140"/>
      <c r="BV78" s="140"/>
      <c r="BW78" s="140"/>
      <c r="BX78" s="140"/>
      <c r="BY78" s="140"/>
      <c r="BZ78" s="140"/>
      <c r="CA78" s="140"/>
      <c r="CB78" s="140"/>
      <c r="CC78" s="140"/>
      <c r="CD78" s="140"/>
      <c r="CE78" s="140"/>
      <c r="CF78" s="140"/>
      <c r="CG78" s="140"/>
      <c r="CH78" s="140"/>
      <c r="CI78" s="140"/>
      <c r="CJ78" s="140"/>
    </row>
    <row r="79" spans="1:88" s="704" customFormat="1" ht="12.75" customHeight="1">
      <c r="A79" s="154" t="s">
        <v>49</v>
      </c>
      <c r="B79" s="164">
        <v>8104496</v>
      </c>
      <c r="C79" s="164">
        <v>4741223</v>
      </c>
      <c r="D79" s="164">
        <v>3950537.01</v>
      </c>
      <c r="E79" s="150">
        <f t="shared" si="42"/>
        <v>48.745005364923365</v>
      </c>
      <c r="F79" s="150">
        <f t="shared" si="43"/>
        <v>83.3231638756498</v>
      </c>
      <c r="G79" s="164">
        <f>D79-'[1]Jūnijs'!D79</f>
        <v>529512.3499999996</v>
      </c>
      <c r="H79" s="140"/>
      <c r="I79" s="154" t="s">
        <v>49</v>
      </c>
      <c r="J79" s="157">
        <f>ROUND(B79/1000,0)</f>
        <v>8104</v>
      </c>
      <c r="K79" s="157">
        <f t="shared" si="46"/>
        <v>4741</v>
      </c>
      <c r="L79" s="157">
        <f t="shared" si="46"/>
        <v>3951</v>
      </c>
      <c r="M79" s="158">
        <f t="shared" si="44"/>
        <v>48.753701875616976</v>
      </c>
      <c r="N79" s="158">
        <f t="shared" si="45"/>
        <v>83.33684876608311</v>
      </c>
      <c r="O79" s="157">
        <f>L79-'[1]Jūnijs'!L79</f>
        <v>530</v>
      </c>
      <c r="P79" s="140"/>
      <c r="Q79" s="157">
        <v>3951</v>
      </c>
      <c r="R79" s="157">
        <v>3421</v>
      </c>
      <c r="S79" s="140">
        <f t="shared" si="41"/>
        <v>530</v>
      </c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0"/>
      <c r="AK79" s="140"/>
      <c r="AL79" s="140"/>
      <c r="AM79" s="140"/>
      <c r="AN79" s="140"/>
      <c r="AO79" s="140"/>
      <c r="AP79" s="140"/>
      <c r="AQ79" s="140"/>
      <c r="AR79" s="140"/>
      <c r="AS79" s="140"/>
      <c r="AT79" s="140"/>
      <c r="AU79" s="140"/>
      <c r="AV79" s="140"/>
      <c r="AW79" s="140"/>
      <c r="AX79" s="140"/>
      <c r="AY79" s="140"/>
      <c r="AZ79" s="140"/>
      <c r="BA79" s="140"/>
      <c r="BB79" s="140"/>
      <c r="BC79" s="140"/>
      <c r="BD79" s="140"/>
      <c r="BE79" s="140"/>
      <c r="BF79" s="140"/>
      <c r="BG79" s="140"/>
      <c r="BH79" s="140"/>
      <c r="BI79" s="140"/>
      <c r="BJ79" s="140"/>
      <c r="BK79" s="140"/>
      <c r="BL79" s="140"/>
      <c r="BM79" s="140"/>
      <c r="BN79" s="140"/>
      <c r="BO79" s="140"/>
      <c r="BP79" s="140"/>
      <c r="BQ79" s="140"/>
      <c r="BR79" s="140"/>
      <c r="BS79" s="140"/>
      <c r="BT79" s="140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</row>
    <row r="80" spans="1:88" s="704" customFormat="1" ht="12.75" customHeight="1">
      <c r="A80" s="154" t="s">
        <v>50</v>
      </c>
      <c r="B80" s="164">
        <v>3361152</v>
      </c>
      <c r="C80" s="164">
        <v>2407388</v>
      </c>
      <c r="D80" s="164">
        <v>275028</v>
      </c>
      <c r="E80" s="150">
        <f t="shared" si="42"/>
        <v>8.182551696561179</v>
      </c>
      <c r="F80" s="150">
        <f t="shared" si="43"/>
        <v>11.424332097692604</v>
      </c>
      <c r="G80" s="164">
        <f>D80-'[1]Jūnijs'!D80</f>
        <v>43321.19</v>
      </c>
      <c r="H80" s="140"/>
      <c r="I80" s="154" t="s">
        <v>50</v>
      </c>
      <c r="J80" s="157">
        <f>ROUND(B80/1000,0)</f>
        <v>3361</v>
      </c>
      <c r="K80" s="157">
        <f t="shared" si="46"/>
        <v>2407</v>
      </c>
      <c r="L80" s="157">
        <f t="shared" si="46"/>
        <v>275</v>
      </c>
      <c r="M80" s="158">
        <f t="shared" si="44"/>
        <v>8.182088664088068</v>
      </c>
      <c r="N80" s="158">
        <f t="shared" si="45"/>
        <v>11.425010386373078</v>
      </c>
      <c r="O80" s="157">
        <f>L80-'[1]Jūnijs'!L80</f>
        <v>43</v>
      </c>
      <c r="P80" s="140"/>
      <c r="Q80" s="157">
        <v>275</v>
      </c>
      <c r="R80" s="157">
        <v>232</v>
      </c>
      <c r="S80" s="140">
        <f t="shared" si="41"/>
        <v>43</v>
      </c>
      <c r="T80" s="140"/>
      <c r="U80" s="140"/>
      <c r="V80" s="140"/>
      <c r="W80" s="140"/>
      <c r="X80" s="140"/>
      <c r="Y80" s="140"/>
      <c r="Z80" s="140"/>
      <c r="AA80" s="140"/>
      <c r="AB80" s="140"/>
      <c r="AC80" s="140"/>
      <c r="AD80" s="140"/>
      <c r="AE80" s="140"/>
      <c r="AF80" s="140"/>
      <c r="AG80" s="140"/>
      <c r="AH80" s="140"/>
      <c r="AI80" s="140"/>
      <c r="AJ80" s="140"/>
      <c r="AK80" s="140"/>
      <c r="AL80" s="140"/>
      <c r="AM80" s="140"/>
      <c r="AN80" s="140"/>
      <c r="AO80" s="140"/>
      <c r="AP80" s="140"/>
      <c r="AQ80" s="140"/>
      <c r="AR80" s="140"/>
      <c r="AS80" s="140"/>
      <c r="AT80" s="140"/>
      <c r="AU80" s="140"/>
      <c r="AV80" s="140"/>
      <c r="AW80" s="140"/>
      <c r="AX80" s="140"/>
      <c r="AY80" s="140"/>
      <c r="AZ80" s="140"/>
      <c r="BA80" s="140"/>
      <c r="BB80" s="140"/>
      <c r="BC80" s="140"/>
      <c r="BD80" s="140"/>
      <c r="BE80" s="140"/>
      <c r="BF80" s="140"/>
      <c r="BG80" s="140"/>
      <c r="BH80" s="140"/>
      <c r="BI80" s="140"/>
      <c r="BJ80" s="140"/>
      <c r="BK80" s="140"/>
      <c r="BL80" s="140"/>
      <c r="BM80" s="140"/>
      <c r="BN80" s="140"/>
      <c r="BO80" s="140"/>
      <c r="BP80" s="140"/>
      <c r="BQ80" s="140"/>
      <c r="BR80" s="140"/>
      <c r="BS80" s="140"/>
      <c r="BT80" s="140"/>
      <c r="BU80" s="140"/>
      <c r="BV80" s="140"/>
      <c r="BW80" s="140"/>
      <c r="BX80" s="140"/>
      <c r="BY80" s="140"/>
      <c r="BZ80" s="140"/>
      <c r="CA80" s="140"/>
      <c r="CB80" s="140"/>
      <c r="CC80" s="140"/>
      <c r="CD80" s="140"/>
      <c r="CE80" s="140"/>
      <c r="CF80" s="140"/>
      <c r="CG80" s="140"/>
      <c r="CH80" s="140"/>
      <c r="CI80" s="140"/>
      <c r="CJ80" s="140"/>
    </row>
    <row r="81" spans="1:88" s="704" customFormat="1" ht="12.75" customHeight="1">
      <c r="A81" s="160" t="s">
        <v>51</v>
      </c>
      <c r="B81" s="166">
        <f>SUM(B82:B83)</f>
        <v>89074242</v>
      </c>
      <c r="C81" s="166">
        <f>SUM(C82:C83)</f>
        <v>51769367</v>
      </c>
      <c r="D81" s="166">
        <f>SUM(D82:D83)</f>
        <v>47472507.17</v>
      </c>
      <c r="E81" s="150">
        <f t="shared" si="42"/>
        <v>53.29543772036814</v>
      </c>
      <c r="F81" s="150">
        <f t="shared" si="43"/>
        <v>91.69999542393478</v>
      </c>
      <c r="G81" s="166">
        <f>SUM(G82:G83)</f>
        <v>7016520.35</v>
      </c>
      <c r="H81" s="140"/>
      <c r="I81" s="160" t="s">
        <v>51</v>
      </c>
      <c r="J81" s="147">
        <f>J82+J83</f>
        <v>89074</v>
      </c>
      <c r="K81" s="147">
        <f>K82+K83</f>
        <v>51769</v>
      </c>
      <c r="L81" s="147">
        <f>L82+L83</f>
        <v>47473</v>
      </c>
      <c r="M81" s="156">
        <f t="shared" si="44"/>
        <v>53.296135797202325</v>
      </c>
      <c r="N81" s="156">
        <f t="shared" si="45"/>
        <v>91.70159748111804</v>
      </c>
      <c r="O81" s="147">
        <f>SUM(O82:O83)</f>
        <v>7017</v>
      </c>
      <c r="P81" s="140"/>
      <c r="Q81" s="147">
        <v>47473</v>
      </c>
      <c r="R81" s="147">
        <v>40456</v>
      </c>
      <c r="S81" s="140">
        <f t="shared" si="41"/>
        <v>7017</v>
      </c>
      <c r="T81" s="140"/>
      <c r="U81" s="140"/>
      <c r="V81" s="140"/>
      <c r="W81" s="140"/>
      <c r="X81" s="140"/>
      <c r="Y81" s="140"/>
      <c r="Z81" s="140"/>
      <c r="AA81" s="140"/>
      <c r="AB81" s="140"/>
      <c r="AC81" s="140"/>
      <c r="AD81" s="140"/>
      <c r="AE81" s="140"/>
      <c r="AF81" s="140"/>
      <c r="AG81" s="140"/>
      <c r="AH81" s="140"/>
      <c r="AI81" s="140"/>
      <c r="AJ81" s="140"/>
      <c r="AK81" s="140"/>
      <c r="AL81" s="140"/>
      <c r="AM81" s="140"/>
      <c r="AN81" s="140"/>
      <c r="AO81" s="140"/>
      <c r="AP81" s="140"/>
      <c r="AQ81" s="140"/>
      <c r="AR81" s="140"/>
      <c r="AS81" s="140"/>
      <c r="AT81" s="140"/>
      <c r="AU81" s="140"/>
      <c r="AV81" s="140"/>
      <c r="AW81" s="140"/>
      <c r="AX81" s="140"/>
      <c r="AY81" s="140"/>
      <c r="AZ81" s="140"/>
      <c r="BA81" s="140"/>
      <c r="BB81" s="140"/>
      <c r="BC81" s="140"/>
      <c r="BD81" s="140"/>
      <c r="BE81" s="140"/>
      <c r="BF81" s="140"/>
      <c r="BG81" s="140"/>
      <c r="BH81" s="140"/>
      <c r="BI81" s="140"/>
      <c r="BJ81" s="140"/>
      <c r="BK81" s="140"/>
      <c r="BL81" s="140"/>
      <c r="BM81" s="140"/>
      <c r="BN81" s="140"/>
      <c r="BO81" s="140"/>
      <c r="BP81" s="140"/>
      <c r="BQ81" s="140"/>
      <c r="BR81" s="140"/>
      <c r="BS81" s="140"/>
      <c r="BT81" s="140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</row>
    <row r="82" spans="1:88" s="704" customFormat="1" ht="12.75" customHeight="1">
      <c r="A82" s="162" t="s">
        <v>52</v>
      </c>
      <c r="B82" s="164">
        <v>74555967</v>
      </c>
      <c r="C82" s="164">
        <v>43348041</v>
      </c>
      <c r="D82" s="164">
        <v>42428791.08</v>
      </c>
      <c r="E82" s="150">
        <f t="shared" si="42"/>
        <v>56.90864566212386</v>
      </c>
      <c r="F82" s="150">
        <f t="shared" si="43"/>
        <v>97.87937378761822</v>
      </c>
      <c r="G82" s="164">
        <f>D82-'[1]Jūnijs'!D82</f>
        <v>6051775.609999999</v>
      </c>
      <c r="H82" s="140"/>
      <c r="I82" s="162" t="s">
        <v>52</v>
      </c>
      <c r="J82" s="157">
        <f aca="true" t="shared" si="47" ref="J82:L83">ROUND(B82/1000,0)</f>
        <v>74556</v>
      </c>
      <c r="K82" s="157">
        <f t="shared" si="47"/>
        <v>43348</v>
      </c>
      <c r="L82" s="157">
        <f t="shared" si="47"/>
        <v>42429</v>
      </c>
      <c r="M82" s="158">
        <f t="shared" si="44"/>
        <v>56.90890069209722</v>
      </c>
      <c r="N82" s="158">
        <f t="shared" si="45"/>
        <v>97.87994832518224</v>
      </c>
      <c r="O82" s="157">
        <f>L82-'[1]Jūnijs'!L82</f>
        <v>6052</v>
      </c>
      <c r="P82" s="140"/>
      <c r="Q82" s="157">
        <v>42429</v>
      </c>
      <c r="R82" s="157">
        <v>36377</v>
      </c>
      <c r="S82" s="140">
        <f t="shared" si="41"/>
        <v>6052</v>
      </c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140"/>
      <c r="BF82" s="140"/>
      <c r="BG82" s="140"/>
      <c r="BH82" s="140"/>
      <c r="BI82" s="140"/>
      <c r="BJ82" s="140"/>
      <c r="BK82" s="140"/>
      <c r="BL82" s="140"/>
      <c r="BM82" s="140"/>
      <c r="BN82" s="140"/>
      <c r="BO82" s="140"/>
      <c r="BP82" s="140"/>
      <c r="BQ82" s="140"/>
      <c r="BR82" s="140"/>
      <c r="BS82" s="140"/>
      <c r="BT82" s="140"/>
      <c r="BU82" s="140"/>
      <c r="BV82" s="140"/>
      <c r="BW82" s="140"/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</row>
    <row r="83" spans="1:88" s="704" customFormat="1" ht="12.75" customHeight="1">
      <c r="A83" s="162" t="s">
        <v>53</v>
      </c>
      <c r="B83" s="164">
        <v>14518275</v>
      </c>
      <c r="C83" s="164">
        <v>8421326</v>
      </c>
      <c r="D83" s="164">
        <v>5043716.09</v>
      </c>
      <c r="E83" s="150">
        <f t="shared" si="42"/>
        <v>34.74046393252642</v>
      </c>
      <c r="F83" s="150">
        <f t="shared" si="43"/>
        <v>59.89218431871656</v>
      </c>
      <c r="G83" s="164">
        <f>D83-'[1]Jūnijs'!D83</f>
        <v>964744.7399999998</v>
      </c>
      <c r="H83" s="140"/>
      <c r="I83" s="162" t="s">
        <v>53</v>
      </c>
      <c r="J83" s="157">
        <f t="shared" si="47"/>
        <v>14518</v>
      </c>
      <c r="K83" s="157">
        <f t="shared" si="47"/>
        <v>8421</v>
      </c>
      <c r="L83" s="157">
        <f t="shared" si="47"/>
        <v>5044</v>
      </c>
      <c r="M83" s="158">
        <f t="shared" si="44"/>
        <v>34.74307755889241</v>
      </c>
      <c r="N83" s="158">
        <f t="shared" si="45"/>
        <v>59.89787436171476</v>
      </c>
      <c r="O83" s="157">
        <f>L83-'[1]Jūnijs'!L83</f>
        <v>965</v>
      </c>
      <c r="P83" s="140"/>
      <c r="Q83" s="157">
        <v>5044</v>
      </c>
      <c r="R83" s="157">
        <v>4079</v>
      </c>
      <c r="S83" s="140">
        <f t="shared" si="41"/>
        <v>965</v>
      </c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0"/>
      <c r="AK83" s="140"/>
      <c r="AL83" s="140"/>
      <c r="AM83" s="140"/>
      <c r="AN83" s="140"/>
      <c r="AO83" s="140"/>
      <c r="AP83" s="140"/>
      <c r="AQ83" s="140"/>
      <c r="AR83" s="140"/>
      <c r="AS83" s="140"/>
      <c r="AT83" s="140"/>
      <c r="AU83" s="140"/>
      <c r="AV83" s="140"/>
      <c r="AW83" s="140"/>
      <c r="AX83" s="140"/>
      <c r="AY83" s="140"/>
      <c r="AZ83" s="140"/>
      <c r="BA83" s="140"/>
      <c r="BB83" s="140"/>
      <c r="BC83" s="140"/>
      <c r="BD83" s="140"/>
      <c r="BE83" s="140"/>
      <c r="BF83" s="140"/>
      <c r="BG83" s="140"/>
      <c r="BH83" s="140"/>
      <c r="BI83" s="140"/>
      <c r="BJ83" s="140"/>
      <c r="BK83" s="140"/>
      <c r="BL83" s="140"/>
      <c r="BM83" s="140"/>
      <c r="BN83" s="140"/>
      <c r="BO83" s="140"/>
      <c r="BP83" s="140"/>
      <c r="BQ83" s="140"/>
      <c r="BR83" s="140"/>
      <c r="BS83" s="140"/>
      <c r="BT83" s="140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</row>
    <row r="84" spans="1:88" s="704" customFormat="1" ht="12.75" customHeight="1">
      <c r="A84" s="165" t="s">
        <v>73</v>
      </c>
      <c r="B84" s="164"/>
      <c r="C84" s="164"/>
      <c r="D84" s="164"/>
      <c r="E84" s="150"/>
      <c r="F84" s="164"/>
      <c r="G84" s="164"/>
      <c r="H84" s="140"/>
      <c r="I84" s="165" t="s">
        <v>74</v>
      </c>
      <c r="J84" s="164"/>
      <c r="K84" s="164"/>
      <c r="L84" s="164"/>
      <c r="M84" s="158"/>
      <c r="N84" s="158"/>
      <c r="O84" s="164"/>
      <c r="P84" s="140"/>
      <c r="Q84" s="164"/>
      <c r="R84" s="164"/>
      <c r="S84" s="140">
        <f t="shared" si="41"/>
        <v>0</v>
      </c>
      <c r="T84" s="140"/>
      <c r="U84" s="140"/>
      <c r="V84" s="140"/>
      <c r="W84" s="140"/>
      <c r="X84" s="140"/>
      <c r="Y84" s="140"/>
      <c r="Z84" s="140"/>
      <c r="AA84" s="140"/>
      <c r="AB84" s="140"/>
      <c r="AC84" s="140"/>
      <c r="AD84" s="140"/>
      <c r="AE84" s="140"/>
      <c r="AF84" s="140"/>
      <c r="AG84" s="140"/>
      <c r="AH84" s="140"/>
      <c r="AI84" s="140"/>
      <c r="AJ84" s="140"/>
      <c r="AK84" s="140"/>
      <c r="AL84" s="140"/>
      <c r="AM84" s="140"/>
      <c r="AN84" s="140"/>
      <c r="AO84" s="140"/>
      <c r="AP84" s="140"/>
      <c r="AQ84" s="140"/>
      <c r="AR84" s="140"/>
      <c r="AS84" s="140"/>
      <c r="AT84" s="140"/>
      <c r="AU84" s="140"/>
      <c r="AV84" s="140"/>
      <c r="AW84" s="140"/>
      <c r="AX84" s="140"/>
      <c r="AY84" s="140"/>
      <c r="AZ84" s="140"/>
      <c r="BA84" s="140"/>
      <c r="BB84" s="140"/>
      <c r="BC84" s="140"/>
      <c r="BD84" s="140"/>
      <c r="BE84" s="140"/>
      <c r="BF84" s="140"/>
      <c r="BG84" s="140"/>
      <c r="BH84" s="140"/>
      <c r="BI84" s="140"/>
      <c r="BJ84" s="140"/>
      <c r="BK84" s="140"/>
      <c r="BL84" s="140"/>
      <c r="BM84" s="140"/>
      <c r="BN84" s="140"/>
      <c r="BO84" s="140"/>
      <c r="BP84" s="140"/>
      <c r="BQ84" s="140"/>
      <c r="BR84" s="140"/>
      <c r="BS84" s="140"/>
      <c r="BT84" s="140"/>
      <c r="BU84" s="140"/>
      <c r="BV84" s="140"/>
      <c r="BW84" s="140"/>
      <c r="BX84" s="140"/>
      <c r="BY84" s="140"/>
      <c r="BZ84" s="140"/>
      <c r="CA84" s="140"/>
      <c r="CB84" s="140"/>
      <c r="CC84" s="140"/>
      <c r="CD84" s="140"/>
      <c r="CE84" s="140"/>
      <c r="CF84" s="140"/>
      <c r="CG84" s="140"/>
      <c r="CH84" s="140"/>
      <c r="CI84" s="140"/>
      <c r="CJ84" s="140"/>
    </row>
    <row r="85" spans="1:88" s="704" customFormat="1" ht="12.75" customHeight="1">
      <c r="A85" s="154" t="s">
        <v>46</v>
      </c>
      <c r="B85" s="164">
        <f>SUM(B86:B89)</f>
        <v>81833984</v>
      </c>
      <c r="C85" s="166">
        <f>SUM(C86:C89)</f>
        <v>48701400</v>
      </c>
      <c r="D85" s="166">
        <f>SUM(D86:D89)</f>
        <v>46319914.36</v>
      </c>
      <c r="E85" s="149">
        <f aca="true" t="shared" si="48" ref="E85:E92">IF(ISERROR(D85/B85)," ",(D85/B85))*100</f>
        <v>56.60229662043583</v>
      </c>
      <c r="F85" s="149">
        <f aca="true" t="shared" si="49" ref="F85:F92">IF(ISERROR(D85/C85)," ",(D85/C85))*100</f>
        <v>95.11002632367858</v>
      </c>
      <c r="G85" s="166">
        <f>SUM(G86:G89)</f>
        <v>7119017.969999999</v>
      </c>
      <c r="H85" s="140"/>
      <c r="I85" s="154" t="s">
        <v>46</v>
      </c>
      <c r="J85" s="147">
        <f>J86+J87+J88+J89</f>
        <v>81834</v>
      </c>
      <c r="K85" s="147">
        <f>K86+K87+K88+K89</f>
        <v>48702</v>
      </c>
      <c r="L85" s="147">
        <f>L86+L87+L88+L89</f>
        <v>46319</v>
      </c>
      <c r="M85" s="156">
        <f aca="true" t="shared" si="50" ref="M85:M92">L85/J85*100</f>
        <v>56.601168218588846</v>
      </c>
      <c r="N85" s="156">
        <f aca="true" t="shared" si="51" ref="N85:N92">L85/K85*100</f>
        <v>95.10697712619604</v>
      </c>
      <c r="O85" s="147">
        <f>SUM(O86:O89)</f>
        <v>7118</v>
      </c>
      <c r="P85" s="140"/>
      <c r="Q85" s="147">
        <v>46319</v>
      </c>
      <c r="R85" s="147">
        <v>39201</v>
      </c>
      <c r="S85" s="140">
        <f t="shared" si="41"/>
        <v>7118</v>
      </c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0"/>
      <c r="AI85" s="140"/>
      <c r="AJ85" s="140"/>
      <c r="AK85" s="140"/>
      <c r="AL85" s="140"/>
      <c r="AM85" s="140"/>
      <c r="AN85" s="140"/>
      <c r="AO85" s="140"/>
      <c r="AP85" s="140"/>
      <c r="AQ85" s="140"/>
      <c r="AR85" s="140"/>
      <c r="AS85" s="140"/>
      <c r="AT85" s="140"/>
      <c r="AU85" s="140"/>
      <c r="AV85" s="140"/>
      <c r="AW85" s="140"/>
      <c r="AX85" s="140"/>
      <c r="AY85" s="140"/>
      <c r="AZ85" s="140"/>
      <c r="BA85" s="140"/>
      <c r="BB85" s="140"/>
      <c r="BC85" s="140"/>
      <c r="BD85" s="140"/>
      <c r="BE85" s="140"/>
      <c r="BF85" s="140"/>
      <c r="BG85" s="140"/>
      <c r="BH85" s="140"/>
      <c r="BI85" s="140"/>
      <c r="BJ85" s="140"/>
      <c r="BK85" s="140"/>
      <c r="BL85" s="140"/>
      <c r="BM85" s="140"/>
      <c r="BN85" s="140"/>
      <c r="BO85" s="140"/>
      <c r="BP85" s="140"/>
      <c r="BQ85" s="140"/>
      <c r="BR85" s="140"/>
      <c r="BS85" s="140"/>
      <c r="BT85" s="140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</row>
    <row r="86" spans="1:88" s="704" customFormat="1" ht="12.75" customHeight="1">
      <c r="A86" s="154" t="s">
        <v>47</v>
      </c>
      <c r="B86" s="164">
        <v>54546699</v>
      </c>
      <c r="C86" s="164">
        <v>33081938</v>
      </c>
      <c r="D86" s="164">
        <v>33081938</v>
      </c>
      <c r="E86" s="150">
        <f t="shared" si="48"/>
        <v>60.648835963474156</v>
      </c>
      <c r="F86" s="150">
        <f t="shared" si="49"/>
        <v>100</v>
      </c>
      <c r="G86" s="164">
        <f>D86-'[1]Jūnijs'!D86</f>
        <v>5192543</v>
      </c>
      <c r="H86" s="140"/>
      <c r="I86" s="154" t="s">
        <v>47</v>
      </c>
      <c r="J86" s="157">
        <f aca="true" t="shared" si="52" ref="J86:L88">ROUND(B86/1000,0)</f>
        <v>54547</v>
      </c>
      <c r="K86" s="157">
        <f t="shared" si="52"/>
        <v>33082</v>
      </c>
      <c r="L86" s="157">
        <f t="shared" si="52"/>
        <v>33082</v>
      </c>
      <c r="M86" s="158">
        <f t="shared" si="50"/>
        <v>60.648614955909586</v>
      </c>
      <c r="N86" s="158">
        <f t="shared" si="51"/>
        <v>100</v>
      </c>
      <c r="O86" s="157">
        <f>L86-'[1]Jūnijs'!L86</f>
        <v>5192</v>
      </c>
      <c r="P86" s="140"/>
      <c r="Q86" s="157">
        <v>33082</v>
      </c>
      <c r="R86" s="157">
        <v>27890</v>
      </c>
      <c r="S86" s="140">
        <f t="shared" si="41"/>
        <v>5192</v>
      </c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140"/>
      <c r="BY86" s="140"/>
      <c r="BZ86" s="140"/>
      <c r="CA86" s="140"/>
      <c r="CB86" s="140"/>
      <c r="CC86" s="140"/>
      <c r="CD86" s="140"/>
      <c r="CE86" s="140"/>
      <c r="CF86" s="140"/>
      <c r="CG86" s="140"/>
      <c r="CH86" s="140"/>
      <c r="CI86" s="140"/>
      <c r="CJ86" s="140"/>
    </row>
    <row r="87" spans="1:88" s="704" customFormat="1" ht="12.75" customHeight="1">
      <c r="A87" s="154" t="s">
        <v>48</v>
      </c>
      <c r="B87" s="164">
        <v>2311000</v>
      </c>
      <c r="C87" s="164">
        <v>996500</v>
      </c>
      <c r="D87" s="164">
        <v>461031.01</v>
      </c>
      <c r="E87" s="150">
        <f t="shared" si="48"/>
        <v>19.949416270012982</v>
      </c>
      <c r="F87" s="150">
        <f t="shared" si="49"/>
        <v>46.26502860010035</v>
      </c>
      <c r="G87" s="164">
        <f>D87-'[1]Jūnijs'!D87</f>
        <v>155540.93</v>
      </c>
      <c r="H87" s="140"/>
      <c r="I87" s="154" t="s">
        <v>48</v>
      </c>
      <c r="J87" s="157">
        <f t="shared" si="52"/>
        <v>2311</v>
      </c>
      <c r="K87" s="157">
        <f t="shared" si="52"/>
        <v>997</v>
      </c>
      <c r="L87" s="157">
        <f t="shared" si="52"/>
        <v>461</v>
      </c>
      <c r="M87" s="158">
        <f t="shared" si="50"/>
        <v>19.948074426655126</v>
      </c>
      <c r="N87" s="158">
        <f t="shared" si="51"/>
        <v>46.238716148445334</v>
      </c>
      <c r="O87" s="157">
        <f>L87-'[1]Jūnijs'!L87</f>
        <v>156</v>
      </c>
      <c r="P87" s="140"/>
      <c r="Q87" s="157">
        <v>461</v>
      </c>
      <c r="R87" s="157">
        <v>305</v>
      </c>
      <c r="S87" s="140">
        <f t="shared" si="41"/>
        <v>156</v>
      </c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A87" s="140"/>
      <c r="BB87" s="140"/>
      <c r="BC87" s="140"/>
      <c r="BD87" s="140"/>
      <c r="BE87" s="140"/>
      <c r="BF87" s="140"/>
      <c r="BG87" s="140"/>
      <c r="BH87" s="140"/>
      <c r="BI87" s="140"/>
      <c r="BJ87" s="140"/>
      <c r="BK87" s="140"/>
      <c r="BL87" s="140"/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</row>
    <row r="88" spans="1:88" s="704" customFormat="1" ht="12.75" customHeight="1">
      <c r="A88" s="154" t="s">
        <v>49</v>
      </c>
      <c r="B88" s="164">
        <v>21683396</v>
      </c>
      <c r="C88" s="164">
        <v>11507073</v>
      </c>
      <c r="D88" s="164">
        <v>10703343.35</v>
      </c>
      <c r="E88" s="150">
        <f t="shared" si="48"/>
        <v>49.36193274337654</v>
      </c>
      <c r="F88" s="150">
        <f t="shared" si="49"/>
        <v>93.01534238985013</v>
      </c>
      <c r="G88" s="164">
        <f>D88-'[1]Jūnijs'!D88</f>
        <v>1233463.039999999</v>
      </c>
      <c r="H88" s="140"/>
      <c r="I88" s="154" t="s">
        <v>49</v>
      </c>
      <c r="J88" s="157">
        <f t="shared" si="52"/>
        <v>21683</v>
      </c>
      <c r="K88" s="157">
        <f t="shared" si="52"/>
        <v>11507</v>
      </c>
      <c r="L88" s="157">
        <f t="shared" si="52"/>
        <v>10703</v>
      </c>
      <c r="M88" s="158">
        <f t="shared" si="50"/>
        <v>49.361250749435044</v>
      </c>
      <c r="N88" s="158">
        <f t="shared" si="51"/>
        <v>93.01294863995828</v>
      </c>
      <c r="O88" s="157">
        <f>L88-'[1]Jūnijs'!L88</f>
        <v>1233</v>
      </c>
      <c r="P88" s="140"/>
      <c r="Q88" s="157">
        <v>10703</v>
      </c>
      <c r="R88" s="157">
        <v>9470</v>
      </c>
      <c r="S88" s="140">
        <f t="shared" si="41"/>
        <v>1233</v>
      </c>
      <c r="T88" s="140"/>
      <c r="U88" s="140"/>
      <c r="V88" s="140"/>
      <c r="W88" s="140"/>
      <c r="X88" s="140"/>
      <c r="Y88" s="140"/>
      <c r="Z88" s="140"/>
      <c r="AA88" s="140"/>
      <c r="AB88" s="140"/>
      <c r="AC88" s="140"/>
      <c r="AD88" s="140"/>
      <c r="AE88" s="140"/>
      <c r="AF88" s="140"/>
      <c r="AG88" s="140"/>
      <c r="AH88" s="140"/>
      <c r="AI88" s="140"/>
      <c r="AJ88" s="140"/>
      <c r="AK88" s="140"/>
      <c r="AL88" s="140"/>
      <c r="AM88" s="140"/>
      <c r="AN88" s="140"/>
      <c r="AO88" s="140"/>
      <c r="AP88" s="140"/>
      <c r="AQ88" s="140"/>
      <c r="AR88" s="140"/>
      <c r="AS88" s="140"/>
      <c r="AT88" s="140"/>
      <c r="AU88" s="140"/>
      <c r="AV88" s="140"/>
      <c r="AW88" s="140"/>
      <c r="AX88" s="140"/>
      <c r="AY88" s="140"/>
      <c r="AZ88" s="140"/>
      <c r="BA88" s="140"/>
      <c r="BB88" s="140"/>
      <c r="BC88" s="140"/>
      <c r="BD88" s="140"/>
      <c r="BE88" s="140"/>
      <c r="BF88" s="140"/>
      <c r="BG88" s="140"/>
      <c r="BH88" s="140"/>
      <c r="BI88" s="140"/>
      <c r="BJ88" s="140"/>
      <c r="BK88" s="140"/>
      <c r="BL88" s="140"/>
      <c r="BM88" s="140"/>
      <c r="BN88" s="140"/>
      <c r="BO88" s="140"/>
      <c r="BP88" s="140"/>
      <c r="BQ88" s="140"/>
      <c r="BR88" s="140"/>
      <c r="BS88" s="140"/>
      <c r="BT88" s="140"/>
      <c r="BU88" s="140"/>
      <c r="BV88" s="140"/>
      <c r="BW88" s="140"/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</row>
    <row r="89" spans="1:88" s="704" customFormat="1" ht="12.75" customHeight="1">
      <c r="A89" s="154" t="s">
        <v>50</v>
      </c>
      <c r="B89" s="164">
        <v>3292889</v>
      </c>
      <c r="C89" s="164">
        <v>3115889</v>
      </c>
      <c r="D89" s="164">
        <v>2073602</v>
      </c>
      <c r="E89" s="150">
        <f t="shared" si="48"/>
        <v>62.97211961897289</v>
      </c>
      <c r="F89" s="150">
        <f t="shared" si="49"/>
        <v>66.549289785355</v>
      </c>
      <c r="G89" s="164">
        <f>D89-'[1]Jūnijs'!D89</f>
        <v>537471</v>
      </c>
      <c r="H89" s="140"/>
      <c r="I89" s="154" t="s">
        <v>50</v>
      </c>
      <c r="J89" s="157">
        <f>ROUND(B89/1000,0)</f>
        <v>3293</v>
      </c>
      <c r="K89" s="157">
        <f>ROUND(C89/1000,0)</f>
        <v>3116</v>
      </c>
      <c r="L89" s="157">
        <f>ROUND(D89/1000,0)-1</f>
        <v>2073</v>
      </c>
      <c r="M89" s="158">
        <f t="shared" si="50"/>
        <v>62.95171576070453</v>
      </c>
      <c r="N89" s="158">
        <f t="shared" si="51"/>
        <v>66.52759948652118</v>
      </c>
      <c r="O89" s="157">
        <f>L89-'[1]Jūnijs'!L89</f>
        <v>537</v>
      </c>
      <c r="P89" s="140"/>
      <c r="Q89" s="157">
        <v>2073</v>
      </c>
      <c r="R89" s="157">
        <v>1536</v>
      </c>
      <c r="S89" s="140">
        <f t="shared" si="41"/>
        <v>537</v>
      </c>
      <c r="T89" s="140"/>
      <c r="U89" s="140"/>
      <c r="V89" s="140"/>
      <c r="W89" s="140"/>
      <c r="X89" s="140"/>
      <c r="Y89" s="140"/>
      <c r="Z89" s="140"/>
      <c r="AA89" s="140"/>
      <c r="AB89" s="140"/>
      <c r="AC89" s="140"/>
      <c r="AD89" s="140"/>
      <c r="AE89" s="140"/>
      <c r="AF89" s="140"/>
      <c r="AG89" s="140"/>
      <c r="AH89" s="140"/>
      <c r="AI89" s="140"/>
      <c r="AJ89" s="140"/>
      <c r="AK89" s="140"/>
      <c r="AL89" s="140"/>
      <c r="AM89" s="140"/>
      <c r="AN89" s="140"/>
      <c r="AO89" s="140"/>
      <c r="AP89" s="140"/>
      <c r="AQ89" s="140"/>
      <c r="AR89" s="140"/>
      <c r="AS89" s="140"/>
      <c r="AT89" s="140"/>
      <c r="AU89" s="140"/>
      <c r="AV89" s="140"/>
      <c r="AW89" s="140"/>
      <c r="AX89" s="140"/>
      <c r="AY89" s="140"/>
      <c r="AZ89" s="140"/>
      <c r="BA89" s="140"/>
      <c r="BB89" s="140"/>
      <c r="BC89" s="140"/>
      <c r="BD89" s="140"/>
      <c r="BE89" s="140"/>
      <c r="BF89" s="140"/>
      <c r="BG89" s="140"/>
      <c r="BH89" s="140"/>
      <c r="BI89" s="140"/>
      <c r="BJ89" s="140"/>
      <c r="BK89" s="140"/>
      <c r="BL89" s="140"/>
      <c r="BM89" s="140"/>
      <c r="BN89" s="140"/>
      <c r="BO89" s="140"/>
      <c r="BP89" s="140"/>
      <c r="BQ89" s="140"/>
      <c r="BR89" s="140"/>
      <c r="BS89" s="140"/>
      <c r="BT89" s="140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</row>
    <row r="90" spans="1:88" s="704" customFormat="1" ht="12.75" customHeight="1">
      <c r="A90" s="160" t="s">
        <v>51</v>
      </c>
      <c r="B90" s="166">
        <f>SUM(B91:B92)</f>
        <v>81938862</v>
      </c>
      <c r="C90" s="166">
        <f>SUM(C91:C92)</f>
        <v>48787544</v>
      </c>
      <c r="D90" s="166">
        <f>SUM(D91:D92)</f>
        <v>43553231.099999994</v>
      </c>
      <c r="E90" s="150">
        <f t="shared" si="48"/>
        <v>53.153326806027636</v>
      </c>
      <c r="F90" s="150">
        <f t="shared" si="49"/>
        <v>89.27121049585935</v>
      </c>
      <c r="G90" s="166">
        <f>SUM(G91:G92)</f>
        <v>7550303.699999996</v>
      </c>
      <c r="H90" s="140"/>
      <c r="I90" s="160" t="s">
        <v>51</v>
      </c>
      <c r="J90" s="147">
        <f>J91+J92</f>
        <v>81939</v>
      </c>
      <c r="K90" s="147">
        <f>K91+K92</f>
        <v>48788</v>
      </c>
      <c r="L90" s="147">
        <f>L91+L92</f>
        <v>43553</v>
      </c>
      <c r="M90" s="156">
        <f t="shared" si="50"/>
        <v>53.15295524719609</v>
      </c>
      <c r="N90" s="156">
        <f t="shared" si="51"/>
        <v>89.269902435025</v>
      </c>
      <c r="O90" s="147">
        <f>SUM(O91:O92)</f>
        <v>7550</v>
      </c>
      <c r="P90" s="140"/>
      <c r="Q90" s="147">
        <v>43553</v>
      </c>
      <c r="R90" s="147">
        <v>36003</v>
      </c>
      <c r="S90" s="140">
        <f t="shared" si="41"/>
        <v>7550</v>
      </c>
      <c r="T90" s="140"/>
      <c r="U90" s="140"/>
      <c r="V90" s="140"/>
      <c r="W90" s="140"/>
      <c r="X90" s="140"/>
      <c r="Y90" s="140"/>
      <c r="Z90" s="140"/>
      <c r="AA90" s="140"/>
      <c r="AB90" s="140"/>
      <c r="AC90" s="140"/>
      <c r="AD90" s="140"/>
      <c r="AE90" s="140"/>
      <c r="AF90" s="140"/>
      <c r="AG90" s="140"/>
      <c r="AH90" s="140"/>
      <c r="AI90" s="140"/>
      <c r="AJ90" s="140"/>
      <c r="AK90" s="140"/>
      <c r="AL90" s="140"/>
      <c r="AM90" s="140"/>
      <c r="AN90" s="140"/>
      <c r="AO90" s="140"/>
      <c r="AP90" s="140"/>
      <c r="AQ90" s="140"/>
      <c r="AR90" s="140"/>
      <c r="AS90" s="140"/>
      <c r="AT90" s="140"/>
      <c r="AU90" s="140"/>
      <c r="AV90" s="140"/>
      <c r="AW90" s="140"/>
      <c r="AX90" s="140"/>
      <c r="AY90" s="140"/>
      <c r="AZ90" s="140"/>
      <c r="BA90" s="140"/>
      <c r="BB90" s="140"/>
      <c r="BC90" s="140"/>
      <c r="BD90" s="140"/>
      <c r="BE90" s="140"/>
      <c r="BF90" s="140"/>
      <c r="BG90" s="140"/>
      <c r="BH90" s="140"/>
      <c r="BI90" s="140"/>
      <c r="BJ90" s="140"/>
      <c r="BK90" s="140"/>
      <c r="BL90" s="140"/>
      <c r="BM90" s="140"/>
      <c r="BN90" s="140"/>
      <c r="BO90" s="140"/>
      <c r="BP90" s="140"/>
      <c r="BQ90" s="140"/>
      <c r="BR90" s="140"/>
      <c r="BS90" s="140"/>
      <c r="BT90" s="140"/>
      <c r="BU90" s="140"/>
      <c r="BV90" s="140"/>
      <c r="BW90" s="140"/>
      <c r="BX90" s="140"/>
      <c r="BY90" s="140"/>
      <c r="BZ90" s="140"/>
      <c r="CA90" s="140"/>
      <c r="CB90" s="140"/>
      <c r="CC90" s="140"/>
      <c r="CD90" s="140"/>
      <c r="CE90" s="140"/>
      <c r="CF90" s="140"/>
      <c r="CG90" s="140"/>
      <c r="CH90" s="140"/>
      <c r="CI90" s="140"/>
      <c r="CJ90" s="140"/>
    </row>
    <row r="91" spans="1:88" s="704" customFormat="1" ht="12.75" customHeight="1">
      <c r="A91" s="162" t="s">
        <v>52</v>
      </c>
      <c r="B91" s="164">
        <v>75101907</v>
      </c>
      <c r="C91" s="164">
        <v>45488972</v>
      </c>
      <c r="D91" s="164">
        <v>41277376.01</v>
      </c>
      <c r="E91" s="150">
        <f t="shared" si="48"/>
        <v>54.96182142219105</v>
      </c>
      <c r="F91" s="150">
        <f t="shared" si="49"/>
        <v>90.74150106096045</v>
      </c>
      <c r="G91" s="164">
        <f>D91-'[1]Jūnijs'!D91</f>
        <v>7150414.909999996</v>
      </c>
      <c r="H91" s="140"/>
      <c r="I91" s="162" t="s">
        <v>52</v>
      </c>
      <c r="J91" s="157">
        <f aca="true" t="shared" si="53" ref="J91:L92">ROUND(B91/1000,0)</f>
        <v>75102</v>
      </c>
      <c r="K91" s="157">
        <f t="shared" si="53"/>
        <v>45489</v>
      </c>
      <c r="L91" s="157">
        <f t="shared" si="53"/>
        <v>41277</v>
      </c>
      <c r="M91" s="158">
        <f t="shared" si="50"/>
        <v>54.961252696332984</v>
      </c>
      <c r="N91" s="158">
        <f t="shared" si="51"/>
        <v>90.7406186110928</v>
      </c>
      <c r="O91" s="157">
        <f>L91-'[1]Jūnijs'!L91</f>
        <v>7150</v>
      </c>
      <c r="P91" s="140"/>
      <c r="Q91" s="157">
        <v>41277</v>
      </c>
      <c r="R91" s="157">
        <v>34127</v>
      </c>
      <c r="S91" s="140">
        <f t="shared" si="41"/>
        <v>7150</v>
      </c>
      <c r="T91" s="140"/>
      <c r="U91" s="140"/>
      <c r="V91" s="140"/>
      <c r="W91" s="140"/>
      <c r="X91" s="140"/>
      <c r="Y91" s="140"/>
      <c r="Z91" s="140"/>
      <c r="AA91" s="140"/>
      <c r="AB91" s="140"/>
      <c r="AC91" s="140"/>
      <c r="AD91" s="140"/>
      <c r="AE91" s="140"/>
      <c r="AF91" s="140"/>
      <c r="AG91" s="140"/>
      <c r="AH91" s="140"/>
      <c r="AI91" s="140"/>
      <c r="AJ91" s="140"/>
      <c r="AK91" s="140"/>
      <c r="AL91" s="140"/>
      <c r="AM91" s="140"/>
      <c r="AN91" s="140"/>
      <c r="AO91" s="140"/>
      <c r="AP91" s="140"/>
      <c r="AQ91" s="140"/>
      <c r="AR91" s="140"/>
      <c r="AS91" s="140"/>
      <c r="AT91" s="140"/>
      <c r="AU91" s="140"/>
      <c r="AV91" s="140"/>
      <c r="AW91" s="140"/>
      <c r="AX91" s="140"/>
      <c r="AY91" s="140"/>
      <c r="AZ91" s="140"/>
      <c r="BA91" s="140"/>
      <c r="BB91" s="140"/>
      <c r="BC91" s="140"/>
      <c r="BD91" s="140"/>
      <c r="BE91" s="140"/>
      <c r="BF91" s="140"/>
      <c r="BG91" s="140"/>
      <c r="BH91" s="140"/>
      <c r="BI91" s="140"/>
      <c r="BJ91" s="140"/>
      <c r="BK91" s="140"/>
      <c r="BL91" s="140"/>
      <c r="BM91" s="140"/>
      <c r="BN91" s="140"/>
      <c r="BO91" s="140"/>
      <c r="BP91" s="140"/>
      <c r="BQ91" s="140"/>
      <c r="BR91" s="140"/>
      <c r="BS91" s="140"/>
      <c r="BT91" s="140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</row>
    <row r="92" spans="1:88" s="704" customFormat="1" ht="12.75" customHeight="1">
      <c r="A92" s="162" t="s">
        <v>53</v>
      </c>
      <c r="B92" s="164">
        <v>6836955</v>
      </c>
      <c r="C92" s="164">
        <v>3298572</v>
      </c>
      <c r="D92" s="164">
        <v>2275855.09</v>
      </c>
      <c r="E92" s="150">
        <f t="shared" si="48"/>
        <v>33.28755403538564</v>
      </c>
      <c r="F92" s="150">
        <f t="shared" si="49"/>
        <v>68.99516184579267</v>
      </c>
      <c r="G92" s="164">
        <f>D92-'[1]Jūnijs'!D92</f>
        <v>399888.7899999998</v>
      </c>
      <c r="H92" s="140"/>
      <c r="I92" s="162" t="s">
        <v>53</v>
      </c>
      <c r="J92" s="157">
        <f t="shared" si="53"/>
        <v>6837</v>
      </c>
      <c r="K92" s="157">
        <f t="shared" si="53"/>
        <v>3299</v>
      </c>
      <c r="L92" s="157">
        <f t="shared" si="53"/>
        <v>2276</v>
      </c>
      <c r="M92" s="158">
        <f t="shared" si="50"/>
        <v>33.28945443908147</v>
      </c>
      <c r="N92" s="158">
        <f t="shared" si="51"/>
        <v>68.99060321309489</v>
      </c>
      <c r="O92" s="157">
        <f>L92-'[1]Jūnijs'!L92</f>
        <v>400</v>
      </c>
      <c r="P92" s="140"/>
      <c r="Q92" s="157">
        <v>2276</v>
      </c>
      <c r="R92" s="157">
        <v>1876</v>
      </c>
      <c r="S92" s="140">
        <f t="shared" si="41"/>
        <v>400</v>
      </c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0"/>
      <c r="AW92" s="140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0"/>
      <c r="BW92" s="140"/>
      <c r="BX92" s="140"/>
      <c r="BY92" s="140"/>
      <c r="BZ92" s="140"/>
      <c r="CA92" s="140"/>
      <c r="CB92" s="140"/>
      <c r="CC92" s="140"/>
      <c r="CD92" s="140"/>
      <c r="CE92" s="140"/>
      <c r="CF92" s="140"/>
      <c r="CG92" s="140"/>
      <c r="CH92" s="140"/>
      <c r="CI92" s="140"/>
      <c r="CJ92" s="140"/>
    </row>
    <row r="93" spans="1:88" s="704" customFormat="1" ht="12.75" customHeight="1">
      <c r="A93" s="160" t="s">
        <v>75</v>
      </c>
      <c r="B93" s="164"/>
      <c r="C93" s="164"/>
      <c r="D93" s="164"/>
      <c r="E93" s="164"/>
      <c r="F93" s="164"/>
      <c r="G93" s="164"/>
      <c r="H93" s="140"/>
      <c r="I93" s="160" t="s">
        <v>76</v>
      </c>
      <c r="J93" s="164"/>
      <c r="K93" s="164"/>
      <c r="L93" s="164"/>
      <c r="M93" s="158"/>
      <c r="N93" s="158"/>
      <c r="O93" s="164"/>
      <c r="P93" s="140"/>
      <c r="Q93" s="164"/>
      <c r="R93" s="164"/>
      <c r="S93" s="140">
        <f t="shared" si="41"/>
        <v>0</v>
      </c>
      <c r="T93" s="140"/>
      <c r="U93" s="140"/>
      <c r="V93" s="140"/>
      <c r="W93" s="140"/>
      <c r="X93" s="140"/>
      <c r="Y93" s="140"/>
      <c r="Z93" s="140"/>
      <c r="AA93" s="140"/>
      <c r="AB93" s="140"/>
      <c r="AC93" s="140"/>
      <c r="AD93" s="140"/>
      <c r="AE93" s="140"/>
      <c r="AF93" s="140"/>
      <c r="AG93" s="140"/>
      <c r="AH93" s="140"/>
      <c r="AI93" s="140"/>
      <c r="AJ93" s="140"/>
      <c r="AK93" s="140"/>
      <c r="AL93" s="140"/>
      <c r="AM93" s="140"/>
      <c r="AN93" s="140"/>
      <c r="AO93" s="140"/>
      <c r="AP93" s="140"/>
      <c r="AQ93" s="140"/>
      <c r="AR93" s="140"/>
      <c r="AS93" s="140"/>
      <c r="AT93" s="140"/>
      <c r="AU93" s="140"/>
      <c r="AV93" s="140"/>
      <c r="AW93" s="140"/>
      <c r="AX93" s="140"/>
      <c r="AY93" s="140"/>
      <c r="AZ93" s="140"/>
      <c r="BA93" s="140"/>
      <c r="BB93" s="140"/>
      <c r="BC93" s="140"/>
      <c r="BD93" s="140"/>
      <c r="BE93" s="140"/>
      <c r="BF93" s="140"/>
      <c r="BG93" s="140"/>
      <c r="BH93" s="140"/>
      <c r="BI93" s="140"/>
      <c r="BJ93" s="140"/>
      <c r="BK93" s="140"/>
      <c r="BL93" s="140"/>
      <c r="BM93" s="140"/>
      <c r="BN93" s="140"/>
      <c r="BO93" s="140"/>
      <c r="BP93" s="140"/>
      <c r="BQ93" s="140"/>
      <c r="BR93" s="140"/>
      <c r="BS93" s="140"/>
      <c r="BT93" s="140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</row>
    <row r="94" spans="1:88" s="704" customFormat="1" ht="12.75" customHeight="1">
      <c r="A94" s="154" t="s">
        <v>46</v>
      </c>
      <c r="B94" s="164">
        <f>SUM(B95:B97)</f>
        <v>77164927</v>
      </c>
      <c r="C94" s="166">
        <f>SUM(C95:C97)</f>
        <v>37408116</v>
      </c>
      <c r="D94" s="166">
        <f>SUM(D95:D97)</f>
        <v>37226056.54</v>
      </c>
      <c r="E94" s="149">
        <f aca="true" t="shared" si="54" ref="E94:E100">IF(ISERROR(D94/B94)," ",(D94/B94))*100</f>
        <v>48.242197572480045</v>
      </c>
      <c r="F94" s="149">
        <f aca="true" t="shared" si="55" ref="F94:F100">IF(ISERROR(D94/C94)," ",(D94/C94))*100</f>
        <v>99.51331561311454</v>
      </c>
      <c r="G94" s="166">
        <f>SUM(G95:G97)</f>
        <v>7339988.85</v>
      </c>
      <c r="H94" s="140"/>
      <c r="I94" s="154" t="s">
        <v>46</v>
      </c>
      <c r="J94" s="147">
        <f>J95+J96+J97</f>
        <v>77165</v>
      </c>
      <c r="K94" s="147">
        <f>K95+K96+K97</f>
        <v>37409</v>
      </c>
      <c r="L94" s="147">
        <f>L95+L96+L97</f>
        <v>37226</v>
      </c>
      <c r="M94" s="156">
        <f aca="true" t="shared" si="56" ref="M94:M100">L94/J94*100</f>
        <v>48.242078662606104</v>
      </c>
      <c r="N94" s="156">
        <f aca="true" t="shared" si="57" ref="N94:N100">L94/K94*100</f>
        <v>99.51081290598519</v>
      </c>
      <c r="O94" s="147">
        <f>SUM(O95:O97)</f>
        <v>7341</v>
      </c>
      <c r="P94" s="140"/>
      <c r="Q94" s="147">
        <v>37226</v>
      </c>
      <c r="R94" s="147">
        <v>29885</v>
      </c>
      <c r="S94" s="140">
        <f t="shared" si="41"/>
        <v>7341</v>
      </c>
      <c r="T94" s="140"/>
      <c r="U94" s="140"/>
      <c r="V94" s="140"/>
      <c r="W94" s="140"/>
      <c r="X94" s="140"/>
      <c r="Y94" s="140"/>
      <c r="Z94" s="140"/>
      <c r="AA94" s="140"/>
      <c r="AB94" s="140"/>
      <c r="AC94" s="140"/>
      <c r="AD94" s="140"/>
      <c r="AE94" s="140"/>
      <c r="AF94" s="140"/>
      <c r="AG94" s="140"/>
      <c r="AH94" s="140"/>
      <c r="AI94" s="140"/>
      <c r="AJ94" s="140"/>
      <c r="AK94" s="140"/>
      <c r="AL94" s="140"/>
      <c r="AM94" s="140"/>
      <c r="AN94" s="140"/>
      <c r="AO94" s="140"/>
      <c r="AP94" s="140"/>
      <c r="AQ94" s="140"/>
      <c r="AR94" s="140"/>
      <c r="AS94" s="140"/>
      <c r="AT94" s="140"/>
      <c r="AU94" s="140"/>
      <c r="AV94" s="140"/>
      <c r="AW94" s="140"/>
      <c r="AX94" s="140"/>
      <c r="AY94" s="140"/>
      <c r="AZ94" s="140"/>
      <c r="BA94" s="140"/>
      <c r="BB94" s="140"/>
      <c r="BC94" s="140"/>
      <c r="BD94" s="140"/>
      <c r="BE94" s="140"/>
      <c r="BF94" s="140"/>
      <c r="BG94" s="140"/>
      <c r="BH94" s="140"/>
      <c r="BI94" s="140"/>
      <c r="BJ94" s="140"/>
      <c r="BK94" s="140"/>
      <c r="BL94" s="140"/>
      <c r="BM94" s="140"/>
      <c r="BN94" s="140"/>
      <c r="BO94" s="140"/>
      <c r="BP94" s="140"/>
      <c r="BQ94" s="140"/>
      <c r="BR94" s="140"/>
      <c r="BS94" s="140"/>
      <c r="BT94" s="140"/>
      <c r="BU94" s="140"/>
      <c r="BV94" s="140"/>
      <c r="BW94" s="140"/>
      <c r="BX94" s="140"/>
      <c r="BY94" s="140"/>
      <c r="BZ94" s="140"/>
      <c r="CA94" s="140"/>
      <c r="CB94" s="140"/>
      <c r="CC94" s="140"/>
      <c r="CD94" s="140"/>
      <c r="CE94" s="140"/>
      <c r="CF94" s="140"/>
      <c r="CG94" s="140"/>
      <c r="CH94" s="140"/>
      <c r="CI94" s="140"/>
      <c r="CJ94" s="140"/>
    </row>
    <row r="95" spans="1:88" s="704" customFormat="1" ht="12.75" customHeight="1">
      <c r="A95" s="154" t="s">
        <v>47</v>
      </c>
      <c r="B95" s="164">
        <v>53459054</v>
      </c>
      <c r="C95" s="164">
        <v>32111628</v>
      </c>
      <c r="D95" s="164">
        <v>32111628</v>
      </c>
      <c r="E95" s="150">
        <f t="shared" si="54"/>
        <v>60.06770714648262</v>
      </c>
      <c r="F95" s="150">
        <f t="shared" si="55"/>
        <v>100</v>
      </c>
      <c r="G95" s="164">
        <f>D95-'[1]Jūnijs'!D95</f>
        <v>6623308</v>
      </c>
      <c r="H95" s="140"/>
      <c r="I95" s="154" t="s">
        <v>47</v>
      </c>
      <c r="J95" s="157">
        <f aca="true" t="shared" si="58" ref="J95:L96">ROUND(B95/1000,0)</f>
        <v>53459</v>
      </c>
      <c r="K95" s="157">
        <f t="shared" si="58"/>
        <v>32112</v>
      </c>
      <c r="L95" s="157">
        <f t="shared" si="58"/>
        <v>32112</v>
      </c>
      <c r="M95" s="158">
        <f t="shared" si="56"/>
        <v>60.06846368244824</v>
      </c>
      <c r="N95" s="158">
        <f t="shared" si="57"/>
        <v>100</v>
      </c>
      <c r="O95" s="157">
        <f>L95-'[1]Jūnijs'!L95</f>
        <v>6624</v>
      </c>
      <c r="P95" s="140"/>
      <c r="Q95" s="157">
        <v>32112</v>
      </c>
      <c r="R95" s="157">
        <v>25488</v>
      </c>
      <c r="S95" s="140">
        <f t="shared" si="41"/>
        <v>6624</v>
      </c>
      <c r="T95" s="140"/>
      <c r="U95" s="140"/>
      <c r="V95" s="140"/>
      <c r="W95" s="140"/>
      <c r="X95" s="140"/>
      <c r="Y95" s="140"/>
      <c r="Z95" s="140"/>
      <c r="AA95" s="140"/>
      <c r="AB95" s="140"/>
      <c r="AC95" s="140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40"/>
      <c r="AO95" s="140"/>
      <c r="AP95" s="140"/>
      <c r="AQ95" s="140"/>
      <c r="AR95" s="140"/>
      <c r="AS95" s="140"/>
      <c r="AT95" s="140"/>
      <c r="AU95" s="140"/>
      <c r="AV95" s="140"/>
      <c r="AW95" s="140"/>
      <c r="AX95" s="140"/>
      <c r="AY95" s="140"/>
      <c r="AZ95" s="140"/>
      <c r="BA95" s="140"/>
      <c r="BB95" s="140"/>
      <c r="BC95" s="140"/>
      <c r="BD95" s="140"/>
      <c r="BE95" s="140"/>
      <c r="BF95" s="140"/>
      <c r="BG95" s="140"/>
      <c r="BH95" s="140"/>
      <c r="BI95" s="140"/>
      <c r="BJ95" s="140"/>
      <c r="BK95" s="140"/>
      <c r="BL95" s="140"/>
      <c r="BM95" s="140"/>
      <c r="BN95" s="140"/>
      <c r="BO95" s="140"/>
      <c r="BP95" s="140"/>
      <c r="BQ95" s="140"/>
      <c r="BR95" s="140"/>
      <c r="BS95" s="140"/>
      <c r="BT95" s="140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</row>
    <row r="96" spans="1:88" s="704" customFormat="1" ht="12.75" customHeight="1">
      <c r="A96" s="154" t="s">
        <v>49</v>
      </c>
      <c r="B96" s="164">
        <v>7472443</v>
      </c>
      <c r="C96" s="164">
        <v>4012018</v>
      </c>
      <c r="D96" s="164">
        <v>4502052.54</v>
      </c>
      <c r="E96" s="150">
        <f t="shared" si="54"/>
        <v>60.24873712653278</v>
      </c>
      <c r="F96" s="150">
        <f t="shared" si="55"/>
        <v>112.2141660381384</v>
      </c>
      <c r="G96" s="164">
        <f>D96-'[1]Jūnijs'!D96</f>
        <v>639898.8500000001</v>
      </c>
      <c r="H96" s="140"/>
      <c r="I96" s="154" t="s">
        <v>49</v>
      </c>
      <c r="J96" s="157">
        <f>ROUND(B96/1000,0)+1</f>
        <v>7473</v>
      </c>
      <c r="K96" s="157">
        <f t="shared" si="58"/>
        <v>4012</v>
      </c>
      <c r="L96" s="157">
        <f t="shared" si="58"/>
        <v>4502</v>
      </c>
      <c r="M96" s="158">
        <f t="shared" si="56"/>
        <v>60.24354342298943</v>
      </c>
      <c r="N96" s="158">
        <f t="shared" si="57"/>
        <v>112.21335992023928</v>
      </c>
      <c r="O96" s="157">
        <f>L96-'[1]Jūnijs'!L96</f>
        <v>640</v>
      </c>
      <c r="P96" s="140"/>
      <c r="Q96" s="157">
        <v>4502</v>
      </c>
      <c r="R96" s="157">
        <v>3862</v>
      </c>
      <c r="S96" s="140">
        <f t="shared" si="41"/>
        <v>640</v>
      </c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0"/>
      <c r="AZ96" s="140"/>
      <c r="BA96" s="140"/>
      <c r="BB96" s="140"/>
      <c r="BC96" s="140"/>
      <c r="BD96" s="140"/>
      <c r="BE96" s="140"/>
      <c r="BF96" s="140"/>
      <c r="BG96" s="140"/>
      <c r="BH96" s="140"/>
      <c r="BI96" s="140"/>
      <c r="BJ96" s="140"/>
      <c r="BK96" s="140"/>
      <c r="BL96" s="140"/>
      <c r="BM96" s="140"/>
      <c r="BN96" s="140"/>
      <c r="BO96" s="140"/>
      <c r="BP96" s="140"/>
      <c r="BQ96" s="140"/>
      <c r="BR96" s="140"/>
      <c r="BS96" s="140"/>
      <c r="BT96" s="140"/>
      <c r="BU96" s="140"/>
      <c r="BV96" s="140"/>
      <c r="BW96" s="140"/>
      <c r="BX96" s="140"/>
      <c r="BY96" s="140"/>
      <c r="BZ96" s="140"/>
      <c r="CA96" s="140"/>
      <c r="CB96" s="140"/>
      <c r="CC96" s="140"/>
      <c r="CD96" s="140"/>
      <c r="CE96" s="140"/>
      <c r="CF96" s="140"/>
      <c r="CG96" s="140"/>
      <c r="CH96" s="140"/>
      <c r="CI96" s="140"/>
      <c r="CJ96" s="140"/>
    </row>
    <row r="97" spans="1:88" s="704" customFormat="1" ht="12.75" customHeight="1">
      <c r="A97" s="154" t="s">
        <v>50</v>
      </c>
      <c r="B97" s="164">
        <v>16233430</v>
      </c>
      <c r="C97" s="164">
        <v>1284470</v>
      </c>
      <c r="D97" s="164">
        <v>612376</v>
      </c>
      <c r="E97" s="150">
        <f t="shared" si="54"/>
        <v>3.7723142921736197</v>
      </c>
      <c r="F97" s="150">
        <f t="shared" si="55"/>
        <v>47.67538362126013</v>
      </c>
      <c r="G97" s="164">
        <f>D97-'[1]Jūnijs'!D97</f>
        <v>76782</v>
      </c>
      <c r="H97" s="140"/>
      <c r="I97" s="154" t="s">
        <v>50</v>
      </c>
      <c r="J97" s="157">
        <v>16233</v>
      </c>
      <c r="K97" s="157">
        <f>ROUND(C97/1000,0)+1</f>
        <v>1285</v>
      </c>
      <c r="L97" s="157">
        <f>ROUND(D97/1000,0)</f>
        <v>612</v>
      </c>
      <c r="M97" s="158">
        <f t="shared" si="56"/>
        <v>3.7700979486231754</v>
      </c>
      <c r="N97" s="158">
        <f t="shared" si="57"/>
        <v>47.626459143968866</v>
      </c>
      <c r="O97" s="157">
        <f>L97-'[1]Jūnijs'!L97</f>
        <v>77</v>
      </c>
      <c r="P97" s="140"/>
      <c r="Q97" s="157">
        <v>612</v>
      </c>
      <c r="R97" s="157">
        <v>535</v>
      </c>
      <c r="S97" s="140">
        <f t="shared" si="41"/>
        <v>77</v>
      </c>
      <c r="T97" s="140"/>
      <c r="U97" s="140"/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0"/>
      <c r="AZ97" s="140"/>
      <c r="BA97" s="140"/>
      <c r="BB97" s="140"/>
      <c r="BC97" s="140"/>
      <c r="BD97" s="140"/>
      <c r="BE97" s="140"/>
      <c r="BF97" s="140"/>
      <c r="BG97" s="140"/>
      <c r="BH97" s="140"/>
      <c r="BI97" s="140"/>
      <c r="BJ97" s="140"/>
      <c r="BK97" s="140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</row>
    <row r="98" spans="1:88" s="704" customFormat="1" ht="12.75" customHeight="1">
      <c r="A98" s="160" t="s">
        <v>51</v>
      </c>
      <c r="B98" s="166">
        <f>SUM(B99:B100)</f>
        <v>77290763</v>
      </c>
      <c r="C98" s="166">
        <f>SUM(C99:C100)</f>
        <v>37533952</v>
      </c>
      <c r="D98" s="166">
        <f>SUM(D99:D100)</f>
        <v>35759001.36</v>
      </c>
      <c r="E98" s="150">
        <f t="shared" si="54"/>
        <v>46.26555615707921</v>
      </c>
      <c r="F98" s="150">
        <f t="shared" si="55"/>
        <v>95.271079794635</v>
      </c>
      <c r="G98" s="166">
        <f>SUM(G99:G100)</f>
        <v>7780452.789999999</v>
      </c>
      <c r="H98" s="140"/>
      <c r="I98" s="160" t="s">
        <v>51</v>
      </c>
      <c r="J98" s="147">
        <f>J99+J100</f>
        <v>77291</v>
      </c>
      <c r="K98" s="147">
        <f>K99+K100</f>
        <v>37534</v>
      </c>
      <c r="L98" s="147">
        <f>L99+L100</f>
        <v>35759</v>
      </c>
      <c r="M98" s="156">
        <f t="shared" si="56"/>
        <v>46.265412531860115</v>
      </c>
      <c r="N98" s="156">
        <f t="shared" si="57"/>
        <v>95.2709543347365</v>
      </c>
      <c r="O98" s="147">
        <f>SUM(O99:O100)</f>
        <v>7781</v>
      </c>
      <c r="P98" s="140"/>
      <c r="Q98" s="147">
        <v>35759</v>
      </c>
      <c r="R98" s="147">
        <v>27978</v>
      </c>
      <c r="S98" s="140">
        <f t="shared" si="41"/>
        <v>7781</v>
      </c>
      <c r="T98" s="140"/>
      <c r="U98" s="140"/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0"/>
      <c r="AZ98" s="140"/>
      <c r="BA98" s="140"/>
      <c r="BB98" s="140"/>
      <c r="BC98" s="140"/>
      <c r="BD98" s="140"/>
      <c r="BE98" s="140"/>
      <c r="BF98" s="140"/>
      <c r="BG98" s="140"/>
      <c r="BH98" s="140"/>
      <c r="BI98" s="140"/>
      <c r="BJ98" s="140"/>
      <c r="BK98" s="140"/>
      <c r="BL98" s="140"/>
      <c r="BM98" s="140"/>
      <c r="BN98" s="140"/>
      <c r="BO98" s="140"/>
      <c r="BP98" s="140"/>
      <c r="BQ98" s="140"/>
      <c r="BR98" s="140"/>
      <c r="BS98" s="140"/>
      <c r="BT98" s="140"/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</row>
    <row r="99" spans="1:19" ht="12.75" customHeight="1">
      <c r="A99" s="162" t="s">
        <v>52</v>
      </c>
      <c r="B99" s="164">
        <v>72376566</v>
      </c>
      <c r="C99" s="164">
        <v>34581512</v>
      </c>
      <c r="D99" s="164">
        <v>33349234.7</v>
      </c>
      <c r="E99" s="150">
        <f t="shared" si="54"/>
        <v>46.07739292300771</v>
      </c>
      <c r="F99" s="150">
        <f t="shared" si="55"/>
        <v>96.4366008634903</v>
      </c>
      <c r="G99" s="164">
        <f>D99-'[1]Jūnijs'!D99</f>
        <v>7526819.6499999985</v>
      </c>
      <c r="I99" s="162" t="s">
        <v>52</v>
      </c>
      <c r="J99" s="157">
        <f aca="true" t="shared" si="59" ref="J99:L100">ROUND(B99/1000,0)</f>
        <v>72377</v>
      </c>
      <c r="K99" s="157">
        <f t="shared" si="59"/>
        <v>34582</v>
      </c>
      <c r="L99" s="157">
        <f t="shared" si="59"/>
        <v>33349</v>
      </c>
      <c r="M99" s="158">
        <f t="shared" si="56"/>
        <v>46.07679235116128</v>
      </c>
      <c r="N99" s="158">
        <f t="shared" si="57"/>
        <v>96.4345613324851</v>
      </c>
      <c r="O99" s="157">
        <f>L99-'[1]Jūnijs'!L99</f>
        <v>7527</v>
      </c>
      <c r="Q99" s="157">
        <v>33349</v>
      </c>
      <c r="R99" s="157">
        <v>25822</v>
      </c>
      <c r="S99" s="140">
        <f t="shared" si="41"/>
        <v>7527</v>
      </c>
    </row>
    <row r="100" spans="1:19" ht="12.75" customHeight="1">
      <c r="A100" s="162" t="s">
        <v>53</v>
      </c>
      <c r="B100" s="164">
        <v>4914197</v>
      </c>
      <c r="C100" s="164">
        <v>2952440</v>
      </c>
      <c r="D100" s="164">
        <v>2409766.66</v>
      </c>
      <c r="E100" s="150">
        <f t="shared" si="54"/>
        <v>49.03683470564978</v>
      </c>
      <c r="F100" s="150">
        <f t="shared" si="55"/>
        <v>81.61949641652329</v>
      </c>
      <c r="G100" s="164">
        <f>D100-'[1]Jūnijs'!D100</f>
        <v>253633.14000000013</v>
      </c>
      <c r="I100" s="162" t="s">
        <v>53</v>
      </c>
      <c r="J100" s="157">
        <f t="shared" si="59"/>
        <v>4914</v>
      </c>
      <c r="K100" s="157">
        <f t="shared" si="59"/>
        <v>2952</v>
      </c>
      <c r="L100" s="157">
        <f t="shared" si="59"/>
        <v>2410</v>
      </c>
      <c r="M100" s="158">
        <f t="shared" si="56"/>
        <v>49.04354904354904</v>
      </c>
      <c r="N100" s="158">
        <f t="shared" si="57"/>
        <v>81.63956639566395</v>
      </c>
      <c r="O100" s="157">
        <f>L100-'[1]Jūnijs'!L100</f>
        <v>254</v>
      </c>
      <c r="Q100" s="157">
        <v>2410</v>
      </c>
      <c r="R100" s="157">
        <v>2156</v>
      </c>
      <c r="S100" s="140">
        <f t="shared" si="41"/>
        <v>254</v>
      </c>
    </row>
    <row r="101" spans="1:19" ht="12.75" customHeight="1">
      <c r="A101" s="160" t="s">
        <v>77</v>
      </c>
      <c r="B101" s="164"/>
      <c r="C101" s="164"/>
      <c r="D101" s="164"/>
      <c r="E101" s="164"/>
      <c r="F101" s="164"/>
      <c r="G101" s="164"/>
      <c r="I101" s="160" t="s">
        <v>78</v>
      </c>
      <c r="J101" s="164"/>
      <c r="K101" s="164"/>
      <c r="L101" s="164"/>
      <c r="M101" s="158"/>
      <c r="N101" s="158"/>
      <c r="O101" s="164"/>
      <c r="Q101" s="164"/>
      <c r="R101" s="164"/>
      <c r="S101" s="140">
        <f t="shared" si="41"/>
        <v>0</v>
      </c>
    </row>
    <row r="102" spans="1:19" ht="12.75" customHeight="1">
      <c r="A102" s="154" t="s">
        <v>46</v>
      </c>
      <c r="B102" s="164">
        <f>SUM(B103:B105)</f>
        <v>15819085</v>
      </c>
      <c r="C102" s="166">
        <f>C103+C104+C105</f>
        <v>7593516</v>
      </c>
      <c r="D102" s="166">
        <f>SUM(D103:D105)</f>
        <v>6446813.56</v>
      </c>
      <c r="E102" s="149">
        <f aca="true" t="shared" si="60" ref="E102:E108">IF(ISERROR(D102/B102)," ",(D102/B102))*100</f>
        <v>40.7533909831068</v>
      </c>
      <c r="F102" s="149">
        <f aca="true" t="shared" si="61" ref="F102:F108">IF(ISERROR(D102/C102)," ",(D102/C102))*100</f>
        <v>84.89892639983901</v>
      </c>
      <c r="G102" s="166">
        <f>SUM(G103:G105)</f>
        <v>1098733.75</v>
      </c>
      <c r="I102" s="154" t="s">
        <v>46</v>
      </c>
      <c r="J102" s="147">
        <f>J103+J104+J105</f>
        <v>15819</v>
      </c>
      <c r="K102" s="147">
        <f>K103+K104+K105</f>
        <v>7593</v>
      </c>
      <c r="L102" s="147">
        <f>L103+L104+L105</f>
        <v>6447</v>
      </c>
      <c r="M102" s="156">
        <f aca="true" t="shared" si="62" ref="M102:M108">L102/J102*100</f>
        <v>40.75478854542006</v>
      </c>
      <c r="N102" s="156">
        <f aca="true" t="shared" si="63" ref="N102:N108">L102/K102*100</f>
        <v>84.90715132358751</v>
      </c>
      <c r="O102" s="147">
        <f>SUM(O103:O105)</f>
        <v>1098</v>
      </c>
      <c r="Q102" s="147">
        <v>6447</v>
      </c>
      <c r="R102" s="147">
        <v>5349</v>
      </c>
      <c r="S102" s="140">
        <f t="shared" si="41"/>
        <v>1098</v>
      </c>
    </row>
    <row r="103" spans="1:19" ht="12.75" customHeight="1">
      <c r="A103" s="154" t="s">
        <v>47</v>
      </c>
      <c r="B103" s="164">
        <v>9585836</v>
      </c>
      <c r="C103" s="164">
        <v>5070487</v>
      </c>
      <c r="D103" s="164">
        <v>5070487</v>
      </c>
      <c r="E103" s="150">
        <f t="shared" si="60"/>
        <v>52.89561599009205</v>
      </c>
      <c r="F103" s="150">
        <f t="shared" si="61"/>
        <v>100</v>
      </c>
      <c r="G103" s="164">
        <f>D103-'[1]Jūnijs'!D103</f>
        <v>843169</v>
      </c>
      <c r="I103" s="154" t="s">
        <v>47</v>
      </c>
      <c r="J103" s="157">
        <f aca="true" t="shared" si="64" ref="J103:L104">ROUND(B103/1000,0)</f>
        <v>9586</v>
      </c>
      <c r="K103" s="157">
        <f t="shared" si="64"/>
        <v>5070</v>
      </c>
      <c r="L103" s="157">
        <f t="shared" si="64"/>
        <v>5070</v>
      </c>
      <c r="M103" s="158">
        <f t="shared" si="62"/>
        <v>52.8896307114542</v>
      </c>
      <c r="N103" s="158">
        <f t="shared" si="63"/>
        <v>100</v>
      </c>
      <c r="O103" s="157">
        <f>L103-'[1]Jūnijs'!L103</f>
        <v>842</v>
      </c>
      <c r="Q103" s="157">
        <v>5070</v>
      </c>
      <c r="R103" s="157">
        <v>4228</v>
      </c>
      <c r="S103" s="140">
        <f t="shared" si="41"/>
        <v>842</v>
      </c>
    </row>
    <row r="104" spans="1:19" ht="12.75" customHeight="1">
      <c r="A104" s="154" t="s">
        <v>49</v>
      </c>
      <c r="B104" s="164">
        <v>58722</v>
      </c>
      <c r="C104" s="164">
        <v>34252</v>
      </c>
      <c r="D104" s="164">
        <v>6030.56</v>
      </c>
      <c r="E104" s="150">
        <f t="shared" si="60"/>
        <v>10.269677463301658</v>
      </c>
      <c r="F104" s="150">
        <f t="shared" si="61"/>
        <v>17.60644633889992</v>
      </c>
      <c r="G104" s="164">
        <f>D104-'[1]Jūnijs'!D104</f>
        <v>18.75</v>
      </c>
      <c r="I104" s="154" t="s">
        <v>49</v>
      </c>
      <c r="J104" s="157">
        <f t="shared" si="64"/>
        <v>59</v>
      </c>
      <c r="K104" s="157">
        <f t="shared" si="64"/>
        <v>34</v>
      </c>
      <c r="L104" s="157">
        <f t="shared" si="64"/>
        <v>6</v>
      </c>
      <c r="M104" s="158">
        <f t="shared" si="62"/>
        <v>10.16949152542373</v>
      </c>
      <c r="N104" s="158">
        <f t="shared" si="63"/>
        <v>17.647058823529413</v>
      </c>
      <c r="O104" s="157">
        <f>L104-'[1]Jūnijs'!L104</f>
        <v>0</v>
      </c>
      <c r="Q104" s="157">
        <v>6</v>
      </c>
      <c r="R104" s="157">
        <v>6</v>
      </c>
      <c r="S104" s="140">
        <f t="shared" si="41"/>
        <v>0</v>
      </c>
    </row>
    <row r="105" spans="1:19" ht="12.75" customHeight="1">
      <c r="A105" s="154" t="s">
        <v>50</v>
      </c>
      <c r="B105" s="164">
        <v>6174527</v>
      </c>
      <c r="C105" s="164">
        <v>2488777</v>
      </c>
      <c r="D105" s="164">
        <v>1370296</v>
      </c>
      <c r="E105" s="150">
        <f t="shared" si="60"/>
        <v>22.19272828509779</v>
      </c>
      <c r="F105" s="150">
        <f t="shared" si="61"/>
        <v>55.05901091178519</v>
      </c>
      <c r="G105" s="164">
        <f>D105-'[1]Jūnijs'!D105</f>
        <v>255546</v>
      </c>
      <c r="I105" s="154" t="s">
        <v>50</v>
      </c>
      <c r="J105" s="157">
        <f>ROUND(B105/1000,0)-1</f>
        <v>6174</v>
      </c>
      <c r="K105" s="157">
        <f>ROUND(C105/1000,0)</f>
        <v>2489</v>
      </c>
      <c r="L105" s="157">
        <f>ROUND(D105/1000,0)+1</f>
        <v>1371</v>
      </c>
      <c r="M105" s="158">
        <f t="shared" si="62"/>
        <v>22.206025267249757</v>
      </c>
      <c r="N105" s="158">
        <f t="shared" si="63"/>
        <v>55.082362394535956</v>
      </c>
      <c r="O105" s="157">
        <f>L105-'[1]Jūnijs'!L105</f>
        <v>256</v>
      </c>
      <c r="Q105" s="157">
        <v>1371</v>
      </c>
      <c r="R105" s="157">
        <v>1115</v>
      </c>
      <c r="S105" s="140">
        <f t="shared" si="41"/>
        <v>256</v>
      </c>
    </row>
    <row r="106" spans="1:19" ht="12.75" customHeight="1">
      <c r="A106" s="160" t="s">
        <v>51</v>
      </c>
      <c r="B106" s="166">
        <f>SUM(B107:B108)</f>
        <v>15819085</v>
      </c>
      <c r="C106" s="166">
        <f>SUM(C107:C108)</f>
        <v>7593516</v>
      </c>
      <c r="D106" s="166">
        <f>SUM(D107:D108)</f>
        <v>5697651.76</v>
      </c>
      <c r="E106" s="150">
        <f t="shared" si="60"/>
        <v>36.017581042139916</v>
      </c>
      <c r="F106" s="150">
        <f t="shared" si="61"/>
        <v>75.03311720157039</v>
      </c>
      <c r="G106" s="166">
        <f>SUM(G107:G108)</f>
        <v>928621.71</v>
      </c>
      <c r="I106" s="160" t="s">
        <v>51</v>
      </c>
      <c r="J106" s="147">
        <f>J107+J108</f>
        <v>15819</v>
      </c>
      <c r="K106" s="147">
        <f>K107+K108</f>
        <v>7593</v>
      </c>
      <c r="L106" s="147">
        <f>L107+L108</f>
        <v>5697</v>
      </c>
      <c r="M106" s="156">
        <f t="shared" si="62"/>
        <v>36.0136544661483</v>
      </c>
      <c r="N106" s="156">
        <f t="shared" si="63"/>
        <v>75.02963255630186</v>
      </c>
      <c r="O106" s="147">
        <f>SUM(O107:O108)</f>
        <v>928</v>
      </c>
      <c r="Q106" s="147">
        <v>5697</v>
      </c>
      <c r="R106" s="147">
        <v>4769</v>
      </c>
      <c r="S106" s="140">
        <f t="shared" si="41"/>
        <v>928</v>
      </c>
    </row>
    <row r="107" spans="1:19" ht="12.75" customHeight="1">
      <c r="A107" s="162" t="s">
        <v>52</v>
      </c>
      <c r="B107" s="164">
        <v>7130580</v>
      </c>
      <c r="C107" s="164">
        <v>4306136</v>
      </c>
      <c r="D107" s="164">
        <v>4076315.29</v>
      </c>
      <c r="E107" s="150">
        <f t="shared" si="60"/>
        <v>57.166672136067476</v>
      </c>
      <c r="F107" s="150">
        <f t="shared" si="61"/>
        <v>94.66294817441901</v>
      </c>
      <c r="G107" s="164">
        <f>D107-'[1]Jūnijs'!D107</f>
        <v>550698.6499999999</v>
      </c>
      <c r="I107" s="162" t="s">
        <v>52</v>
      </c>
      <c r="J107" s="157">
        <f>ROUND(B107/1000,0)-1</f>
        <v>7130</v>
      </c>
      <c r="K107" s="157">
        <f aca="true" t="shared" si="65" ref="J107:L108">ROUND(C107/1000,0)</f>
        <v>4306</v>
      </c>
      <c r="L107" s="157">
        <f t="shared" si="65"/>
        <v>4076</v>
      </c>
      <c r="M107" s="158">
        <f t="shared" si="62"/>
        <v>57.16690042075736</v>
      </c>
      <c r="N107" s="158">
        <f t="shared" si="63"/>
        <v>94.6586158848119</v>
      </c>
      <c r="O107" s="157">
        <f>L107-'[1]Jūnijs'!L107</f>
        <v>550</v>
      </c>
      <c r="Q107" s="157">
        <v>4076</v>
      </c>
      <c r="R107" s="157">
        <v>3526</v>
      </c>
      <c r="S107" s="140">
        <f t="shared" si="41"/>
        <v>550</v>
      </c>
    </row>
    <row r="108" spans="1:19" ht="12.75" customHeight="1">
      <c r="A108" s="162" t="s">
        <v>53</v>
      </c>
      <c r="B108" s="164">
        <v>8688505</v>
      </c>
      <c r="C108" s="164">
        <v>3287380</v>
      </c>
      <c r="D108" s="164">
        <v>1621336.47</v>
      </c>
      <c r="E108" s="150">
        <f t="shared" si="60"/>
        <v>18.660707106688665</v>
      </c>
      <c r="F108" s="150">
        <f t="shared" si="61"/>
        <v>49.3200198942623</v>
      </c>
      <c r="G108" s="164">
        <f>D108-'[1]Jūnijs'!D108</f>
        <v>377923.06000000006</v>
      </c>
      <c r="I108" s="162" t="s">
        <v>53</v>
      </c>
      <c r="J108" s="157">
        <f t="shared" si="65"/>
        <v>8689</v>
      </c>
      <c r="K108" s="157">
        <f t="shared" si="65"/>
        <v>3287</v>
      </c>
      <c r="L108" s="157">
        <f t="shared" si="65"/>
        <v>1621</v>
      </c>
      <c r="M108" s="158">
        <f t="shared" si="62"/>
        <v>18.65577166532397</v>
      </c>
      <c r="N108" s="158">
        <f t="shared" si="63"/>
        <v>49.31548524490417</v>
      </c>
      <c r="O108" s="157">
        <f>L108-'[1]Jūnijs'!L108</f>
        <v>378</v>
      </c>
      <c r="Q108" s="157">
        <v>1621</v>
      </c>
      <c r="R108" s="157">
        <v>1243</v>
      </c>
      <c r="S108" s="140">
        <f t="shared" si="41"/>
        <v>378</v>
      </c>
    </row>
    <row r="109" spans="1:19" ht="12.75" customHeight="1">
      <c r="A109" s="160" t="s">
        <v>79</v>
      </c>
      <c r="B109" s="166"/>
      <c r="C109" s="166"/>
      <c r="D109" s="166"/>
      <c r="E109" s="166"/>
      <c r="F109" s="166"/>
      <c r="G109" s="166"/>
      <c r="I109" s="160" t="s">
        <v>80</v>
      </c>
      <c r="J109" s="166"/>
      <c r="K109" s="166"/>
      <c r="L109" s="166"/>
      <c r="M109" s="158"/>
      <c r="N109" s="158"/>
      <c r="O109" s="166"/>
      <c r="Q109" s="166"/>
      <c r="R109" s="166"/>
      <c r="S109" s="140">
        <f t="shared" si="41"/>
        <v>0</v>
      </c>
    </row>
    <row r="110" spans="1:19" ht="12.75" customHeight="1">
      <c r="A110" s="154" t="s">
        <v>46</v>
      </c>
      <c r="B110" s="164">
        <f>SUM(B111:B114)</f>
        <v>165550646</v>
      </c>
      <c r="C110" s="166">
        <f>SUM(C111:C114)</f>
        <v>97104591</v>
      </c>
      <c r="D110" s="166">
        <f>SUM(D111:D114)</f>
        <v>94828893.67</v>
      </c>
      <c r="E110" s="149">
        <f>IF(ISERROR(D110/B110)," ",(D110/B110))*100</f>
        <v>57.28089618569051</v>
      </c>
      <c r="F110" s="149">
        <f>IF(ISERROR(D110/C110)," ",(D110/C110))*100</f>
        <v>97.6564472322426</v>
      </c>
      <c r="G110" s="166">
        <f>SUM(G111:G114)</f>
        <v>14218514.65</v>
      </c>
      <c r="I110" s="154" t="s">
        <v>46</v>
      </c>
      <c r="J110" s="147">
        <f>J111+J112+J113+J114</f>
        <v>165550</v>
      </c>
      <c r="K110" s="147">
        <f>K111+K112+K113+K114</f>
        <v>97105</v>
      </c>
      <c r="L110" s="147">
        <f>L111+L112+L113+L114</f>
        <v>94829</v>
      </c>
      <c r="M110" s="156">
        <f>L110/J110*100</f>
        <v>57.28118393234672</v>
      </c>
      <c r="N110" s="156">
        <f>L110/K110*100</f>
        <v>97.65614540960816</v>
      </c>
      <c r="O110" s="147">
        <f>SUM(O111:O114)</f>
        <v>14219</v>
      </c>
      <c r="Q110" s="147">
        <v>94829</v>
      </c>
      <c r="R110" s="147">
        <v>80610</v>
      </c>
      <c r="S110" s="140">
        <f t="shared" si="41"/>
        <v>14219</v>
      </c>
    </row>
    <row r="111" spans="1:19" ht="12.75" customHeight="1">
      <c r="A111" s="154" t="s">
        <v>47</v>
      </c>
      <c r="B111" s="164">
        <v>157292351</v>
      </c>
      <c r="C111" s="164">
        <v>92289767</v>
      </c>
      <c r="D111" s="164">
        <v>92289767</v>
      </c>
      <c r="E111" s="150">
        <f>IF(ISERROR(D111/B111)," ",(D111/B111))*100</f>
        <v>58.67403367885321</v>
      </c>
      <c r="F111" s="150">
        <f>IF(ISERROR(D111/C111)," ",(D111/C111))*100</f>
        <v>100</v>
      </c>
      <c r="G111" s="164">
        <f>D111-'[1]Jūnijs'!D111</f>
        <v>13829539</v>
      </c>
      <c r="I111" s="154" t="s">
        <v>47</v>
      </c>
      <c r="J111" s="157">
        <f>ROUND(B111/1000,0)</f>
        <v>157292</v>
      </c>
      <c r="K111" s="157">
        <f>ROUND(C111/1000,0)</f>
        <v>92290</v>
      </c>
      <c r="L111" s="157">
        <f>ROUND(D111/1000,0)</f>
        <v>92290</v>
      </c>
      <c r="M111" s="158">
        <f>L111/J111*100</f>
        <v>58.67431274317829</v>
      </c>
      <c r="N111" s="158">
        <f>L111/K111*100</f>
        <v>100</v>
      </c>
      <c r="O111" s="157">
        <f>L111-'[1]Jūnijs'!L111</f>
        <v>13830</v>
      </c>
      <c r="Q111" s="157">
        <v>92290</v>
      </c>
      <c r="R111" s="157">
        <v>78460</v>
      </c>
      <c r="S111" s="140">
        <f t="shared" si="41"/>
        <v>13830</v>
      </c>
    </row>
    <row r="112" spans="1:19" ht="12.75" customHeight="1">
      <c r="A112" s="154" t="s">
        <v>48</v>
      </c>
      <c r="B112" s="164">
        <v>48902</v>
      </c>
      <c r="C112" s="164"/>
      <c r="D112" s="164"/>
      <c r="E112" s="150"/>
      <c r="F112" s="150"/>
      <c r="G112" s="164">
        <f>D112-'[1]Jūnijs'!D112</f>
        <v>-394.82</v>
      </c>
      <c r="I112" s="154" t="s">
        <v>48</v>
      </c>
      <c r="J112" s="157">
        <f>ROUND(B112/1000,0)</f>
        <v>49</v>
      </c>
      <c r="K112" s="157"/>
      <c r="L112" s="157"/>
      <c r="M112" s="158"/>
      <c r="N112" s="158"/>
      <c r="O112" s="157">
        <f>L112-'[1]Jūnijs'!L112</f>
        <v>0</v>
      </c>
      <c r="Q112" s="157"/>
      <c r="R112" s="157"/>
      <c r="S112" s="140">
        <f t="shared" si="41"/>
        <v>0</v>
      </c>
    </row>
    <row r="113" spans="1:19" ht="12.75" customHeight="1">
      <c r="A113" s="154" t="s">
        <v>49</v>
      </c>
      <c r="B113" s="164">
        <v>5168141</v>
      </c>
      <c r="C113" s="164">
        <v>3164223</v>
      </c>
      <c r="D113" s="164">
        <v>2445380.67</v>
      </c>
      <c r="E113" s="150">
        <f>IF(ISERROR(D113/B113)," ",(D113/B113))*100</f>
        <v>47.316446474660815</v>
      </c>
      <c r="F113" s="150">
        <f>IF(ISERROR(D113/C113)," ",(D113/C113))*100</f>
        <v>77.2821849155385</v>
      </c>
      <c r="G113" s="164">
        <f>D113-'[1]Jūnijs'!D113</f>
        <v>355342.70999999996</v>
      </c>
      <c r="I113" s="154" t="s">
        <v>49</v>
      </c>
      <c r="J113" s="157">
        <f>ROUND(B113/1000,0)</f>
        <v>5168</v>
      </c>
      <c r="K113" s="157">
        <f>ROUND(C113/1000,0)</f>
        <v>3164</v>
      </c>
      <c r="L113" s="157">
        <f>ROUND(D113/1000,0)</f>
        <v>2445</v>
      </c>
      <c r="M113" s="158">
        <f>L113/J113*100</f>
        <v>47.31037151702787</v>
      </c>
      <c r="N113" s="158">
        <f>L113/K113*100</f>
        <v>77.275600505689</v>
      </c>
      <c r="O113" s="157">
        <f>L113-'[1]Jūnijs'!L113</f>
        <v>355</v>
      </c>
      <c r="Q113" s="157">
        <v>2445</v>
      </c>
      <c r="R113" s="157">
        <v>2090</v>
      </c>
      <c r="S113" s="140">
        <f t="shared" si="41"/>
        <v>355</v>
      </c>
    </row>
    <row r="114" spans="1:19" ht="12.75" customHeight="1">
      <c r="A114" s="154" t="s">
        <v>50</v>
      </c>
      <c r="B114" s="164">
        <v>3041252</v>
      </c>
      <c r="C114" s="164">
        <v>1650601</v>
      </c>
      <c r="D114" s="164">
        <v>93746</v>
      </c>
      <c r="E114" s="150">
        <f>IF(ISERROR(D114/B114)," ",(D114/B114))*100</f>
        <v>3.0824805047394954</v>
      </c>
      <c r="F114" s="150">
        <f>IF(ISERROR(D114/C114)," ",(D114/C114))*100</f>
        <v>5.679507040162947</v>
      </c>
      <c r="G114" s="164">
        <f>D114-'[1]Jūnijs'!D114</f>
        <v>34027.76</v>
      </c>
      <c r="I114" s="154" t="s">
        <v>50</v>
      </c>
      <c r="J114" s="157">
        <f>ROUND(B114/1000,0)</f>
        <v>3041</v>
      </c>
      <c r="K114" s="157">
        <f>ROUND(C114/1000,0)</f>
        <v>1651</v>
      </c>
      <c r="L114" s="157">
        <f>ROUND(D114/1000,0)</f>
        <v>94</v>
      </c>
      <c r="M114" s="158">
        <f>L114/J114*100</f>
        <v>3.091088457744163</v>
      </c>
      <c r="N114" s="158">
        <f>L114/K114*100</f>
        <v>5.693519079345851</v>
      </c>
      <c r="O114" s="157">
        <f>L114-'[1]Jūnijs'!L114</f>
        <v>34</v>
      </c>
      <c r="Q114" s="157">
        <v>94</v>
      </c>
      <c r="R114" s="157">
        <v>60</v>
      </c>
      <c r="S114" s="140">
        <f t="shared" si="41"/>
        <v>34</v>
      </c>
    </row>
    <row r="115" spans="1:19" ht="12.75" customHeight="1">
      <c r="A115" s="160" t="s">
        <v>51</v>
      </c>
      <c r="B115" s="166">
        <f>SUM(B116:B117)</f>
        <v>165550646</v>
      </c>
      <c r="C115" s="166">
        <f>SUM(C116:C117)</f>
        <v>97104591</v>
      </c>
      <c r="D115" s="166">
        <f>SUM(D116:D117)</f>
        <v>94372440.55</v>
      </c>
      <c r="E115" s="149">
        <f>IF(ISERROR(D115/B115)," ",(D115/B115))*100</f>
        <v>57.00517807100554</v>
      </c>
      <c r="F115" s="149">
        <f>IF(ISERROR(D115/C115)," ",(D115/C115))*100</f>
        <v>97.1863838549096</v>
      </c>
      <c r="G115" s="166">
        <f>SUM(G116:G117)</f>
        <v>14009545.460000005</v>
      </c>
      <c r="I115" s="160" t="s">
        <v>51</v>
      </c>
      <c r="J115" s="147">
        <f>J116+J117</f>
        <v>165550</v>
      </c>
      <c r="K115" s="147">
        <f>K116+K117</f>
        <v>97105</v>
      </c>
      <c r="L115" s="147">
        <f>L116+L117</f>
        <v>94373</v>
      </c>
      <c r="M115" s="156">
        <f>L115/J115*100</f>
        <v>57.00573844759891</v>
      </c>
      <c r="N115" s="156">
        <f>L115/K115*100</f>
        <v>97.18655064105864</v>
      </c>
      <c r="O115" s="147">
        <f>SUM(O116:O117)</f>
        <v>14010</v>
      </c>
      <c r="Q115" s="147">
        <v>94373</v>
      </c>
      <c r="R115" s="147">
        <v>80363</v>
      </c>
      <c r="S115" s="140">
        <f t="shared" si="41"/>
        <v>14010</v>
      </c>
    </row>
    <row r="116" spans="1:19" ht="12.75" customHeight="1">
      <c r="A116" s="162" t="s">
        <v>52</v>
      </c>
      <c r="B116" s="164">
        <v>162177135</v>
      </c>
      <c r="C116" s="164">
        <v>95055813</v>
      </c>
      <c r="D116" s="164">
        <v>92934653.98</v>
      </c>
      <c r="E116" s="150">
        <f>IF(ISERROR(D116/B116)," ",(D116/B116))*100</f>
        <v>57.304412228024624</v>
      </c>
      <c r="F116" s="150">
        <f>IF(ISERROR(D116/C116)," ",(D116/C116))*100</f>
        <v>97.76851204249866</v>
      </c>
      <c r="G116" s="164">
        <f>D116-'[1]Jūnijs'!D116</f>
        <v>13940046.730000004</v>
      </c>
      <c r="I116" s="162" t="s">
        <v>52</v>
      </c>
      <c r="J116" s="157">
        <f aca="true" t="shared" si="66" ref="J116:L117">ROUND(B116/1000,0)</f>
        <v>162177</v>
      </c>
      <c r="K116" s="157">
        <f t="shared" si="66"/>
        <v>95056</v>
      </c>
      <c r="L116" s="157">
        <f t="shared" si="66"/>
        <v>92935</v>
      </c>
      <c r="M116" s="158">
        <f>L116/J116*100</f>
        <v>57.304673289060716</v>
      </c>
      <c r="N116" s="158">
        <f>L116/K116*100</f>
        <v>97.7686837232789</v>
      </c>
      <c r="O116" s="157">
        <f>L116-'[1]Jūnijs'!L116</f>
        <v>13940</v>
      </c>
      <c r="Q116" s="157">
        <v>92935</v>
      </c>
      <c r="R116" s="157">
        <v>78995</v>
      </c>
      <c r="S116" s="140">
        <f t="shared" si="41"/>
        <v>13940</v>
      </c>
    </row>
    <row r="117" spans="1:19" ht="12.75" customHeight="1">
      <c r="A117" s="162" t="s">
        <v>53</v>
      </c>
      <c r="B117" s="164">
        <v>3373511</v>
      </c>
      <c r="C117" s="164">
        <v>2048778</v>
      </c>
      <c r="D117" s="164">
        <v>1437786.57</v>
      </c>
      <c r="E117" s="150">
        <f>IF(ISERROR(D117/B117)," ",(D117/B117))*100</f>
        <v>42.61988681821403</v>
      </c>
      <c r="F117" s="150">
        <f>IF(ISERROR(D117/C117)," ",(D117/C117))*100</f>
        <v>70.1777630372837</v>
      </c>
      <c r="G117" s="164">
        <f>D117-'[1]Jūnijs'!D117</f>
        <v>69498.72999999998</v>
      </c>
      <c r="I117" s="162" t="s">
        <v>53</v>
      </c>
      <c r="J117" s="157">
        <f>ROUND(B117/1000,0)-1</f>
        <v>3373</v>
      </c>
      <c r="K117" s="157">
        <f t="shared" si="66"/>
        <v>2049</v>
      </c>
      <c r="L117" s="157">
        <f t="shared" si="66"/>
        <v>1438</v>
      </c>
      <c r="M117" s="158">
        <f>L117/J117*100</f>
        <v>42.63267121257041</v>
      </c>
      <c r="N117" s="158">
        <f>L117/K117*100</f>
        <v>70.18057589067837</v>
      </c>
      <c r="O117" s="157">
        <f>L117-'[1]Jūnijs'!L117</f>
        <v>70</v>
      </c>
      <c r="Q117" s="157">
        <v>1438</v>
      </c>
      <c r="R117" s="157">
        <v>1368</v>
      </c>
      <c r="S117" s="140">
        <f t="shared" si="41"/>
        <v>70</v>
      </c>
    </row>
    <row r="118" spans="1:19" ht="12.75" customHeight="1">
      <c r="A118" s="160" t="s">
        <v>81</v>
      </c>
      <c r="B118" s="166"/>
      <c r="C118" s="166"/>
      <c r="D118" s="166"/>
      <c r="E118" s="166"/>
      <c r="F118" s="166"/>
      <c r="G118" s="166"/>
      <c r="I118" s="160" t="s">
        <v>82</v>
      </c>
      <c r="J118" s="166"/>
      <c r="K118" s="166"/>
      <c r="L118" s="166"/>
      <c r="M118" s="158"/>
      <c r="N118" s="158"/>
      <c r="O118" s="166"/>
      <c r="Q118" s="166"/>
      <c r="R118" s="166"/>
      <c r="S118" s="140">
        <f t="shared" si="41"/>
        <v>0</v>
      </c>
    </row>
    <row r="119" spans="1:19" ht="12.75" customHeight="1">
      <c r="A119" s="154" t="s">
        <v>46</v>
      </c>
      <c r="B119" s="164">
        <f>SUM(B120:B122)</f>
        <v>29598661</v>
      </c>
      <c r="C119" s="166">
        <f>SUM(C120:C122)</f>
        <v>16168316</v>
      </c>
      <c r="D119" s="166">
        <f>SUM(D120:D122)</f>
        <v>15519879.82</v>
      </c>
      <c r="E119" s="149">
        <f aca="true" t="shared" si="67" ref="E119:E125">IF(ISERROR(D119/B119)," ",(D119/B119))*100</f>
        <v>52.434398366872074</v>
      </c>
      <c r="F119" s="149">
        <f aca="true" t="shared" si="68" ref="F119:F125">IF(ISERROR(D119/C119)," ",(D119/C119))*100</f>
        <v>95.98946371409367</v>
      </c>
      <c r="G119" s="166">
        <f>SUM(G120:G122)</f>
        <v>2194172.52</v>
      </c>
      <c r="I119" s="154" t="s">
        <v>46</v>
      </c>
      <c r="J119" s="147">
        <f>J120+J121+J122</f>
        <v>29598</v>
      </c>
      <c r="K119" s="147">
        <f>K120+K121+K122</f>
        <v>16168</v>
      </c>
      <c r="L119" s="147">
        <f>L120+L121+L122</f>
        <v>15519</v>
      </c>
      <c r="M119" s="156">
        <f aca="true" t="shared" si="69" ref="M119:M125">L119/J119*100</f>
        <v>52.43259679708089</v>
      </c>
      <c r="N119" s="156">
        <f aca="true" t="shared" si="70" ref="N119:N125">L119/K119*100</f>
        <v>95.98589807026224</v>
      </c>
      <c r="O119" s="147">
        <f>SUM(O120:O122)</f>
        <v>2193</v>
      </c>
      <c r="Q119" s="147">
        <v>15519</v>
      </c>
      <c r="R119" s="147">
        <v>13326</v>
      </c>
      <c r="S119" s="140">
        <f t="shared" si="41"/>
        <v>2193</v>
      </c>
    </row>
    <row r="120" spans="1:19" ht="12.75" customHeight="1">
      <c r="A120" s="154" t="s">
        <v>47</v>
      </c>
      <c r="B120" s="164">
        <v>25845085</v>
      </c>
      <c r="C120" s="164">
        <v>14501347</v>
      </c>
      <c r="D120" s="164">
        <v>14501347</v>
      </c>
      <c r="E120" s="150">
        <f t="shared" si="67"/>
        <v>56.108722412791444</v>
      </c>
      <c r="F120" s="150">
        <f t="shared" si="68"/>
        <v>100</v>
      </c>
      <c r="G120" s="164">
        <f>D120-'[1]Jūnijs'!D120</f>
        <v>2078633</v>
      </c>
      <c r="I120" s="154" t="s">
        <v>47</v>
      </c>
      <c r="J120" s="157">
        <f>ROUND(B120/1000,0)</f>
        <v>25845</v>
      </c>
      <c r="K120" s="157">
        <f aca="true" t="shared" si="71" ref="K120:L122">ROUND(C120/1000,0)</f>
        <v>14501</v>
      </c>
      <c r="L120" s="157">
        <f t="shared" si="71"/>
        <v>14501</v>
      </c>
      <c r="M120" s="158">
        <f t="shared" si="69"/>
        <v>56.10756432578835</v>
      </c>
      <c r="N120" s="158">
        <f t="shared" si="70"/>
        <v>100</v>
      </c>
      <c r="O120" s="157">
        <f>L120-'[1]Jūnijs'!L120</f>
        <v>2078</v>
      </c>
      <c r="Q120" s="157">
        <v>14501</v>
      </c>
      <c r="R120" s="157">
        <v>12423</v>
      </c>
      <c r="S120" s="140">
        <f t="shared" si="41"/>
        <v>2078</v>
      </c>
    </row>
    <row r="121" spans="1:19" ht="12.75" customHeight="1">
      <c r="A121" s="154" t="s">
        <v>49</v>
      </c>
      <c r="B121" s="164">
        <v>1330472</v>
      </c>
      <c r="C121" s="164">
        <v>774027</v>
      </c>
      <c r="D121" s="164">
        <v>498162.82</v>
      </c>
      <c r="E121" s="150">
        <f t="shared" si="67"/>
        <v>37.44256324071457</v>
      </c>
      <c r="F121" s="150">
        <f t="shared" si="68"/>
        <v>64.35987633506325</v>
      </c>
      <c r="G121" s="164">
        <f>D121-'[1]Jūnijs'!D121</f>
        <v>81248.52000000002</v>
      </c>
      <c r="I121" s="154" t="s">
        <v>49</v>
      </c>
      <c r="J121" s="157">
        <f>ROUND(B121/1000,0)</f>
        <v>1330</v>
      </c>
      <c r="K121" s="157">
        <f t="shared" si="71"/>
        <v>774</v>
      </c>
      <c r="L121" s="157">
        <f t="shared" si="71"/>
        <v>498</v>
      </c>
      <c r="M121" s="158">
        <f t="shared" si="69"/>
        <v>37.44360902255639</v>
      </c>
      <c r="N121" s="158">
        <f t="shared" si="70"/>
        <v>64.34108527131784</v>
      </c>
      <c r="O121" s="157">
        <f>L121-'[1]Jūnijs'!L121</f>
        <v>81</v>
      </c>
      <c r="Q121" s="157">
        <v>498</v>
      </c>
      <c r="R121" s="157">
        <v>417</v>
      </c>
      <c r="S121" s="140">
        <f t="shared" si="41"/>
        <v>81</v>
      </c>
    </row>
    <row r="122" spans="1:19" ht="12.75" customHeight="1">
      <c r="A122" s="154" t="s">
        <v>50</v>
      </c>
      <c r="B122" s="164">
        <v>2423104</v>
      </c>
      <c r="C122" s="164">
        <v>892942</v>
      </c>
      <c r="D122" s="164">
        <v>520370</v>
      </c>
      <c r="E122" s="150">
        <f t="shared" si="67"/>
        <v>21.475347323102927</v>
      </c>
      <c r="F122" s="150">
        <f t="shared" si="68"/>
        <v>58.27590145832539</v>
      </c>
      <c r="G122" s="164">
        <f>D122-'[1]Jūnijs'!D122</f>
        <v>34291</v>
      </c>
      <c r="I122" s="154" t="s">
        <v>50</v>
      </c>
      <c r="J122" s="157">
        <f>ROUND(B122/1000,0)</f>
        <v>2423</v>
      </c>
      <c r="K122" s="157">
        <f t="shared" si="71"/>
        <v>893</v>
      </c>
      <c r="L122" s="157">
        <f t="shared" si="71"/>
        <v>520</v>
      </c>
      <c r="M122" s="158">
        <f t="shared" si="69"/>
        <v>21.460998761865458</v>
      </c>
      <c r="N122" s="158">
        <f t="shared" si="70"/>
        <v>58.23068309070548</v>
      </c>
      <c r="O122" s="157">
        <f>L122-'[1]Jūnijs'!L122</f>
        <v>34</v>
      </c>
      <c r="Q122" s="157">
        <v>520</v>
      </c>
      <c r="R122" s="157">
        <v>486</v>
      </c>
      <c r="S122" s="140">
        <f t="shared" si="41"/>
        <v>34</v>
      </c>
    </row>
    <row r="123" spans="1:19" ht="12.75" customHeight="1">
      <c r="A123" s="160" t="s">
        <v>51</v>
      </c>
      <c r="B123" s="166">
        <f>SUM(B124:B125)</f>
        <v>29603817</v>
      </c>
      <c r="C123" s="166">
        <f>SUM(C124:C125)</f>
        <v>16168316</v>
      </c>
      <c r="D123" s="166">
        <f>SUM(D124:D125)</f>
        <v>15289784.469999999</v>
      </c>
      <c r="E123" s="150">
        <f t="shared" si="67"/>
        <v>51.648017112117664</v>
      </c>
      <c r="F123" s="150">
        <f t="shared" si="68"/>
        <v>94.56633869600272</v>
      </c>
      <c r="G123" s="166">
        <f>SUM(G124:G125)</f>
        <v>2097937.329999998</v>
      </c>
      <c r="I123" s="160" t="s">
        <v>51</v>
      </c>
      <c r="J123" s="147">
        <f>J124+J125</f>
        <v>29603</v>
      </c>
      <c r="K123" s="147">
        <f>K124+K125</f>
        <v>16169</v>
      </c>
      <c r="L123" s="147">
        <f>L124+L125</f>
        <v>15290</v>
      </c>
      <c r="M123" s="156">
        <f t="shared" si="69"/>
        <v>51.6501705908185</v>
      </c>
      <c r="N123" s="156">
        <f t="shared" si="70"/>
        <v>94.56367122271013</v>
      </c>
      <c r="O123" s="147">
        <f>SUM(O124:O125)</f>
        <v>2098</v>
      </c>
      <c r="Q123" s="147">
        <v>15290</v>
      </c>
      <c r="R123" s="147">
        <v>13192</v>
      </c>
      <c r="S123" s="140">
        <f t="shared" si="41"/>
        <v>2098</v>
      </c>
    </row>
    <row r="124" spans="1:19" ht="12.75" customHeight="1">
      <c r="A124" s="162" t="s">
        <v>52</v>
      </c>
      <c r="B124" s="164">
        <v>25959500</v>
      </c>
      <c r="C124" s="164">
        <v>13842548</v>
      </c>
      <c r="D124" s="164">
        <v>13151608.78</v>
      </c>
      <c r="E124" s="150">
        <f t="shared" si="67"/>
        <v>50.66202654134324</v>
      </c>
      <c r="F124" s="150">
        <f t="shared" si="68"/>
        <v>95.00858353534333</v>
      </c>
      <c r="G124" s="164">
        <f>D124-'[1]Jūnijs'!D124</f>
        <v>1837346.7299999986</v>
      </c>
      <c r="I124" s="162" t="s">
        <v>52</v>
      </c>
      <c r="J124" s="157">
        <f>ROUND(B124/1000,0)-1</f>
        <v>25959</v>
      </c>
      <c r="K124" s="157">
        <f>ROUND(C124/1000,0)</f>
        <v>13843</v>
      </c>
      <c r="L124" s="157">
        <f>ROUND(D124/1000,0)</f>
        <v>13152</v>
      </c>
      <c r="M124" s="158">
        <f t="shared" si="69"/>
        <v>50.66450941869872</v>
      </c>
      <c r="N124" s="158">
        <f t="shared" si="70"/>
        <v>95.00830744780757</v>
      </c>
      <c r="O124" s="157">
        <f>L124-'[1]Jūnijs'!L124</f>
        <v>1838</v>
      </c>
      <c r="Q124" s="157">
        <v>13152</v>
      </c>
      <c r="R124" s="157">
        <v>11314</v>
      </c>
      <c r="S124" s="140">
        <f t="shared" si="41"/>
        <v>1838</v>
      </c>
    </row>
    <row r="125" spans="1:19" ht="12.75" customHeight="1">
      <c r="A125" s="162" t="s">
        <v>53</v>
      </c>
      <c r="B125" s="164">
        <v>3644317</v>
      </c>
      <c r="C125" s="164">
        <v>2325768</v>
      </c>
      <c r="D125" s="164">
        <v>2138175.69</v>
      </c>
      <c r="E125" s="150">
        <f t="shared" si="67"/>
        <v>58.671506622502925</v>
      </c>
      <c r="F125" s="150">
        <f t="shared" si="68"/>
        <v>91.93417787156758</v>
      </c>
      <c r="G125" s="164">
        <f>D125-'[1]Jūnijs'!D125</f>
        <v>260590.59999999986</v>
      </c>
      <c r="I125" s="162" t="s">
        <v>53</v>
      </c>
      <c r="J125" s="157">
        <f>ROUND(B125/1000,0)</f>
        <v>3644</v>
      </c>
      <c r="K125" s="157">
        <f>ROUND(C125/1000,0)</f>
        <v>2326</v>
      </c>
      <c r="L125" s="157">
        <f>ROUND(D125/1000,0)</f>
        <v>2138</v>
      </c>
      <c r="M125" s="158">
        <f t="shared" si="69"/>
        <v>58.671789242590556</v>
      </c>
      <c r="N125" s="158">
        <f t="shared" si="70"/>
        <v>91.91745485812554</v>
      </c>
      <c r="O125" s="157">
        <f>L125-'[1]Jūnijs'!L125</f>
        <v>260</v>
      </c>
      <c r="Q125" s="157">
        <v>2138</v>
      </c>
      <c r="R125" s="157">
        <v>1878</v>
      </c>
      <c r="S125" s="140">
        <f t="shared" si="41"/>
        <v>260</v>
      </c>
    </row>
    <row r="126" spans="1:19" ht="25.5" customHeight="1">
      <c r="A126" s="165" t="s">
        <v>83</v>
      </c>
      <c r="B126" s="164"/>
      <c r="C126" s="164"/>
      <c r="D126" s="164"/>
      <c r="E126" s="164"/>
      <c r="F126" s="164"/>
      <c r="G126" s="164"/>
      <c r="I126" s="165" t="s">
        <v>84</v>
      </c>
      <c r="J126" s="164"/>
      <c r="K126" s="164"/>
      <c r="L126" s="164"/>
      <c r="M126" s="158"/>
      <c r="N126" s="158"/>
      <c r="O126" s="164"/>
      <c r="Q126" s="164"/>
      <c r="R126" s="164"/>
      <c r="S126" s="140">
        <f t="shared" si="41"/>
        <v>0</v>
      </c>
    </row>
    <row r="127" spans="1:19" ht="12.75" customHeight="1">
      <c r="A127" s="154" t="s">
        <v>46</v>
      </c>
      <c r="B127" s="164">
        <f>SUM(B128:B130)</f>
        <v>14202440</v>
      </c>
      <c r="C127" s="166">
        <f>SUM(C128:C130)</f>
        <v>7819901</v>
      </c>
      <c r="D127" s="166">
        <f>SUM(D128:D130)</f>
        <v>6503986.99</v>
      </c>
      <c r="E127" s="149">
        <f aca="true" t="shared" si="72" ref="E127:E133">IF(ISERROR(D127/B127)," ",(D127/B127))*100</f>
        <v>45.79485630638116</v>
      </c>
      <c r="F127" s="149">
        <f aca="true" t="shared" si="73" ref="F127:F133">IF(ISERROR(D127/C127)," ",(D127/C127))*100</f>
        <v>83.1722420782565</v>
      </c>
      <c r="G127" s="166">
        <f>SUM(G128:G130)</f>
        <v>728168.86</v>
      </c>
      <c r="I127" s="154" t="s">
        <v>46</v>
      </c>
      <c r="J127" s="147">
        <f>J128+J129+J130</f>
        <v>14202</v>
      </c>
      <c r="K127" s="147">
        <f>K128+K129+K130</f>
        <v>7820</v>
      </c>
      <c r="L127" s="147">
        <f>L128+L129+L130</f>
        <v>6505</v>
      </c>
      <c r="M127" s="156">
        <f aca="true" t="shared" si="74" ref="M127:M133">L127/J127*100</f>
        <v>45.80340797070835</v>
      </c>
      <c r="N127" s="156">
        <f aca="true" t="shared" si="75" ref="N127:N133">L127/K127*100</f>
        <v>83.18414322250639</v>
      </c>
      <c r="O127" s="147">
        <f>SUM(O128:O130)</f>
        <v>729</v>
      </c>
      <c r="Q127" s="147">
        <v>6505</v>
      </c>
      <c r="R127" s="147">
        <v>5776</v>
      </c>
      <c r="S127" s="140">
        <f t="shared" si="41"/>
        <v>729</v>
      </c>
    </row>
    <row r="128" spans="1:19" ht="12.75" customHeight="1">
      <c r="A128" s="154" t="s">
        <v>47</v>
      </c>
      <c r="B128" s="164">
        <v>7619458</v>
      </c>
      <c r="C128" s="164">
        <v>4162868</v>
      </c>
      <c r="D128" s="164">
        <v>4162868</v>
      </c>
      <c r="E128" s="150">
        <f t="shared" si="72"/>
        <v>54.63469973848534</v>
      </c>
      <c r="F128" s="150">
        <f t="shared" si="73"/>
        <v>100</v>
      </c>
      <c r="G128" s="164">
        <f>D128-'[1]Jūnijs'!D128</f>
        <v>584974</v>
      </c>
      <c r="I128" s="154" t="s">
        <v>47</v>
      </c>
      <c r="J128" s="157">
        <f aca="true" t="shared" si="76" ref="J128:L129">ROUND(B128/1000,0)</f>
        <v>7619</v>
      </c>
      <c r="K128" s="157">
        <f t="shared" si="76"/>
        <v>4163</v>
      </c>
      <c r="L128" s="157">
        <f t="shared" si="76"/>
        <v>4163</v>
      </c>
      <c r="M128" s="158">
        <f t="shared" si="74"/>
        <v>54.63971649822812</v>
      </c>
      <c r="N128" s="158">
        <f t="shared" si="75"/>
        <v>100</v>
      </c>
      <c r="O128" s="157">
        <f>L128-'[1]Jūnijs'!L128</f>
        <v>585</v>
      </c>
      <c r="Q128" s="157">
        <v>4163</v>
      </c>
      <c r="R128" s="157">
        <v>3578</v>
      </c>
      <c r="S128" s="140">
        <f t="shared" si="41"/>
        <v>585</v>
      </c>
    </row>
    <row r="129" spans="1:19" ht="12.75" customHeight="1">
      <c r="A129" s="154" t="s">
        <v>49</v>
      </c>
      <c r="B129" s="164">
        <v>1360524</v>
      </c>
      <c r="C129" s="164">
        <v>738373</v>
      </c>
      <c r="D129" s="164">
        <v>795893.99</v>
      </c>
      <c r="E129" s="150">
        <f t="shared" si="72"/>
        <v>58.49907756129256</v>
      </c>
      <c r="F129" s="150">
        <f t="shared" si="73"/>
        <v>107.79023474585338</v>
      </c>
      <c r="G129" s="164">
        <f>D129-'[1]Jūnijs'!D129</f>
        <v>143194.86</v>
      </c>
      <c r="I129" s="154" t="s">
        <v>49</v>
      </c>
      <c r="J129" s="157">
        <f>ROUND(B129/1000,0)-1</f>
        <v>1360</v>
      </c>
      <c r="K129" s="157">
        <f t="shared" si="76"/>
        <v>738</v>
      </c>
      <c r="L129" s="157">
        <f t="shared" si="76"/>
        <v>796</v>
      </c>
      <c r="M129" s="158">
        <f t="shared" si="74"/>
        <v>58.529411764705884</v>
      </c>
      <c r="N129" s="158">
        <f t="shared" si="75"/>
        <v>107.85907859078591</v>
      </c>
      <c r="O129" s="157">
        <f>L129-'[1]Jūnijs'!L129</f>
        <v>143</v>
      </c>
      <c r="Q129" s="157">
        <v>796</v>
      </c>
      <c r="R129" s="157">
        <v>653</v>
      </c>
      <c r="S129" s="140">
        <f t="shared" si="41"/>
        <v>143</v>
      </c>
    </row>
    <row r="130" spans="1:256" ht="12.75" customHeight="1">
      <c r="A130" s="154" t="s">
        <v>50</v>
      </c>
      <c r="B130" s="164">
        <v>5222458</v>
      </c>
      <c r="C130" s="164">
        <v>2918660</v>
      </c>
      <c r="D130" s="164">
        <v>1545225</v>
      </c>
      <c r="E130" s="150">
        <f t="shared" si="72"/>
        <v>29.588079023325797</v>
      </c>
      <c r="F130" s="150">
        <f t="shared" si="73"/>
        <v>52.94296012553706</v>
      </c>
      <c r="G130" s="164">
        <f>D130-'[1]Jūnijs'!D130</f>
        <v>0</v>
      </c>
      <c r="I130" s="154" t="s">
        <v>50</v>
      </c>
      <c r="J130" s="157">
        <f>ROUND(B130/1000,0)+1</f>
        <v>5223</v>
      </c>
      <c r="K130" s="157">
        <f>ROUND(C130/1000,0)</f>
        <v>2919</v>
      </c>
      <c r="L130" s="157">
        <f>ROUND(D130/1000,0)+1</f>
        <v>1546</v>
      </c>
      <c r="M130" s="158">
        <f t="shared" si="74"/>
        <v>29.599846831322996</v>
      </c>
      <c r="N130" s="158">
        <f t="shared" si="75"/>
        <v>52.96334361082563</v>
      </c>
      <c r="O130" s="157">
        <f>L130-'[1]Jūnijs'!L130</f>
        <v>1</v>
      </c>
      <c r="Q130" s="157">
        <v>1546</v>
      </c>
      <c r="R130" s="157">
        <v>1545</v>
      </c>
      <c r="S130" s="140">
        <f t="shared" si="41"/>
        <v>1</v>
      </c>
      <c r="IV130" s="157">
        <f>ROUND(IN130/1000,0)</f>
        <v>0</v>
      </c>
    </row>
    <row r="131" spans="1:19" ht="12.75" customHeight="1">
      <c r="A131" s="160" t="s">
        <v>51</v>
      </c>
      <c r="B131" s="166">
        <f>SUM(B132:B133)</f>
        <v>14202440</v>
      </c>
      <c r="C131" s="166">
        <f>SUM(C132:C133)</f>
        <v>7819901</v>
      </c>
      <c r="D131" s="166">
        <f>SUM(D132:D133)</f>
        <v>5925127.04</v>
      </c>
      <c r="E131" s="150">
        <f t="shared" si="72"/>
        <v>41.719078130236774</v>
      </c>
      <c r="F131" s="150">
        <f t="shared" si="73"/>
        <v>75.76984721417828</v>
      </c>
      <c r="G131" s="166">
        <f>SUM(G132:G133)</f>
        <v>678883.1700000002</v>
      </c>
      <c r="I131" s="160" t="s">
        <v>51</v>
      </c>
      <c r="J131" s="147">
        <f>J132+J133</f>
        <v>14202</v>
      </c>
      <c r="K131" s="147">
        <f>K132+K133</f>
        <v>7820</v>
      </c>
      <c r="L131" s="147">
        <f>L132+L133</f>
        <v>5925</v>
      </c>
      <c r="M131" s="156">
        <f t="shared" si="74"/>
        <v>41.719476130122516</v>
      </c>
      <c r="N131" s="156">
        <f t="shared" si="75"/>
        <v>75.76726342710998</v>
      </c>
      <c r="O131" s="147">
        <f>SUM(O132:O133)</f>
        <v>678</v>
      </c>
      <c r="Q131" s="147">
        <v>5925</v>
      </c>
      <c r="R131" s="147">
        <v>5247</v>
      </c>
      <c r="S131" s="140">
        <f t="shared" si="41"/>
        <v>678</v>
      </c>
    </row>
    <row r="132" spans="1:19" ht="12.75" customHeight="1">
      <c r="A132" s="162" t="s">
        <v>52</v>
      </c>
      <c r="B132" s="164">
        <v>7366956</v>
      </c>
      <c r="C132" s="164">
        <v>4167891</v>
      </c>
      <c r="D132" s="164">
        <v>3875300.64</v>
      </c>
      <c r="E132" s="150">
        <f t="shared" si="72"/>
        <v>52.60382497194228</v>
      </c>
      <c r="F132" s="150">
        <f t="shared" si="73"/>
        <v>92.97989414790358</v>
      </c>
      <c r="G132" s="164">
        <f>D132-'[1]Jūnijs'!D132</f>
        <v>586796.1300000004</v>
      </c>
      <c r="I132" s="162" t="s">
        <v>52</v>
      </c>
      <c r="J132" s="157">
        <f aca="true" t="shared" si="77" ref="J132:L133">ROUND(B132/1000,0)</f>
        <v>7367</v>
      </c>
      <c r="K132" s="157">
        <f t="shared" si="77"/>
        <v>4168</v>
      </c>
      <c r="L132" s="157">
        <f t="shared" si="77"/>
        <v>3875</v>
      </c>
      <c r="M132" s="158">
        <f t="shared" si="74"/>
        <v>52.59942989005022</v>
      </c>
      <c r="N132" s="158">
        <f t="shared" si="75"/>
        <v>92.97024952015354</v>
      </c>
      <c r="O132" s="157">
        <f>L132-'[1]Jūnijs'!L132</f>
        <v>586</v>
      </c>
      <c r="Q132" s="157">
        <v>3875</v>
      </c>
      <c r="R132" s="157">
        <v>3289</v>
      </c>
      <c r="S132" s="140">
        <f t="shared" si="41"/>
        <v>586</v>
      </c>
    </row>
    <row r="133" spans="1:19" ht="12.75" customHeight="1">
      <c r="A133" s="162" t="s">
        <v>53</v>
      </c>
      <c r="B133" s="164">
        <v>6835484</v>
      </c>
      <c r="C133" s="164">
        <v>3652010</v>
      </c>
      <c r="D133" s="164">
        <v>2049826.4</v>
      </c>
      <c r="E133" s="150">
        <f t="shared" si="72"/>
        <v>29.988021331042543</v>
      </c>
      <c r="F133" s="150">
        <f t="shared" si="73"/>
        <v>56.1287181579459</v>
      </c>
      <c r="G133" s="164">
        <f>D133-'[1]Jūnijs'!D133</f>
        <v>92087.0399999998</v>
      </c>
      <c r="I133" s="162" t="s">
        <v>53</v>
      </c>
      <c r="J133" s="157">
        <f t="shared" si="77"/>
        <v>6835</v>
      </c>
      <c r="K133" s="157">
        <f t="shared" si="77"/>
        <v>3652</v>
      </c>
      <c r="L133" s="157">
        <f t="shared" si="77"/>
        <v>2050</v>
      </c>
      <c r="M133" s="158">
        <f t="shared" si="74"/>
        <v>29.992684711046085</v>
      </c>
      <c r="N133" s="158">
        <f t="shared" si="75"/>
        <v>56.13362541073384</v>
      </c>
      <c r="O133" s="157">
        <f>L133-'[1]Jūnijs'!L133</f>
        <v>92</v>
      </c>
      <c r="Q133" s="157">
        <v>2050</v>
      </c>
      <c r="R133" s="157">
        <v>1958</v>
      </c>
      <c r="S133" s="140">
        <f t="shared" si="41"/>
        <v>92</v>
      </c>
    </row>
    <row r="134" spans="1:19" ht="12.75" customHeight="1">
      <c r="A134" s="160" t="s">
        <v>85</v>
      </c>
      <c r="B134" s="166"/>
      <c r="C134" s="166"/>
      <c r="D134" s="166"/>
      <c r="E134" s="166"/>
      <c r="F134" s="166"/>
      <c r="G134" s="166"/>
      <c r="I134" s="160" t="s">
        <v>86</v>
      </c>
      <c r="J134" s="166"/>
      <c r="K134" s="166"/>
      <c r="L134" s="166"/>
      <c r="M134" s="158"/>
      <c r="N134" s="158"/>
      <c r="O134" s="166"/>
      <c r="Q134" s="166"/>
      <c r="R134" s="166"/>
      <c r="S134" s="140">
        <f t="shared" si="41"/>
        <v>0</v>
      </c>
    </row>
    <row r="135" spans="1:19" ht="12.75" customHeight="1">
      <c r="A135" s="154" t="s">
        <v>46</v>
      </c>
      <c r="B135" s="164">
        <f>SUM(B136:B138)</f>
        <v>20030603</v>
      </c>
      <c r="C135" s="166">
        <f>SUM(C136:C138)</f>
        <v>12439083</v>
      </c>
      <c r="D135" s="166">
        <f>SUM(D136:D138)</f>
        <v>12211946.44</v>
      </c>
      <c r="E135" s="149">
        <f aca="true" t="shared" si="78" ref="E135:E141">IF(ISERROR(D135/B135)," ",(D135/B135))*100</f>
        <v>60.96644439510882</v>
      </c>
      <c r="F135" s="149">
        <f aca="true" t="shared" si="79" ref="F135:F141">IF(ISERROR(D135/C135)," ",(D135/C135))*100</f>
        <v>98.17400880756242</v>
      </c>
      <c r="G135" s="166">
        <f>SUM(G136:G138)</f>
        <v>1776100.0599999998</v>
      </c>
      <c r="I135" s="154" t="s">
        <v>46</v>
      </c>
      <c r="J135" s="147">
        <f>J136+J137+J138</f>
        <v>20030</v>
      </c>
      <c r="K135" s="147">
        <f>K136+K137+K138</f>
        <v>12439</v>
      </c>
      <c r="L135" s="147">
        <f>L136+L137+L138</f>
        <v>12212</v>
      </c>
      <c r="M135" s="156">
        <f aca="true" t="shared" si="80" ref="M135:M141">L135/J135*100</f>
        <v>60.96854717923116</v>
      </c>
      <c r="N135" s="156">
        <f aca="true" t="shared" si="81" ref="N135:N141">L135/K135*100</f>
        <v>98.17509446096953</v>
      </c>
      <c r="O135" s="147">
        <f>SUM(O136:O138)</f>
        <v>1776</v>
      </c>
      <c r="Q135" s="147">
        <v>12212</v>
      </c>
      <c r="R135" s="147">
        <v>10436</v>
      </c>
      <c r="S135" s="140">
        <f t="shared" si="41"/>
        <v>1776</v>
      </c>
    </row>
    <row r="136" spans="1:19" ht="12.75" customHeight="1">
      <c r="A136" s="154" t="s">
        <v>47</v>
      </c>
      <c r="B136" s="164">
        <v>17201984</v>
      </c>
      <c r="C136" s="164">
        <v>10654134</v>
      </c>
      <c r="D136" s="164">
        <v>10654134</v>
      </c>
      <c r="E136" s="150">
        <f t="shared" si="78"/>
        <v>61.9354953475134</v>
      </c>
      <c r="F136" s="150">
        <f t="shared" si="79"/>
        <v>100</v>
      </c>
      <c r="G136" s="164">
        <f>D136-'[1]Jūnijs'!D136</f>
        <v>1580730</v>
      </c>
      <c r="I136" s="154" t="s">
        <v>47</v>
      </c>
      <c r="J136" s="157">
        <f aca="true" t="shared" si="82" ref="J136:L138">ROUND(B136/1000,0)</f>
        <v>17202</v>
      </c>
      <c r="K136" s="157">
        <f t="shared" si="82"/>
        <v>10654</v>
      </c>
      <c r="L136" s="157">
        <f t="shared" si="82"/>
        <v>10654</v>
      </c>
      <c r="M136" s="158">
        <f t="shared" si="80"/>
        <v>61.93465876060923</v>
      </c>
      <c r="N136" s="158">
        <f t="shared" si="81"/>
        <v>100</v>
      </c>
      <c r="O136" s="157">
        <f>L136-'[1]Jūnijs'!L136</f>
        <v>1581</v>
      </c>
      <c r="Q136" s="157">
        <v>10654</v>
      </c>
      <c r="R136" s="157">
        <v>9073</v>
      </c>
      <c r="S136" s="140">
        <f t="shared" si="41"/>
        <v>1581</v>
      </c>
    </row>
    <row r="137" spans="1:19" ht="12.75" customHeight="1">
      <c r="A137" s="154" t="s">
        <v>49</v>
      </c>
      <c r="B137" s="164">
        <v>2567226</v>
      </c>
      <c r="C137" s="164">
        <v>1523556</v>
      </c>
      <c r="D137" s="164">
        <v>1488159.42</v>
      </c>
      <c r="E137" s="150">
        <f t="shared" si="78"/>
        <v>57.96760472198395</v>
      </c>
      <c r="F137" s="150">
        <f t="shared" si="79"/>
        <v>97.67671290060883</v>
      </c>
      <c r="G137" s="164">
        <f>D137-'[1]Jūnijs'!D137</f>
        <v>195370.05999999982</v>
      </c>
      <c r="I137" s="154" t="s">
        <v>49</v>
      </c>
      <c r="J137" s="157">
        <f t="shared" si="82"/>
        <v>2567</v>
      </c>
      <c r="K137" s="157">
        <f t="shared" si="82"/>
        <v>1524</v>
      </c>
      <c r="L137" s="157">
        <f t="shared" si="82"/>
        <v>1488</v>
      </c>
      <c r="M137" s="158">
        <f t="shared" si="80"/>
        <v>57.96649785742112</v>
      </c>
      <c r="N137" s="158">
        <f t="shared" si="81"/>
        <v>97.63779527559055</v>
      </c>
      <c r="O137" s="157">
        <f>L137-'[1]Jūnijs'!L137</f>
        <v>195</v>
      </c>
      <c r="Q137" s="157">
        <v>1488</v>
      </c>
      <c r="R137" s="157">
        <v>1293</v>
      </c>
      <c r="S137" s="140">
        <f t="shared" si="41"/>
        <v>195</v>
      </c>
    </row>
    <row r="138" spans="1:19" ht="12.75" customHeight="1">
      <c r="A138" s="154" t="s">
        <v>50</v>
      </c>
      <c r="B138" s="164">
        <v>261393</v>
      </c>
      <c r="C138" s="164">
        <v>261393</v>
      </c>
      <c r="D138" s="164">
        <v>69653.02</v>
      </c>
      <c r="E138" s="150">
        <f t="shared" si="78"/>
        <v>26.646857413932278</v>
      </c>
      <c r="F138" s="150">
        <f t="shared" si="79"/>
        <v>26.646857413932278</v>
      </c>
      <c r="G138" s="164">
        <f>D138-'[1]Jūnijs'!D138</f>
        <v>0</v>
      </c>
      <c r="I138" s="154" t="s">
        <v>50</v>
      </c>
      <c r="J138" s="157">
        <f t="shared" si="82"/>
        <v>261</v>
      </c>
      <c r="K138" s="157">
        <f t="shared" si="82"/>
        <v>261</v>
      </c>
      <c r="L138" s="157">
        <f t="shared" si="82"/>
        <v>70</v>
      </c>
      <c r="M138" s="158">
        <f t="shared" si="80"/>
        <v>26.81992337164751</v>
      </c>
      <c r="N138" s="158">
        <f t="shared" si="81"/>
        <v>26.81992337164751</v>
      </c>
      <c r="O138" s="157">
        <f>L138-'[1]Jūnijs'!L138</f>
        <v>0</v>
      </c>
      <c r="Q138" s="157">
        <v>70</v>
      </c>
      <c r="R138" s="157">
        <v>70</v>
      </c>
      <c r="S138" s="140">
        <f aca="true" t="shared" si="83" ref="S138:S201">Q138-R138</f>
        <v>0</v>
      </c>
    </row>
    <row r="139" spans="1:19" ht="12.75" customHeight="1">
      <c r="A139" s="160" t="s">
        <v>51</v>
      </c>
      <c r="B139" s="166">
        <f>SUM(B140:B141)</f>
        <v>20115989</v>
      </c>
      <c r="C139" s="166">
        <f>SUM(C140:C141)</f>
        <v>12459086</v>
      </c>
      <c r="D139" s="166">
        <f>SUM(D140:D141)</f>
        <v>11775067.25</v>
      </c>
      <c r="E139" s="150">
        <f t="shared" si="78"/>
        <v>58.53586045408953</v>
      </c>
      <c r="F139" s="150">
        <f t="shared" si="79"/>
        <v>94.50988017901153</v>
      </c>
      <c r="G139" s="166">
        <f>SUM(G140:G141)</f>
        <v>1707951.2000000002</v>
      </c>
      <c r="I139" s="160" t="s">
        <v>51</v>
      </c>
      <c r="J139" s="147">
        <f>J140+J141</f>
        <v>20116</v>
      </c>
      <c r="K139" s="147">
        <f>K140+K141</f>
        <v>12459</v>
      </c>
      <c r="L139" s="147">
        <f>L140+L141</f>
        <v>11775</v>
      </c>
      <c r="M139" s="156">
        <f t="shared" si="80"/>
        <v>58.53549413402267</v>
      </c>
      <c r="N139" s="156">
        <f t="shared" si="81"/>
        <v>94.50999277630629</v>
      </c>
      <c r="O139" s="147">
        <f>SUM(O140:O141)</f>
        <v>1708</v>
      </c>
      <c r="Q139" s="147">
        <v>11775</v>
      </c>
      <c r="R139" s="147">
        <v>10067</v>
      </c>
      <c r="S139" s="140">
        <f t="shared" si="83"/>
        <v>1708</v>
      </c>
    </row>
    <row r="140" spans="1:19" ht="12.75" customHeight="1">
      <c r="A140" s="162" t="s">
        <v>52</v>
      </c>
      <c r="B140" s="164">
        <v>19531258</v>
      </c>
      <c r="C140" s="164">
        <v>12053435</v>
      </c>
      <c r="D140" s="164">
        <v>11455100.53</v>
      </c>
      <c r="E140" s="150">
        <f t="shared" si="78"/>
        <v>58.65009069052285</v>
      </c>
      <c r="F140" s="150">
        <f t="shared" si="79"/>
        <v>95.03598376728293</v>
      </c>
      <c r="G140" s="164">
        <f>D140-'[1]Jūnijs'!D140</f>
        <v>1664290.6600000001</v>
      </c>
      <c r="I140" s="162" t="s">
        <v>52</v>
      </c>
      <c r="J140" s="157">
        <f aca="true" t="shared" si="84" ref="J140:L141">ROUND(B140/1000,0)</f>
        <v>19531</v>
      </c>
      <c r="K140" s="157">
        <f t="shared" si="84"/>
        <v>12053</v>
      </c>
      <c r="L140" s="157">
        <f t="shared" si="84"/>
        <v>11455</v>
      </c>
      <c r="M140" s="158">
        <f t="shared" si="80"/>
        <v>58.65035072448927</v>
      </c>
      <c r="N140" s="158">
        <f t="shared" si="81"/>
        <v>95.03857960673692</v>
      </c>
      <c r="O140" s="157">
        <f>L140-'[1]Jūnijs'!L140</f>
        <v>1664</v>
      </c>
      <c r="Q140" s="157">
        <v>11455</v>
      </c>
      <c r="R140" s="157">
        <v>9791</v>
      </c>
      <c r="S140" s="140">
        <f t="shared" si="83"/>
        <v>1664</v>
      </c>
    </row>
    <row r="141" spans="1:19" ht="12.75" customHeight="1">
      <c r="A141" s="162" t="s">
        <v>53</v>
      </c>
      <c r="B141" s="164">
        <v>584731</v>
      </c>
      <c r="C141" s="164">
        <v>405651</v>
      </c>
      <c r="D141" s="164">
        <v>319966.72</v>
      </c>
      <c r="E141" s="150">
        <f t="shared" si="78"/>
        <v>54.72032780885569</v>
      </c>
      <c r="F141" s="150">
        <f t="shared" si="79"/>
        <v>78.87734037386817</v>
      </c>
      <c r="G141" s="164">
        <f>D141-'[1]Jūnijs'!D141</f>
        <v>43660.53999999998</v>
      </c>
      <c r="I141" s="162" t="s">
        <v>53</v>
      </c>
      <c r="J141" s="157">
        <f t="shared" si="84"/>
        <v>585</v>
      </c>
      <c r="K141" s="157">
        <f t="shared" si="84"/>
        <v>406</v>
      </c>
      <c r="L141" s="157">
        <f t="shared" si="84"/>
        <v>320</v>
      </c>
      <c r="M141" s="158">
        <f t="shared" si="80"/>
        <v>54.700854700854705</v>
      </c>
      <c r="N141" s="158">
        <f t="shared" si="81"/>
        <v>78.81773399014779</v>
      </c>
      <c r="O141" s="157">
        <f>L141-'[1]Jūnijs'!L141</f>
        <v>44</v>
      </c>
      <c r="Q141" s="157">
        <v>320</v>
      </c>
      <c r="R141" s="157">
        <v>276</v>
      </c>
      <c r="S141" s="140">
        <f t="shared" si="83"/>
        <v>44</v>
      </c>
    </row>
    <row r="142" spans="1:19" ht="12.75" customHeight="1">
      <c r="A142" s="160" t="s">
        <v>87</v>
      </c>
      <c r="B142" s="164"/>
      <c r="C142" s="164"/>
      <c r="D142" s="164"/>
      <c r="E142" s="164"/>
      <c r="F142" s="164"/>
      <c r="G142" s="164"/>
      <c r="I142" s="160" t="s">
        <v>88</v>
      </c>
      <c r="J142" s="164"/>
      <c r="K142" s="164"/>
      <c r="L142" s="164"/>
      <c r="M142" s="158"/>
      <c r="N142" s="158"/>
      <c r="O142" s="164"/>
      <c r="Q142" s="164"/>
      <c r="R142" s="164"/>
      <c r="S142" s="140">
        <f t="shared" si="83"/>
        <v>0</v>
      </c>
    </row>
    <row r="143" spans="1:19" ht="12.75" customHeight="1">
      <c r="A143" s="154" t="s">
        <v>46</v>
      </c>
      <c r="B143" s="164">
        <f>SUM(B144:B145)</f>
        <v>13996875</v>
      </c>
      <c r="C143" s="166">
        <f>SUM(C144:C145)</f>
        <v>8146137</v>
      </c>
      <c r="D143" s="166">
        <f>SUM(D144:D145)</f>
        <v>7823025.17</v>
      </c>
      <c r="E143" s="149">
        <f aca="true" t="shared" si="85" ref="E143:E148">IF(ISERROR(D143/B143)," ",(D143/B143))*100</f>
        <v>55.891226934583614</v>
      </c>
      <c r="F143" s="149">
        <f aca="true" t="shared" si="86" ref="F143:F148">IF(ISERROR(D143/C143)," ",(D143/C143))*100</f>
        <v>96.03355762369328</v>
      </c>
      <c r="G143" s="166">
        <f>SUM(G144:G145)</f>
        <v>1080418.6600000001</v>
      </c>
      <c r="I143" s="154" t="s">
        <v>46</v>
      </c>
      <c r="J143" s="147">
        <f>J144+J145</f>
        <v>13997</v>
      </c>
      <c r="K143" s="147">
        <f>K144+K145</f>
        <v>8146</v>
      </c>
      <c r="L143" s="147">
        <f>L144+L145</f>
        <v>7823</v>
      </c>
      <c r="M143" s="156">
        <f aca="true" t="shared" si="87" ref="M143:M148">L143/J143*100</f>
        <v>55.890547974565976</v>
      </c>
      <c r="N143" s="156">
        <f aca="true" t="shared" si="88" ref="N143:N148">L143/K143*100</f>
        <v>96.03486373680335</v>
      </c>
      <c r="O143" s="147">
        <f>SUM(O144:O145)</f>
        <v>1081</v>
      </c>
      <c r="Q143" s="147">
        <v>7823</v>
      </c>
      <c r="R143" s="147">
        <v>6742</v>
      </c>
      <c r="S143" s="140">
        <f t="shared" si="83"/>
        <v>1081</v>
      </c>
    </row>
    <row r="144" spans="1:19" ht="12.75" customHeight="1">
      <c r="A144" s="154" t="s">
        <v>47</v>
      </c>
      <c r="B144" s="164">
        <v>5506527</v>
      </c>
      <c r="C144" s="164">
        <v>3148664</v>
      </c>
      <c r="D144" s="164">
        <v>3148664</v>
      </c>
      <c r="E144" s="150">
        <f t="shared" si="85"/>
        <v>57.180578611527736</v>
      </c>
      <c r="F144" s="150">
        <f t="shared" si="86"/>
        <v>100</v>
      </c>
      <c r="G144" s="164">
        <f>D144-'[1]Jūnijs'!D144</f>
        <v>460346</v>
      </c>
      <c r="I144" s="154" t="s">
        <v>47</v>
      </c>
      <c r="J144" s="157">
        <v>5507</v>
      </c>
      <c r="K144" s="157">
        <f>ROUND(C144/1000,0)</f>
        <v>3149</v>
      </c>
      <c r="L144" s="157">
        <f>ROUND(D144/1000,0)</f>
        <v>3149</v>
      </c>
      <c r="M144" s="158">
        <f t="shared" si="87"/>
        <v>57.18176865807154</v>
      </c>
      <c r="N144" s="158">
        <f t="shared" si="88"/>
        <v>100</v>
      </c>
      <c r="O144" s="157">
        <f>L144-'[1]Jūnijs'!L144</f>
        <v>461</v>
      </c>
      <c r="Q144" s="157">
        <v>3149</v>
      </c>
      <c r="R144" s="157">
        <v>2688</v>
      </c>
      <c r="S144" s="140">
        <f t="shared" si="83"/>
        <v>461</v>
      </c>
    </row>
    <row r="145" spans="1:19" ht="12.75" customHeight="1">
      <c r="A145" s="154" t="s">
        <v>49</v>
      </c>
      <c r="B145" s="164">
        <v>8490348</v>
      </c>
      <c r="C145" s="164">
        <v>4997473</v>
      </c>
      <c r="D145" s="164">
        <v>4674361.17</v>
      </c>
      <c r="E145" s="150">
        <f t="shared" si="85"/>
        <v>55.0550009257571</v>
      </c>
      <c r="F145" s="150">
        <f t="shared" si="86"/>
        <v>93.53449573414403</v>
      </c>
      <c r="G145" s="164">
        <f>D145-'[1]Jūnijs'!D145</f>
        <v>620072.6600000001</v>
      </c>
      <c r="I145" s="154" t="s">
        <v>49</v>
      </c>
      <c r="J145" s="157">
        <f>ROUND(B145/1000,0)</f>
        <v>8490</v>
      </c>
      <c r="K145" s="157">
        <f>ROUND(C145/1000,0)</f>
        <v>4997</v>
      </c>
      <c r="L145" s="157">
        <f>ROUND(D145/1000,0)</f>
        <v>4674</v>
      </c>
      <c r="M145" s="158">
        <f t="shared" si="87"/>
        <v>55.0530035335689</v>
      </c>
      <c r="N145" s="158">
        <f t="shared" si="88"/>
        <v>93.5361216730038</v>
      </c>
      <c r="O145" s="157">
        <f>L145-'[1]Jūnijs'!L145</f>
        <v>620</v>
      </c>
      <c r="Q145" s="157">
        <v>4674</v>
      </c>
      <c r="R145" s="157">
        <v>4054</v>
      </c>
      <c r="S145" s="140">
        <f t="shared" si="83"/>
        <v>620</v>
      </c>
    </row>
    <row r="146" spans="1:19" ht="12.75" customHeight="1">
      <c r="A146" s="160" t="s">
        <v>51</v>
      </c>
      <c r="B146" s="166">
        <f>SUM(B147:B148)</f>
        <v>13996875</v>
      </c>
      <c r="C146" s="166">
        <f>SUM(C147:C148)</f>
        <v>8146137</v>
      </c>
      <c r="D146" s="166">
        <f>SUM(D147:D148)</f>
        <v>7749561.3100000005</v>
      </c>
      <c r="E146" s="150">
        <f t="shared" si="85"/>
        <v>55.36636792141103</v>
      </c>
      <c r="F146" s="150">
        <f t="shared" si="86"/>
        <v>95.13173311472666</v>
      </c>
      <c r="G146" s="166">
        <f>SUM(G147:G148)</f>
        <v>1139463.5500000003</v>
      </c>
      <c r="I146" s="160" t="s">
        <v>51</v>
      </c>
      <c r="J146" s="147">
        <f>J147+J148</f>
        <v>13997</v>
      </c>
      <c r="K146" s="147">
        <f>K147+K148</f>
        <v>8146</v>
      </c>
      <c r="L146" s="147">
        <f>L147+L148</f>
        <v>7750</v>
      </c>
      <c r="M146" s="156">
        <f t="shared" si="87"/>
        <v>55.36900764449525</v>
      </c>
      <c r="N146" s="156">
        <f t="shared" si="88"/>
        <v>95.13871838939357</v>
      </c>
      <c r="O146" s="147">
        <f>SUM(O147:O148)</f>
        <v>1140</v>
      </c>
      <c r="Q146" s="147">
        <v>7750</v>
      </c>
      <c r="R146" s="147">
        <v>6610</v>
      </c>
      <c r="S146" s="140">
        <f t="shared" si="83"/>
        <v>1140</v>
      </c>
    </row>
    <row r="147" spans="1:19" ht="12.75" customHeight="1">
      <c r="A147" s="162" t="s">
        <v>52</v>
      </c>
      <c r="B147" s="164">
        <v>13408475</v>
      </c>
      <c r="C147" s="164">
        <v>7765448</v>
      </c>
      <c r="D147" s="164">
        <v>7437526.41</v>
      </c>
      <c r="E147" s="150">
        <f t="shared" si="85"/>
        <v>55.468846457184725</v>
      </c>
      <c r="F147" s="150">
        <f t="shared" si="86"/>
        <v>95.77717100159579</v>
      </c>
      <c r="G147" s="164">
        <f>D147-'[1]Jūnijs'!D147</f>
        <v>1099381.1100000003</v>
      </c>
      <c r="I147" s="162" t="s">
        <v>52</v>
      </c>
      <c r="J147" s="157">
        <f>ROUND(B147/1000,0)+1</f>
        <v>13409</v>
      </c>
      <c r="K147" s="157">
        <f aca="true" t="shared" si="89" ref="J147:L148">ROUND(C147/1000,0)</f>
        <v>7765</v>
      </c>
      <c r="L147" s="157">
        <f t="shared" si="89"/>
        <v>7438</v>
      </c>
      <c r="M147" s="158">
        <f t="shared" si="87"/>
        <v>55.47020657767171</v>
      </c>
      <c r="N147" s="158">
        <f t="shared" si="88"/>
        <v>95.78879587894397</v>
      </c>
      <c r="O147" s="157">
        <f>L147-'[1]Jūnijs'!L147</f>
        <v>1100</v>
      </c>
      <c r="Q147" s="157">
        <v>7438</v>
      </c>
      <c r="R147" s="157">
        <v>6338</v>
      </c>
      <c r="S147" s="140">
        <f t="shared" si="83"/>
        <v>1100</v>
      </c>
    </row>
    <row r="148" spans="1:19" ht="12.75" customHeight="1">
      <c r="A148" s="162" t="s">
        <v>53</v>
      </c>
      <c r="B148" s="164">
        <v>588400</v>
      </c>
      <c r="C148" s="164">
        <v>380689</v>
      </c>
      <c r="D148" s="164">
        <v>312034.9</v>
      </c>
      <c r="E148" s="150">
        <f t="shared" si="85"/>
        <v>53.03108429639701</v>
      </c>
      <c r="F148" s="150">
        <f t="shared" si="86"/>
        <v>81.9658303759762</v>
      </c>
      <c r="G148" s="164">
        <f>D148-'[1]Jūnijs'!D148</f>
        <v>40082.44</v>
      </c>
      <c r="I148" s="162" t="s">
        <v>53</v>
      </c>
      <c r="J148" s="157">
        <f t="shared" si="89"/>
        <v>588</v>
      </c>
      <c r="K148" s="157">
        <f t="shared" si="89"/>
        <v>381</v>
      </c>
      <c r="L148" s="157">
        <f t="shared" si="89"/>
        <v>312</v>
      </c>
      <c r="M148" s="158">
        <f t="shared" si="87"/>
        <v>53.06122448979592</v>
      </c>
      <c r="N148" s="158">
        <f t="shared" si="88"/>
        <v>81.88976377952756</v>
      </c>
      <c r="O148" s="157">
        <f>L148-'[1]Jūnijs'!L148</f>
        <v>40</v>
      </c>
      <c r="Q148" s="157">
        <v>312</v>
      </c>
      <c r="R148" s="157">
        <v>272</v>
      </c>
      <c r="S148" s="140">
        <f t="shared" si="83"/>
        <v>40</v>
      </c>
    </row>
    <row r="149" spans="1:19" ht="12.75" customHeight="1">
      <c r="A149" s="160" t="s">
        <v>89</v>
      </c>
      <c r="B149" s="164"/>
      <c r="C149" s="164"/>
      <c r="D149" s="164"/>
      <c r="E149" s="164"/>
      <c r="F149" s="164"/>
      <c r="G149" s="164"/>
      <c r="I149" s="160" t="s">
        <v>90</v>
      </c>
      <c r="J149" s="164"/>
      <c r="K149" s="164"/>
      <c r="L149" s="164"/>
      <c r="M149" s="158"/>
      <c r="N149" s="158"/>
      <c r="O149" s="164"/>
      <c r="Q149" s="164"/>
      <c r="R149" s="164"/>
      <c r="S149" s="140">
        <f t="shared" si="83"/>
        <v>0</v>
      </c>
    </row>
    <row r="150" spans="1:19" ht="12.75" customHeight="1">
      <c r="A150" s="154" t="s">
        <v>46</v>
      </c>
      <c r="B150" s="164">
        <f>SUM(B151:B153)</f>
        <v>1500393</v>
      </c>
      <c r="C150" s="166">
        <f>SUM(C151:C153)</f>
        <v>699247</v>
      </c>
      <c r="D150" s="166">
        <f>SUM(D151:D153)</f>
        <v>699078</v>
      </c>
      <c r="E150" s="149">
        <f>IF(ISERROR(D150/B150)," ",(D150/B150))*100</f>
        <v>46.592992635929384</v>
      </c>
      <c r="F150" s="149">
        <f>IF(ISERROR(D150/C150)," ",(D150/C150))*100</f>
        <v>99.97583114407355</v>
      </c>
      <c r="G150" s="166">
        <f>SUM(G151:G153)</f>
        <v>112596</v>
      </c>
      <c r="I150" s="154" t="s">
        <v>46</v>
      </c>
      <c r="J150" s="147">
        <f>J151+J152+J153</f>
        <v>1501</v>
      </c>
      <c r="K150" s="147">
        <f>K151+K152+K153</f>
        <v>700</v>
      </c>
      <c r="L150" s="147">
        <f>L151+L152+L153</f>
        <v>699</v>
      </c>
      <c r="M150" s="156">
        <f>L150/J150*100</f>
        <v>46.56895403064624</v>
      </c>
      <c r="N150" s="156">
        <f>L150/K150*100</f>
        <v>99.85714285714286</v>
      </c>
      <c r="O150" s="147">
        <f>SUM(O151:O153)</f>
        <v>113</v>
      </c>
      <c r="Q150" s="147">
        <v>699</v>
      </c>
      <c r="R150" s="147">
        <v>586</v>
      </c>
      <c r="S150" s="140">
        <f t="shared" si="83"/>
        <v>113</v>
      </c>
    </row>
    <row r="151" spans="1:19" ht="12.75" customHeight="1">
      <c r="A151" s="154" t="s">
        <v>47</v>
      </c>
      <c r="B151" s="164">
        <v>1219343</v>
      </c>
      <c r="C151" s="164">
        <v>698847</v>
      </c>
      <c r="D151" s="164">
        <v>698847</v>
      </c>
      <c r="E151" s="150">
        <f>IF(ISERROR(D151/B151)," ",(D151/B151))*100</f>
        <v>57.31340566190153</v>
      </c>
      <c r="F151" s="150">
        <f>IF(ISERROR(D151/C151)," ",(D151/C151))*100</f>
        <v>100</v>
      </c>
      <c r="G151" s="164">
        <f>D151-'[1]Jūnijs'!D151</f>
        <v>112596</v>
      </c>
      <c r="I151" s="154" t="s">
        <v>47</v>
      </c>
      <c r="J151" s="157">
        <f>ROUND(B151/1000,0)</f>
        <v>1219</v>
      </c>
      <c r="K151" s="157">
        <f>ROUND(C151/1000,0)</f>
        <v>699</v>
      </c>
      <c r="L151" s="157">
        <f>ROUND(D151/1000,0)</f>
        <v>699</v>
      </c>
      <c r="M151" s="158">
        <f>L151/J151*100</f>
        <v>57.34208367514356</v>
      </c>
      <c r="N151" s="158">
        <f>L151/K151*100</f>
        <v>100</v>
      </c>
      <c r="O151" s="157">
        <f>L151-'[1]Jūnijs'!L151</f>
        <v>113</v>
      </c>
      <c r="Q151" s="157">
        <v>699</v>
      </c>
      <c r="R151" s="157">
        <v>586</v>
      </c>
      <c r="S151" s="140">
        <f t="shared" si="83"/>
        <v>113</v>
      </c>
    </row>
    <row r="152" spans="1:19" ht="12.75" customHeight="1">
      <c r="A152" s="154" t="s">
        <v>49</v>
      </c>
      <c r="B152" s="164">
        <v>800</v>
      </c>
      <c r="C152" s="164">
        <v>400</v>
      </c>
      <c r="D152" s="164">
        <v>231</v>
      </c>
      <c r="E152" s="150">
        <f>IF(ISERROR(D152/B152)," ",(D152/B152))*100</f>
        <v>28.875</v>
      </c>
      <c r="F152" s="150">
        <f>IF(ISERROR(D152/C152)," ",(D152/C152))*100</f>
        <v>57.75</v>
      </c>
      <c r="G152" s="164">
        <f>D152-'[1]Jūnijs'!D152</f>
        <v>0</v>
      </c>
      <c r="I152" s="154" t="s">
        <v>49</v>
      </c>
      <c r="J152" s="157">
        <f>ROUND(B152/1000,0)</f>
        <v>1</v>
      </c>
      <c r="K152" s="157">
        <v>1</v>
      </c>
      <c r="L152" s="157"/>
      <c r="M152" s="158"/>
      <c r="N152" s="158"/>
      <c r="O152" s="157"/>
      <c r="Q152" s="157"/>
      <c r="R152" s="157"/>
      <c r="S152" s="140">
        <f t="shared" si="83"/>
        <v>0</v>
      </c>
    </row>
    <row r="153" spans="1:19" ht="12.75" customHeight="1">
      <c r="A153" s="154" t="s">
        <v>50</v>
      </c>
      <c r="B153" s="164">
        <v>280250</v>
      </c>
      <c r="C153" s="164"/>
      <c r="D153" s="164"/>
      <c r="E153" s="150"/>
      <c r="F153" s="164"/>
      <c r="G153" s="164"/>
      <c r="I153" s="154" t="s">
        <v>50</v>
      </c>
      <c r="J153" s="157">
        <f>ROUND(B153/1000,0)+1</f>
        <v>281</v>
      </c>
      <c r="K153" s="157"/>
      <c r="L153" s="157"/>
      <c r="M153" s="158"/>
      <c r="N153" s="158"/>
      <c r="O153" s="157"/>
      <c r="Q153" s="157"/>
      <c r="R153" s="157"/>
      <c r="S153" s="140">
        <f t="shared" si="83"/>
        <v>0</v>
      </c>
    </row>
    <row r="154" spans="1:19" ht="12.75" customHeight="1">
      <c r="A154" s="160" t="s">
        <v>51</v>
      </c>
      <c r="B154" s="166">
        <f>SUM(B155:B156)</f>
        <v>1500393</v>
      </c>
      <c r="C154" s="166">
        <f>SUM(C155:C156)</f>
        <v>699247</v>
      </c>
      <c r="D154" s="166">
        <f>SUM(D155:D156)</f>
        <v>674107.83</v>
      </c>
      <c r="E154" s="150">
        <f>IF(ISERROR(D154/B154)," ",(D154/B154))*100</f>
        <v>44.928750667325154</v>
      </c>
      <c r="F154" s="150">
        <f>IF(ISERROR(D154/C154)," ",(D154/C154))*100</f>
        <v>96.4048226163287</v>
      </c>
      <c r="G154" s="166">
        <f>SUM(G155:G156)</f>
        <v>91098.83999999997</v>
      </c>
      <c r="I154" s="160" t="s">
        <v>51</v>
      </c>
      <c r="J154" s="147">
        <f>J155+J156</f>
        <v>1501</v>
      </c>
      <c r="K154" s="147">
        <f>K155+K156</f>
        <v>699</v>
      </c>
      <c r="L154" s="147">
        <f>L155+L156</f>
        <v>674</v>
      </c>
      <c r="M154" s="156">
        <f>L154/J154*100</f>
        <v>44.90339773484344</v>
      </c>
      <c r="N154" s="156">
        <f>L154/K154*100</f>
        <v>96.42346208869814</v>
      </c>
      <c r="O154" s="147">
        <f>SUM(O155:O156)</f>
        <v>91</v>
      </c>
      <c r="Q154" s="147">
        <v>674</v>
      </c>
      <c r="R154" s="147">
        <v>583</v>
      </c>
      <c r="S154" s="140">
        <f t="shared" si="83"/>
        <v>91</v>
      </c>
    </row>
    <row r="155" spans="1:19" ht="12.75" customHeight="1">
      <c r="A155" s="162" t="s">
        <v>52</v>
      </c>
      <c r="B155" s="164">
        <v>1343893</v>
      </c>
      <c r="C155" s="164">
        <v>689247</v>
      </c>
      <c r="D155" s="164">
        <v>667425.01</v>
      </c>
      <c r="E155" s="150">
        <f>IF(ISERROR(D155/B155)," ",(D155/B155))*100</f>
        <v>49.66355282749445</v>
      </c>
      <c r="F155" s="150">
        <f>IF(ISERROR(D155/C155)," ",(D155/C155))*100</f>
        <v>96.83393761597802</v>
      </c>
      <c r="G155" s="164">
        <f>D155-'[1]Jūnijs'!D155</f>
        <v>91098.83999999997</v>
      </c>
      <c r="I155" s="162" t="s">
        <v>52</v>
      </c>
      <c r="J155" s="157">
        <f aca="true" t="shared" si="90" ref="J155:L156">ROUND(B155/1000,0)</f>
        <v>1344</v>
      </c>
      <c r="K155" s="157">
        <f t="shared" si="90"/>
        <v>689</v>
      </c>
      <c r="L155" s="157">
        <f t="shared" si="90"/>
        <v>667</v>
      </c>
      <c r="M155" s="158">
        <f>L155/J155*100</f>
        <v>49.62797619047619</v>
      </c>
      <c r="N155" s="158">
        <f>L155/K155*100</f>
        <v>96.80696661828738</v>
      </c>
      <c r="O155" s="157">
        <f>L155-'[1]Jūnijs'!L155</f>
        <v>91</v>
      </c>
      <c r="Q155" s="157">
        <v>667</v>
      </c>
      <c r="R155" s="157">
        <v>576</v>
      </c>
      <c r="S155" s="140">
        <f t="shared" si="83"/>
        <v>91</v>
      </c>
    </row>
    <row r="156" spans="1:19" ht="12.75" customHeight="1">
      <c r="A156" s="162" t="s">
        <v>53</v>
      </c>
      <c r="B156" s="164">
        <v>156500</v>
      </c>
      <c r="C156" s="164">
        <v>10000</v>
      </c>
      <c r="D156" s="164">
        <v>6682.82</v>
      </c>
      <c r="E156" s="150">
        <f>IF(ISERROR(D156/B156)," ",(D156/B156))*100</f>
        <v>4.270172523961661</v>
      </c>
      <c r="F156" s="150">
        <f>IF(ISERROR(D156/C156)," ",(D156/C156))*100</f>
        <v>66.8282</v>
      </c>
      <c r="G156" s="164">
        <f>D156-'[1]Jūnijs'!D156</f>
        <v>0</v>
      </c>
      <c r="I156" s="162" t="s">
        <v>53</v>
      </c>
      <c r="J156" s="157">
        <f>ROUND(B156/1000,0)</f>
        <v>157</v>
      </c>
      <c r="K156" s="157">
        <f t="shared" si="90"/>
        <v>10</v>
      </c>
      <c r="L156" s="157">
        <f t="shared" si="90"/>
        <v>7</v>
      </c>
      <c r="M156" s="158">
        <f>L156/J156*100</f>
        <v>4.45859872611465</v>
      </c>
      <c r="N156" s="158">
        <f>L156/K156*100</f>
        <v>70</v>
      </c>
      <c r="O156" s="157">
        <f>L156-'[1]Jūnijs'!L156</f>
        <v>0</v>
      </c>
      <c r="Q156" s="157">
        <v>7</v>
      </c>
      <c r="R156" s="157">
        <v>7</v>
      </c>
      <c r="S156" s="140">
        <f t="shared" si="83"/>
        <v>0</v>
      </c>
    </row>
    <row r="157" spans="1:19" ht="12.75" customHeight="1">
      <c r="A157" s="160" t="s">
        <v>91</v>
      </c>
      <c r="B157" s="166"/>
      <c r="C157" s="166"/>
      <c r="D157" s="166"/>
      <c r="E157" s="166"/>
      <c r="F157" s="166"/>
      <c r="G157" s="166"/>
      <c r="I157" s="160" t="s">
        <v>92</v>
      </c>
      <c r="J157" s="166"/>
      <c r="K157" s="166"/>
      <c r="L157" s="166"/>
      <c r="M157" s="158"/>
      <c r="N157" s="158"/>
      <c r="O157" s="166"/>
      <c r="Q157" s="166"/>
      <c r="R157" s="166"/>
      <c r="S157" s="140">
        <f t="shared" si="83"/>
        <v>0</v>
      </c>
    </row>
    <row r="158" spans="1:19" ht="12.75" customHeight="1">
      <c r="A158" s="154" t="s">
        <v>46</v>
      </c>
      <c r="B158" s="164">
        <f>SUM(B159)</f>
        <v>737898</v>
      </c>
      <c r="C158" s="166">
        <f>SUM(C159)</f>
        <v>425472</v>
      </c>
      <c r="D158" s="166">
        <f>SUM(D159:D160)</f>
        <v>425484.26</v>
      </c>
      <c r="E158" s="149">
        <f>IF(ISERROR(D158/B158)," ",(D158/B158))*100</f>
        <v>57.66166326511253</v>
      </c>
      <c r="F158" s="149">
        <f>IF(ISERROR(D158/C158)," ",(D158/C158))*100</f>
        <v>100.00288150571602</v>
      </c>
      <c r="G158" s="166">
        <f>SUM(G159)</f>
        <v>61688</v>
      </c>
      <c r="I158" s="154" t="s">
        <v>46</v>
      </c>
      <c r="J158" s="147">
        <f>J159</f>
        <v>738</v>
      </c>
      <c r="K158" s="147">
        <f>K159</f>
        <v>425</v>
      </c>
      <c r="L158" s="147">
        <f>L159</f>
        <v>425</v>
      </c>
      <c r="M158" s="156">
        <f>L158/J158*100</f>
        <v>57.58807588075881</v>
      </c>
      <c r="N158" s="156">
        <f>L158/K158*100</f>
        <v>100</v>
      </c>
      <c r="O158" s="157">
        <f>L158-'[1]Jūnijs'!L158</f>
        <v>61</v>
      </c>
      <c r="Q158" s="147">
        <v>425</v>
      </c>
      <c r="R158" s="147">
        <v>364</v>
      </c>
      <c r="S158" s="140">
        <f t="shared" si="83"/>
        <v>61</v>
      </c>
    </row>
    <row r="159" spans="1:19" ht="11.25" customHeight="1">
      <c r="A159" s="154" t="s">
        <v>47</v>
      </c>
      <c r="B159" s="164">
        <v>737898</v>
      </c>
      <c r="C159" s="164">
        <v>425472</v>
      </c>
      <c r="D159" s="164">
        <v>425472</v>
      </c>
      <c r="E159" s="150">
        <f>IF(ISERROR(D159/B159)," ",(D159/B159))*100</f>
        <v>57.660001788865124</v>
      </c>
      <c r="F159" s="150">
        <f>IF(ISERROR(D159/C159)," ",(D159/C159))*100</f>
        <v>100</v>
      </c>
      <c r="G159" s="164">
        <f>D159-'[1]Jūnijs'!D159</f>
        <v>61688</v>
      </c>
      <c r="I159" s="154" t="s">
        <v>47</v>
      </c>
      <c r="J159" s="157">
        <f>ROUND(B159/1000,0)</f>
        <v>738</v>
      </c>
      <c r="K159" s="157">
        <f>ROUND(C159/1000,0)</f>
        <v>425</v>
      </c>
      <c r="L159" s="157">
        <f>ROUND(D159/1000,0)</f>
        <v>425</v>
      </c>
      <c r="M159" s="158">
        <f>L159/J159*100</f>
        <v>57.58807588075881</v>
      </c>
      <c r="N159" s="158">
        <f>L159/K159*100</f>
        <v>100</v>
      </c>
      <c r="O159" s="157">
        <f>L159-'[1]Jūnijs'!L159</f>
        <v>61</v>
      </c>
      <c r="Q159" s="157">
        <v>425</v>
      </c>
      <c r="R159" s="157">
        <v>364</v>
      </c>
      <c r="S159" s="140">
        <f t="shared" si="83"/>
        <v>61</v>
      </c>
    </row>
    <row r="160" spans="1:19" ht="12" hidden="1">
      <c r="A160" s="154" t="s">
        <v>49</v>
      </c>
      <c r="B160" s="164"/>
      <c r="C160" s="164"/>
      <c r="D160" s="164">
        <v>12.26</v>
      </c>
      <c r="E160" s="150"/>
      <c r="F160" s="150"/>
      <c r="G160" s="164">
        <f>D160-'[1]Maijs'!D160</f>
        <v>12.26</v>
      </c>
      <c r="I160" s="154"/>
      <c r="J160" s="157"/>
      <c r="K160" s="157"/>
      <c r="L160" s="157"/>
      <c r="M160" s="158"/>
      <c r="N160" s="158"/>
      <c r="O160" s="157">
        <f>L160-'[1]Maijs'!L160</f>
        <v>0</v>
      </c>
      <c r="Q160" s="157"/>
      <c r="R160" s="157"/>
      <c r="S160" s="140">
        <f t="shared" si="83"/>
        <v>0</v>
      </c>
    </row>
    <row r="161" spans="1:30" ht="12.75" customHeight="1">
      <c r="A161" s="160" t="s">
        <v>51</v>
      </c>
      <c r="B161" s="166">
        <f>SUM(B162)</f>
        <v>737898</v>
      </c>
      <c r="C161" s="166">
        <f>SUM(C162)</f>
        <v>425472</v>
      </c>
      <c r="D161" s="166">
        <f>SUM(D162)</f>
        <v>425453.65</v>
      </c>
      <c r="E161" s="150">
        <f>IF(ISERROR(D161/B161)," ",(D161/B161))*100</f>
        <v>57.657514995297454</v>
      </c>
      <c r="F161" s="150">
        <f>IF(ISERROR(D161/C161)," ",(D161/C161))*100</f>
        <v>99.9956871427497</v>
      </c>
      <c r="G161" s="166">
        <f>SUM(G162)</f>
        <v>61679.840000000026</v>
      </c>
      <c r="H161" s="168"/>
      <c r="I161" s="160" t="s">
        <v>51</v>
      </c>
      <c r="J161" s="147">
        <f>J162+J163</f>
        <v>738</v>
      </c>
      <c r="K161" s="147">
        <f>K162</f>
        <v>425</v>
      </c>
      <c r="L161" s="147">
        <f>L162</f>
        <v>425</v>
      </c>
      <c r="M161" s="156">
        <f>L161/J161*100</f>
        <v>57.58807588075881</v>
      </c>
      <c r="N161" s="156">
        <f>L161/K161*100</f>
        <v>100</v>
      </c>
      <c r="O161" s="147">
        <f>SUM(O162)</f>
        <v>61</v>
      </c>
      <c r="P161" s="168"/>
      <c r="Q161" s="147">
        <v>425</v>
      </c>
      <c r="R161" s="147">
        <v>364</v>
      </c>
      <c r="S161" s="140">
        <f t="shared" si="83"/>
        <v>61</v>
      </c>
      <c r="T161" s="168"/>
      <c r="U161" s="168"/>
      <c r="V161" s="168"/>
      <c r="W161" s="168"/>
      <c r="X161" s="168"/>
      <c r="Y161" s="168"/>
      <c r="Z161" s="168"/>
      <c r="AA161" s="168"/>
      <c r="AB161" s="168"/>
      <c r="AC161" s="168"/>
      <c r="AD161" s="168"/>
    </row>
    <row r="162" spans="1:19" ht="12.75" customHeight="1">
      <c r="A162" s="162" t="s">
        <v>52</v>
      </c>
      <c r="B162" s="164">
        <v>737898</v>
      </c>
      <c r="C162" s="164">
        <v>425472</v>
      </c>
      <c r="D162" s="164">
        <v>425453.65</v>
      </c>
      <c r="E162" s="150">
        <f>IF(ISERROR(D162/B162)," ",(D162/B162))*100</f>
        <v>57.657514995297454</v>
      </c>
      <c r="F162" s="150">
        <f>IF(ISERROR(D162/C162)," ",(D162/C162))*100</f>
        <v>99.9956871427497</v>
      </c>
      <c r="G162" s="164">
        <f>D162-'[1]Jūnijs'!D162</f>
        <v>61679.840000000026</v>
      </c>
      <c r="I162" s="162" t="s">
        <v>52</v>
      </c>
      <c r="J162" s="157">
        <f>ROUND(B162/1000,0)</f>
        <v>738</v>
      </c>
      <c r="K162" s="157">
        <f>ROUND(C162/1000,0)</f>
        <v>425</v>
      </c>
      <c r="L162" s="157">
        <f>ROUND(D162/1000,0)</f>
        <v>425</v>
      </c>
      <c r="M162" s="158">
        <f>L162/J162*100</f>
        <v>57.58807588075881</v>
      </c>
      <c r="N162" s="158">
        <f>L162/K162*100</f>
        <v>100</v>
      </c>
      <c r="O162" s="147">
        <f>L162-'[1]Jūnijs'!L162</f>
        <v>61</v>
      </c>
      <c r="Q162" s="157">
        <v>425</v>
      </c>
      <c r="R162" s="157">
        <v>364</v>
      </c>
      <c r="S162" s="140">
        <f t="shared" si="83"/>
        <v>61</v>
      </c>
    </row>
    <row r="163" spans="1:19" ht="12.75" customHeight="1">
      <c r="A163" s="160" t="s">
        <v>93</v>
      </c>
      <c r="B163" s="166"/>
      <c r="C163" s="166"/>
      <c r="D163" s="166"/>
      <c r="E163" s="166"/>
      <c r="F163" s="166"/>
      <c r="G163" s="166"/>
      <c r="I163" s="160" t="s">
        <v>94</v>
      </c>
      <c r="J163" s="166"/>
      <c r="K163" s="166"/>
      <c r="L163" s="166"/>
      <c r="M163" s="158"/>
      <c r="N163" s="158"/>
      <c r="O163" s="166"/>
      <c r="Q163" s="166"/>
      <c r="R163" s="166"/>
      <c r="S163" s="140">
        <f t="shared" si="83"/>
        <v>0</v>
      </c>
    </row>
    <row r="164" spans="1:19" ht="12.75" customHeight="1">
      <c r="A164" s="154" t="s">
        <v>46</v>
      </c>
      <c r="B164" s="164">
        <f>SUM(B165:B166)</f>
        <v>335805</v>
      </c>
      <c r="C164" s="166">
        <f>SUM(C165:C166)</f>
        <v>184827</v>
      </c>
      <c r="D164" s="166">
        <f>SUM(D165:D166)</f>
        <v>180055.38</v>
      </c>
      <c r="E164" s="149">
        <f aca="true" t="shared" si="91" ref="E164:E169">IF(ISERROR(D164/B164)," ",(D164/B164))*100</f>
        <v>53.6190289007013</v>
      </c>
      <c r="F164" s="149">
        <f aca="true" t="shared" si="92" ref="F164:F169">IF(ISERROR(D164/C164)," ",(D164/C164))*100</f>
        <v>97.41833173724619</v>
      </c>
      <c r="G164" s="166">
        <f>SUM(G165:G166)</f>
        <v>26608</v>
      </c>
      <c r="I164" s="154" t="s">
        <v>46</v>
      </c>
      <c r="J164" s="147">
        <f>J165+J166</f>
        <v>337</v>
      </c>
      <c r="K164" s="147">
        <f>K165+K166</f>
        <v>186</v>
      </c>
      <c r="L164" s="147">
        <f>L165+L166</f>
        <v>181</v>
      </c>
      <c r="M164" s="156">
        <f aca="true" t="shared" si="93" ref="M164:M169">L164/J164*100</f>
        <v>53.70919881305638</v>
      </c>
      <c r="N164" s="156">
        <f aca="true" t="shared" si="94" ref="N164:N169">L164/K164*100</f>
        <v>97.31182795698925</v>
      </c>
      <c r="O164" s="147">
        <f>SUM(O165:O166)</f>
        <v>26</v>
      </c>
      <c r="Q164" s="147">
        <v>181</v>
      </c>
      <c r="R164" s="147">
        <v>155</v>
      </c>
      <c r="S164" s="140">
        <f t="shared" si="83"/>
        <v>26</v>
      </c>
    </row>
    <row r="165" spans="1:19" ht="12.75" customHeight="1">
      <c r="A165" s="154" t="s">
        <v>47</v>
      </c>
      <c r="B165" s="164">
        <v>316689</v>
      </c>
      <c r="C165" s="164">
        <v>178327</v>
      </c>
      <c r="D165" s="164">
        <v>178327</v>
      </c>
      <c r="E165" s="150">
        <f t="shared" si="91"/>
        <v>56.309818149667336</v>
      </c>
      <c r="F165" s="150">
        <f t="shared" si="92"/>
        <v>100</v>
      </c>
      <c r="G165" s="164">
        <f>D165-'[1]Jūnijs'!D165</f>
        <v>26475</v>
      </c>
      <c r="I165" s="154" t="s">
        <v>47</v>
      </c>
      <c r="J165" s="157">
        <f>ROUND(B165/1000,0)</f>
        <v>317</v>
      </c>
      <c r="K165" s="157">
        <f>ROUND(C165/1000,0)+1</f>
        <v>179</v>
      </c>
      <c r="L165" s="157">
        <f>ROUND(D165/1000,0)+1</f>
        <v>179</v>
      </c>
      <c r="M165" s="158">
        <f t="shared" si="93"/>
        <v>56.46687697160884</v>
      </c>
      <c r="N165" s="158">
        <f t="shared" si="94"/>
        <v>100</v>
      </c>
      <c r="O165" s="157">
        <f>L165-'[1]Jūnijs'!L165</f>
        <v>26</v>
      </c>
      <c r="Q165" s="157">
        <v>179</v>
      </c>
      <c r="R165" s="157">
        <v>153</v>
      </c>
      <c r="S165" s="140">
        <f t="shared" si="83"/>
        <v>26</v>
      </c>
    </row>
    <row r="166" spans="1:19" ht="12.75" customHeight="1">
      <c r="A166" s="154" t="s">
        <v>49</v>
      </c>
      <c r="B166" s="164">
        <v>19116</v>
      </c>
      <c r="C166" s="164">
        <v>6500</v>
      </c>
      <c r="D166" s="164">
        <v>1728.38</v>
      </c>
      <c r="E166" s="150">
        <f t="shared" si="91"/>
        <v>9.041535886168656</v>
      </c>
      <c r="F166" s="150">
        <f t="shared" si="92"/>
        <v>26.59046153846154</v>
      </c>
      <c r="G166" s="164">
        <f>D166-'[1]Jūnijs'!D166</f>
        <v>133</v>
      </c>
      <c r="I166" s="154" t="s">
        <v>49</v>
      </c>
      <c r="J166" s="157">
        <f>ROUND(B166/1000,0)+1</f>
        <v>20</v>
      </c>
      <c r="K166" s="157">
        <f>ROUND(C166/1000,0)</f>
        <v>7</v>
      </c>
      <c r="L166" s="157">
        <f>ROUND(D166/1000,0)</f>
        <v>2</v>
      </c>
      <c r="M166" s="158">
        <f t="shared" si="93"/>
        <v>10</v>
      </c>
      <c r="N166" s="158">
        <f t="shared" si="94"/>
        <v>28.57142857142857</v>
      </c>
      <c r="O166" s="157"/>
      <c r="Q166" s="157">
        <v>2</v>
      </c>
      <c r="R166" s="157">
        <v>2</v>
      </c>
      <c r="S166" s="140">
        <f t="shared" si="83"/>
        <v>0</v>
      </c>
    </row>
    <row r="167" spans="1:19" ht="12.75" customHeight="1">
      <c r="A167" s="160" t="s">
        <v>51</v>
      </c>
      <c r="B167" s="166">
        <f>SUM(B168:B169)</f>
        <v>336817</v>
      </c>
      <c r="C167" s="166">
        <f>SUM(C168:C169)</f>
        <v>184827</v>
      </c>
      <c r="D167" s="166">
        <f>SUM(D168:D169)</f>
        <v>180992.09</v>
      </c>
      <c r="E167" s="150">
        <f t="shared" si="91"/>
        <v>53.73603173236505</v>
      </c>
      <c r="F167" s="150">
        <f t="shared" si="92"/>
        <v>97.92513539688466</v>
      </c>
      <c r="G167" s="166">
        <f>SUM(G168:G169)</f>
        <v>26532.619999999995</v>
      </c>
      <c r="I167" s="160" t="s">
        <v>51</v>
      </c>
      <c r="J167" s="147">
        <f>J168+J169</f>
        <v>337</v>
      </c>
      <c r="K167" s="147">
        <f>K168+K169</f>
        <v>185</v>
      </c>
      <c r="L167" s="147">
        <f>L168+L169</f>
        <v>181</v>
      </c>
      <c r="M167" s="156">
        <f t="shared" si="93"/>
        <v>53.70919881305638</v>
      </c>
      <c r="N167" s="156">
        <f t="shared" si="94"/>
        <v>97.83783783783784</v>
      </c>
      <c r="O167" s="147">
        <f>SUM(O168:O169)</f>
        <v>26</v>
      </c>
      <c r="Q167" s="147">
        <v>181</v>
      </c>
      <c r="R167" s="147">
        <v>155</v>
      </c>
      <c r="S167" s="140">
        <f t="shared" si="83"/>
        <v>26</v>
      </c>
    </row>
    <row r="168" spans="1:19" ht="12.75" customHeight="1">
      <c r="A168" s="162" t="s">
        <v>52</v>
      </c>
      <c r="B168" s="164">
        <v>316817</v>
      </c>
      <c r="C168" s="164">
        <v>175827</v>
      </c>
      <c r="D168" s="164">
        <v>172332.52</v>
      </c>
      <c r="E168" s="150">
        <f t="shared" si="91"/>
        <v>54.394972492006424</v>
      </c>
      <c r="F168" s="150">
        <f t="shared" si="92"/>
        <v>98.01254642347307</v>
      </c>
      <c r="G168" s="164">
        <f>D168-'[1]Jūnijs'!D168</f>
        <v>26532.619999999995</v>
      </c>
      <c r="I168" s="162" t="s">
        <v>52</v>
      </c>
      <c r="J168" s="157">
        <f>ROUND(B168/1000,0)</f>
        <v>317</v>
      </c>
      <c r="K168" s="157">
        <f aca="true" t="shared" si="95" ref="J168:L169">ROUND(C168/1000,0)</f>
        <v>176</v>
      </c>
      <c r="L168" s="157">
        <f t="shared" si="95"/>
        <v>172</v>
      </c>
      <c r="M168" s="158">
        <f t="shared" si="93"/>
        <v>54.25867507886435</v>
      </c>
      <c r="N168" s="158">
        <f t="shared" si="94"/>
        <v>97.72727272727273</v>
      </c>
      <c r="O168" s="157">
        <f>L168-'[1]Jūnijs'!L168</f>
        <v>26</v>
      </c>
      <c r="Q168" s="157">
        <v>172</v>
      </c>
      <c r="R168" s="157">
        <v>146</v>
      </c>
      <c r="S168" s="140">
        <f t="shared" si="83"/>
        <v>26</v>
      </c>
    </row>
    <row r="169" spans="1:19" ht="12.75" customHeight="1">
      <c r="A169" s="162" t="s">
        <v>53</v>
      </c>
      <c r="B169" s="164">
        <v>20000</v>
      </c>
      <c r="C169" s="164">
        <v>9000</v>
      </c>
      <c r="D169" s="164">
        <v>8659.57</v>
      </c>
      <c r="E169" s="150">
        <f t="shared" si="91"/>
        <v>43.29785</v>
      </c>
      <c r="F169" s="150">
        <f t="shared" si="92"/>
        <v>96.21744444444444</v>
      </c>
      <c r="G169" s="164">
        <f>D169-'[1]Jūnijs'!D169</f>
        <v>0</v>
      </c>
      <c r="I169" s="162" t="s">
        <v>53</v>
      </c>
      <c r="J169" s="157">
        <f t="shared" si="95"/>
        <v>20</v>
      </c>
      <c r="K169" s="157">
        <f t="shared" si="95"/>
        <v>9</v>
      </c>
      <c r="L169" s="157">
        <f t="shared" si="95"/>
        <v>9</v>
      </c>
      <c r="M169" s="158">
        <f t="shared" si="93"/>
        <v>45</v>
      </c>
      <c r="N169" s="158">
        <f t="shared" si="94"/>
        <v>100</v>
      </c>
      <c r="O169" s="157">
        <f>L169-'[1]Jūnijs'!L169</f>
        <v>0</v>
      </c>
      <c r="Q169" s="157">
        <v>9</v>
      </c>
      <c r="R169" s="157">
        <v>9</v>
      </c>
      <c r="S169" s="140">
        <f t="shared" si="83"/>
        <v>0</v>
      </c>
    </row>
    <row r="170" spans="1:19" ht="12.75" customHeight="1">
      <c r="A170" s="160" t="s">
        <v>95</v>
      </c>
      <c r="B170" s="164"/>
      <c r="C170" s="164"/>
      <c r="D170" s="164"/>
      <c r="E170" s="164"/>
      <c r="F170" s="164"/>
      <c r="G170" s="164"/>
      <c r="I170" s="160" t="s">
        <v>96</v>
      </c>
      <c r="J170" s="164"/>
      <c r="K170" s="164"/>
      <c r="L170" s="164"/>
      <c r="M170" s="158"/>
      <c r="N170" s="158"/>
      <c r="O170" s="164"/>
      <c r="Q170" s="164"/>
      <c r="R170" s="164"/>
      <c r="S170" s="140">
        <f t="shared" si="83"/>
        <v>0</v>
      </c>
    </row>
    <row r="171" spans="1:19" ht="12.75" customHeight="1">
      <c r="A171" s="154" t="s">
        <v>46</v>
      </c>
      <c r="B171" s="164">
        <f>SUM(B172:B173)</f>
        <v>6428814</v>
      </c>
      <c r="C171" s="166">
        <f>SUM(C172:C173)</f>
        <v>3654293</v>
      </c>
      <c r="D171" s="166">
        <f>SUM(D172:D173)</f>
        <v>3658679.91</v>
      </c>
      <c r="E171" s="149">
        <f aca="true" t="shared" si="96" ref="E171:E176">IF(ISERROR(D171/B171)," ",(D171/B171))*100</f>
        <v>56.91065117142914</v>
      </c>
      <c r="F171" s="149">
        <f aca="true" t="shared" si="97" ref="F171:F176">IF(ISERROR(D171/C171)," ",(D171/C171))*100</f>
        <v>100.12004811874691</v>
      </c>
      <c r="G171" s="166">
        <f>SUM(G172:G173)</f>
        <v>537729.12</v>
      </c>
      <c r="I171" s="154" t="s">
        <v>46</v>
      </c>
      <c r="J171" s="147">
        <f>J172+J173</f>
        <v>6429</v>
      </c>
      <c r="K171" s="147">
        <f>K172+K173</f>
        <v>3654</v>
      </c>
      <c r="L171" s="147">
        <f>L172+L173</f>
        <v>3659</v>
      </c>
      <c r="M171" s="156">
        <f aca="true" t="shared" si="98" ref="M171:M176">L171/J171*100</f>
        <v>56.9139835122103</v>
      </c>
      <c r="N171" s="156">
        <f aca="true" t="shared" si="99" ref="N171:N176">L171/K171*100</f>
        <v>100.1368363437329</v>
      </c>
      <c r="O171" s="147">
        <f>SUM(O172:O173)</f>
        <v>538</v>
      </c>
      <c r="Q171" s="147">
        <v>3659</v>
      </c>
      <c r="R171" s="147">
        <v>3121</v>
      </c>
      <c r="S171" s="140">
        <f t="shared" si="83"/>
        <v>538</v>
      </c>
    </row>
    <row r="172" spans="1:19" ht="12.75" customHeight="1">
      <c r="A172" s="154" t="s">
        <v>47</v>
      </c>
      <c r="B172" s="164">
        <v>6419814</v>
      </c>
      <c r="C172" s="164">
        <v>3649043</v>
      </c>
      <c r="D172" s="164">
        <v>3649043</v>
      </c>
      <c r="E172" s="150">
        <f t="shared" si="96"/>
        <v>56.84032278816801</v>
      </c>
      <c r="F172" s="150">
        <f t="shared" si="97"/>
        <v>100</v>
      </c>
      <c r="G172" s="164">
        <f>D172-'[1]Jūnijs'!D172</f>
        <v>536716</v>
      </c>
      <c r="I172" s="154" t="s">
        <v>47</v>
      </c>
      <c r="J172" s="157">
        <f aca="true" t="shared" si="100" ref="J172:L173">ROUND(B172/1000,0)</f>
        <v>6420</v>
      </c>
      <c r="K172" s="157">
        <f t="shared" si="100"/>
        <v>3649</v>
      </c>
      <c r="L172" s="157">
        <f t="shared" si="100"/>
        <v>3649</v>
      </c>
      <c r="M172" s="158">
        <f t="shared" si="98"/>
        <v>56.838006230529594</v>
      </c>
      <c r="N172" s="158">
        <f t="shared" si="99"/>
        <v>100</v>
      </c>
      <c r="O172" s="157">
        <f>L172-'[1]Jūnijs'!L172</f>
        <v>537</v>
      </c>
      <c r="Q172" s="157">
        <v>3649</v>
      </c>
      <c r="R172" s="157">
        <v>3112</v>
      </c>
      <c r="S172" s="140">
        <f t="shared" si="83"/>
        <v>537</v>
      </c>
    </row>
    <row r="173" spans="1:19" ht="12.75" customHeight="1">
      <c r="A173" s="154" t="s">
        <v>49</v>
      </c>
      <c r="B173" s="164">
        <v>9000</v>
      </c>
      <c r="C173" s="164">
        <v>5250</v>
      </c>
      <c r="D173" s="164">
        <v>9636.91</v>
      </c>
      <c r="E173" s="150">
        <f t="shared" si="96"/>
        <v>107.07677777777778</v>
      </c>
      <c r="F173" s="150">
        <f t="shared" si="97"/>
        <v>183.56019047619048</v>
      </c>
      <c r="G173" s="164">
        <f>D173-'[1]Jūnijs'!D173</f>
        <v>1013.119999999999</v>
      </c>
      <c r="I173" s="154" t="s">
        <v>49</v>
      </c>
      <c r="J173" s="157">
        <f t="shared" si="100"/>
        <v>9</v>
      </c>
      <c r="K173" s="157">
        <f t="shared" si="100"/>
        <v>5</v>
      </c>
      <c r="L173" s="157">
        <f t="shared" si="100"/>
        <v>10</v>
      </c>
      <c r="M173" s="158">
        <f t="shared" si="98"/>
        <v>111.11111111111111</v>
      </c>
      <c r="N173" s="158">
        <f t="shared" si="99"/>
        <v>200</v>
      </c>
      <c r="O173" s="157">
        <f>L173-'[1]Jūnijs'!L173</f>
        <v>1</v>
      </c>
      <c r="Q173" s="157">
        <v>10</v>
      </c>
      <c r="R173" s="157">
        <v>9</v>
      </c>
      <c r="S173" s="140">
        <f t="shared" si="83"/>
        <v>1</v>
      </c>
    </row>
    <row r="174" spans="1:19" ht="12.75" customHeight="1">
      <c r="A174" s="160" t="s">
        <v>51</v>
      </c>
      <c r="B174" s="166">
        <f>SUM(B175:B176)</f>
        <v>6428814</v>
      </c>
      <c r="C174" s="166">
        <f>SUM(C175:C176)</f>
        <v>3654293</v>
      </c>
      <c r="D174" s="166">
        <f>SUM(D175:D176)</f>
        <v>3637102.6199999996</v>
      </c>
      <c r="E174" s="150">
        <f t="shared" si="96"/>
        <v>56.57501710268799</v>
      </c>
      <c r="F174" s="150">
        <f t="shared" si="97"/>
        <v>99.52958397150967</v>
      </c>
      <c r="G174" s="166">
        <f>SUM(G175:G176)</f>
        <v>588233.0299999999</v>
      </c>
      <c r="I174" s="160" t="s">
        <v>51</v>
      </c>
      <c r="J174" s="147">
        <f>J175+J176</f>
        <v>6429</v>
      </c>
      <c r="K174" s="147">
        <f>K175+K176</f>
        <v>3655</v>
      </c>
      <c r="L174" s="147">
        <f>L175+L176</f>
        <v>3637</v>
      </c>
      <c r="M174" s="156">
        <f t="shared" si="98"/>
        <v>56.571784103282006</v>
      </c>
      <c r="N174" s="156">
        <f t="shared" si="99"/>
        <v>99.50752393980848</v>
      </c>
      <c r="O174" s="147">
        <f>SUM(O175:O176)</f>
        <v>588</v>
      </c>
      <c r="Q174" s="147">
        <v>3637</v>
      </c>
      <c r="R174" s="147">
        <v>3049</v>
      </c>
      <c r="S174" s="140">
        <f t="shared" si="83"/>
        <v>588</v>
      </c>
    </row>
    <row r="175" spans="1:19" ht="12.75" customHeight="1">
      <c r="A175" s="162" t="s">
        <v>52</v>
      </c>
      <c r="B175" s="164">
        <v>6282854</v>
      </c>
      <c r="C175" s="164">
        <v>3582693</v>
      </c>
      <c r="D175" s="164">
        <v>3572762.84</v>
      </c>
      <c r="E175" s="150">
        <f t="shared" si="96"/>
        <v>56.8652851076915</v>
      </c>
      <c r="F175" s="150">
        <f t="shared" si="97"/>
        <v>99.72282972613058</v>
      </c>
      <c r="G175" s="164">
        <f>D175-'[1]Jūnijs'!D175</f>
        <v>558603.3599999999</v>
      </c>
      <c r="I175" s="162" t="s">
        <v>52</v>
      </c>
      <c r="J175" s="157">
        <f aca="true" t="shared" si="101" ref="J175:L176">ROUND(B175/1000,0)</f>
        <v>6283</v>
      </c>
      <c r="K175" s="157">
        <f t="shared" si="101"/>
        <v>3583</v>
      </c>
      <c r="L175" s="157">
        <f t="shared" si="101"/>
        <v>3573</v>
      </c>
      <c r="M175" s="158">
        <f t="shared" si="98"/>
        <v>56.86773834155658</v>
      </c>
      <c r="N175" s="158">
        <f t="shared" si="99"/>
        <v>99.72090427016467</v>
      </c>
      <c r="O175" s="157">
        <f>L175-'[1]Jūnijs'!L175</f>
        <v>559</v>
      </c>
      <c r="Q175" s="157">
        <v>3573</v>
      </c>
      <c r="R175" s="157">
        <v>3014</v>
      </c>
      <c r="S175" s="140">
        <f t="shared" si="83"/>
        <v>559</v>
      </c>
    </row>
    <row r="176" spans="1:19" ht="12.75" customHeight="1">
      <c r="A176" s="162" t="s">
        <v>53</v>
      </c>
      <c r="B176" s="164">
        <v>145960</v>
      </c>
      <c r="C176" s="164">
        <v>71600</v>
      </c>
      <c r="D176" s="164">
        <v>64339.78</v>
      </c>
      <c r="E176" s="150">
        <f t="shared" si="96"/>
        <v>44.080419292956975</v>
      </c>
      <c r="F176" s="150">
        <f t="shared" si="97"/>
        <v>89.86002793296089</v>
      </c>
      <c r="G176" s="164">
        <f>D176-'[1]Jūnijs'!D176</f>
        <v>29629.67</v>
      </c>
      <c r="I176" s="162" t="s">
        <v>53</v>
      </c>
      <c r="J176" s="157">
        <f t="shared" si="101"/>
        <v>146</v>
      </c>
      <c r="K176" s="157">
        <f t="shared" si="101"/>
        <v>72</v>
      </c>
      <c r="L176" s="157">
        <f t="shared" si="101"/>
        <v>64</v>
      </c>
      <c r="M176" s="158">
        <f t="shared" si="98"/>
        <v>43.83561643835616</v>
      </c>
      <c r="N176" s="158">
        <f t="shared" si="99"/>
        <v>88.88888888888889</v>
      </c>
      <c r="O176" s="157">
        <f>L176-'[1]Jūnijs'!L176</f>
        <v>29</v>
      </c>
      <c r="Q176" s="157">
        <v>64</v>
      </c>
      <c r="R176" s="157">
        <v>35</v>
      </c>
      <c r="S176" s="140">
        <f t="shared" si="83"/>
        <v>29</v>
      </c>
    </row>
    <row r="177" spans="1:19" ht="12.75" customHeight="1">
      <c r="A177" s="146" t="s">
        <v>97</v>
      </c>
      <c r="B177" s="166"/>
      <c r="C177" s="166"/>
      <c r="D177" s="166"/>
      <c r="E177" s="166"/>
      <c r="F177" s="166"/>
      <c r="G177" s="166"/>
      <c r="I177" s="146" t="s">
        <v>98</v>
      </c>
      <c r="J177" s="166"/>
      <c r="K177" s="166"/>
      <c r="L177" s="166"/>
      <c r="M177" s="158"/>
      <c r="N177" s="158"/>
      <c r="O177" s="166"/>
      <c r="Q177" s="166"/>
      <c r="R177" s="166"/>
      <c r="S177" s="140">
        <f t="shared" si="83"/>
        <v>0</v>
      </c>
    </row>
    <row r="178" spans="1:19" ht="12.75" customHeight="1">
      <c r="A178" s="154" t="s">
        <v>46</v>
      </c>
      <c r="B178" s="164">
        <f>SUM(B179)</f>
        <v>230269</v>
      </c>
      <c r="C178" s="166">
        <f>SUM(C179)</f>
        <v>180983</v>
      </c>
      <c r="D178" s="166">
        <f>SUM(D179)</f>
        <v>180983</v>
      </c>
      <c r="E178" s="149">
        <f>IF(ISERROR(D178/B178)," ",(D178/B178))*100</f>
        <v>78.59633732721295</v>
      </c>
      <c r="F178" s="149">
        <f>IF(ISERROR(D178/C178)," ",(D178/C178))*100</f>
        <v>100</v>
      </c>
      <c r="G178" s="166">
        <f>SUM(G179)</f>
        <v>7701</v>
      </c>
      <c r="I178" s="154" t="s">
        <v>46</v>
      </c>
      <c r="J178" s="147">
        <f>J179</f>
        <v>230</v>
      </c>
      <c r="K178" s="147">
        <f>K179</f>
        <v>181</v>
      </c>
      <c r="L178" s="147">
        <f>L179</f>
        <v>181</v>
      </c>
      <c r="M178" s="156">
        <f>L178/J178*100</f>
        <v>78.69565217391305</v>
      </c>
      <c r="N178" s="156">
        <f>L178/K178*100</f>
        <v>100</v>
      </c>
      <c r="O178" s="147">
        <f>SUM(O179)</f>
        <v>8</v>
      </c>
      <c r="Q178" s="147">
        <v>181</v>
      </c>
      <c r="R178" s="147">
        <v>173</v>
      </c>
      <c r="S178" s="140">
        <f t="shared" si="83"/>
        <v>8</v>
      </c>
    </row>
    <row r="179" spans="1:19" ht="12.75" customHeight="1">
      <c r="A179" s="154" t="s">
        <v>47</v>
      </c>
      <c r="B179" s="164">
        <v>230269</v>
      </c>
      <c r="C179" s="164">
        <v>180983</v>
      </c>
      <c r="D179" s="164">
        <v>180983</v>
      </c>
      <c r="E179" s="150">
        <f>IF(ISERROR(D179/B179)," ",(D179/B179))*100</f>
        <v>78.59633732721295</v>
      </c>
      <c r="F179" s="150">
        <f>IF(ISERROR(D179/C179)," ",(D179/C179))*100</f>
        <v>100</v>
      </c>
      <c r="G179" s="164">
        <f>D179-'[1]Jūnijs'!D179</f>
        <v>7701</v>
      </c>
      <c r="I179" s="154" t="s">
        <v>47</v>
      </c>
      <c r="J179" s="157">
        <f>ROUND(B179/1000,0)</f>
        <v>230</v>
      </c>
      <c r="K179" s="157">
        <f>ROUND(C179/1000,0)</f>
        <v>181</v>
      </c>
      <c r="L179" s="157">
        <f>ROUND(D179/1000,0)</f>
        <v>181</v>
      </c>
      <c r="M179" s="158">
        <f>L179/J179*100</f>
        <v>78.69565217391305</v>
      </c>
      <c r="N179" s="158">
        <f>L179/K179*100</f>
        <v>100</v>
      </c>
      <c r="O179" s="157">
        <f>L179-'[1]Jūnijs'!L179</f>
        <v>8</v>
      </c>
      <c r="Q179" s="157">
        <v>181</v>
      </c>
      <c r="R179" s="157">
        <v>173</v>
      </c>
      <c r="S179" s="140">
        <f t="shared" si="83"/>
        <v>8</v>
      </c>
    </row>
    <row r="180" spans="1:19" ht="12.75" customHeight="1">
      <c r="A180" s="160" t="s">
        <v>51</v>
      </c>
      <c r="B180" s="166">
        <f>SUM(B181:B182)</f>
        <v>230269</v>
      </c>
      <c r="C180" s="166">
        <f>SUM(C181:C182)</f>
        <v>180983</v>
      </c>
      <c r="D180" s="166">
        <f>SUM(D181:D182)</f>
        <v>153533.37000000002</v>
      </c>
      <c r="E180" s="150">
        <f>IF(ISERROR(D180/B180)," ",(D180/B180))*100</f>
        <v>66.6756576004586</v>
      </c>
      <c r="F180" s="150">
        <f>IF(ISERROR(D180/C180)," ",(D180/C180))*100</f>
        <v>84.83303404187134</v>
      </c>
      <c r="G180" s="166">
        <f>SUM(G181:G182)</f>
        <v>7591.640000000014</v>
      </c>
      <c r="I180" s="160" t="s">
        <v>51</v>
      </c>
      <c r="J180" s="147">
        <f>J181+J182</f>
        <v>230</v>
      </c>
      <c r="K180" s="147">
        <f>K181+K182</f>
        <v>181</v>
      </c>
      <c r="L180" s="147">
        <f>L181+L182</f>
        <v>153</v>
      </c>
      <c r="M180" s="156">
        <f>L180/J180*100</f>
        <v>66.52173913043478</v>
      </c>
      <c r="N180" s="156">
        <f>L180/K180*100</f>
        <v>84.5303867403315</v>
      </c>
      <c r="O180" s="147">
        <f>SUM(O181:O182)</f>
        <v>7</v>
      </c>
      <c r="Q180" s="147">
        <v>153</v>
      </c>
      <c r="R180" s="147">
        <v>146</v>
      </c>
      <c r="S180" s="140">
        <f t="shared" si="83"/>
        <v>7</v>
      </c>
    </row>
    <row r="181" spans="1:19" ht="12.75" customHeight="1">
      <c r="A181" s="162" t="s">
        <v>52</v>
      </c>
      <c r="B181" s="164">
        <v>196269</v>
      </c>
      <c r="C181" s="164">
        <v>166983</v>
      </c>
      <c r="D181" s="164">
        <v>139976.14</v>
      </c>
      <c r="E181" s="150">
        <f>IF(ISERROR(D181/B181)," ",(D181/B181))*100</f>
        <v>71.31851693339244</v>
      </c>
      <c r="F181" s="150">
        <f>IF(ISERROR(D181/C181)," ",(D181/C181))*100</f>
        <v>83.82658114897924</v>
      </c>
      <c r="G181" s="164">
        <f>D181-'[1]Jūnijs'!D181</f>
        <v>7591.640000000014</v>
      </c>
      <c r="I181" s="162" t="s">
        <v>52</v>
      </c>
      <c r="J181" s="157">
        <f>ROUND(B181/1000,0)</f>
        <v>196</v>
      </c>
      <c r="K181" s="157">
        <f>ROUND(C181/1000,0)</f>
        <v>167</v>
      </c>
      <c r="L181" s="157">
        <f>ROUND(D181/1000,0)</f>
        <v>140</v>
      </c>
      <c r="M181" s="158">
        <f>L181/J181*100</f>
        <v>71.42857142857143</v>
      </c>
      <c r="N181" s="158">
        <f>L181/K181*100</f>
        <v>83.8323353293413</v>
      </c>
      <c r="O181" s="157">
        <f>L181-'[1]Jūnijs'!L181</f>
        <v>8</v>
      </c>
      <c r="Q181" s="157">
        <v>140</v>
      </c>
      <c r="R181" s="157">
        <v>132</v>
      </c>
      <c r="S181" s="140">
        <f t="shared" si="83"/>
        <v>8</v>
      </c>
    </row>
    <row r="182" spans="1:19" ht="12.75" customHeight="1">
      <c r="A182" s="162" t="s">
        <v>53</v>
      </c>
      <c r="B182" s="164">
        <v>34000</v>
      </c>
      <c r="C182" s="164">
        <v>14000</v>
      </c>
      <c r="D182" s="164">
        <v>13557.23</v>
      </c>
      <c r="E182" s="150">
        <f>IF(ISERROR(D182/B182)," ",(D182/B182))*100</f>
        <v>39.87420588235294</v>
      </c>
      <c r="F182" s="150">
        <f>IF(ISERROR(D182/C182)," ",(D182/C182))*100</f>
        <v>96.83735714285714</v>
      </c>
      <c r="G182" s="164">
        <f>D182-'[1]Jūnijs'!D182</f>
        <v>0</v>
      </c>
      <c r="I182" s="162" t="s">
        <v>53</v>
      </c>
      <c r="J182" s="157">
        <f>ROUND(B182/1000,0)</f>
        <v>34</v>
      </c>
      <c r="K182" s="157">
        <f>ROUND(C182/1000,0)</f>
        <v>14</v>
      </c>
      <c r="L182" s="157">
        <f>ROUND(D182/1000,0)-1</f>
        <v>13</v>
      </c>
      <c r="M182" s="158">
        <f>L182/J182*100</f>
        <v>38.23529411764706</v>
      </c>
      <c r="N182" s="158">
        <f>L182/K182*100</f>
        <v>92.85714285714286</v>
      </c>
      <c r="O182" s="157">
        <f>L182-'[1]Maijs'!L182</f>
        <v>-1</v>
      </c>
      <c r="Q182" s="157">
        <v>13</v>
      </c>
      <c r="R182" s="157">
        <v>14</v>
      </c>
      <c r="S182" s="140">
        <f t="shared" si="83"/>
        <v>-1</v>
      </c>
    </row>
    <row r="183" spans="1:19" ht="12.75" customHeight="1">
      <c r="A183" s="165" t="s">
        <v>99</v>
      </c>
      <c r="B183" s="166"/>
      <c r="C183" s="166"/>
      <c r="D183" s="166"/>
      <c r="E183" s="166"/>
      <c r="F183" s="166"/>
      <c r="G183" s="166"/>
      <c r="I183" s="165" t="s">
        <v>100</v>
      </c>
      <c r="J183" s="166"/>
      <c r="K183" s="166"/>
      <c r="L183" s="166"/>
      <c r="M183" s="158"/>
      <c r="N183" s="158"/>
      <c r="O183" s="166"/>
      <c r="Q183" s="166"/>
      <c r="R183" s="166"/>
      <c r="S183" s="140">
        <f t="shared" si="83"/>
        <v>0</v>
      </c>
    </row>
    <row r="184" spans="1:19" ht="12.75" customHeight="1">
      <c r="A184" s="154" t="s">
        <v>46</v>
      </c>
      <c r="B184" s="164">
        <f>SUM(B185)</f>
        <v>51951</v>
      </c>
      <c r="C184" s="166">
        <f>SUM(C185)</f>
        <v>29451</v>
      </c>
      <c r="D184" s="166">
        <f>SUM(D185)</f>
        <v>29451</v>
      </c>
      <c r="E184" s="149">
        <f>IF(ISERROR(D184/B184)," ",(D184/B184))*100</f>
        <v>56.689957844892305</v>
      </c>
      <c r="F184" s="149">
        <f>IF(ISERROR(D184/C184)," ",(D184/C184))*100</f>
        <v>100</v>
      </c>
      <c r="G184" s="166">
        <f>SUM(G185)</f>
        <v>4343</v>
      </c>
      <c r="I184" s="154" t="s">
        <v>46</v>
      </c>
      <c r="J184" s="147">
        <f>J185</f>
        <v>52</v>
      </c>
      <c r="K184" s="147">
        <f>K185</f>
        <v>29</v>
      </c>
      <c r="L184" s="147">
        <f>L185</f>
        <v>29</v>
      </c>
      <c r="M184" s="156">
        <f>L184/J184*100</f>
        <v>55.769230769230774</v>
      </c>
      <c r="N184" s="156">
        <f>L184/K184*100</f>
        <v>100</v>
      </c>
      <c r="O184" s="147">
        <f>SUM(O185)</f>
        <v>4</v>
      </c>
      <c r="Q184" s="147">
        <v>29</v>
      </c>
      <c r="R184" s="147">
        <v>25</v>
      </c>
      <c r="S184" s="140">
        <f t="shared" si="83"/>
        <v>4</v>
      </c>
    </row>
    <row r="185" spans="1:19" ht="12.75" customHeight="1">
      <c r="A185" s="154" t="s">
        <v>47</v>
      </c>
      <c r="B185" s="164">
        <v>51951</v>
      </c>
      <c r="C185" s="164">
        <v>29451</v>
      </c>
      <c r="D185" s="164">
        <v>29451</v>
      </c>
      <c r="E185" s="150">
        <f>IF(ISERROR(D185/B185)," ",(D185/B185))*100</f>
        <v>56.689957844892305</v>
      </c>
      <c r="F185" s="150">
        <f>IF(ISERROR(D185/C185)," ",(D185/C185))*100</f>
        <v>100</v>
      </c>
      <c r="G185" s="164">
        <f>D185-'[1]Jūnijs'!D185</f>
        <v>4343</v>
      </c>
      <c r="I185" s="154" t="s">
        <v>47</v>
      </c>
      <c r="J185" s="157">
        <f>ROUND(B185/1000,0)</f>
        <v>52</v>
      </c>
      <c r="K185" s="157">
        <f>ROUND(C185/1000,0)</f>
        <v>29</v>
      </c>
      <c r="L185" s="157">
        <f>ROUND(D185/1000,0)</f>
        <v>29</v>
      </c>
      <c r="M185" s="158">
        <f>L185/J185*100</f>
        <v>55.769230769230774</v>
      </c>
      <c r="N185" s="158">
        <f>L185/K185*100</f>
        <v>100</v>
      </c>
      <c r="O185" s="157">
        <f>L185-'[1]Jūnijs'!L185</f>
        <v>4</v>
      </c>
      <c r="Q185" s="157">
        <v>29</v>
      </c>
      <c r="R185" s="157">
        <v>25</v>
      </c>
      <c r="S185" s="140">
        <f t="shared" si="83"/>
        <v>4</v>
      </c>
    </row>
    <row r="186" spans="1:19" ht="12.75" customHeight="1">
      <c r="A186" s="160" t="s">
        <v>51</v>
      </c>
      <c r="B186" s="166">
        <f>SUM(B187)</f>
        <v>51951</v>
      </c>
      <c r="C186" s="166">
        <f>SUM(C187)</f>
        <v>29451</v>
      </c>
      <c r="D186" s="166">
        <f>SUM(D187)</f>
        <v>28159.07</v>
      </c>
      <c r="E186" s="150">
        <f>IF(ISERROR(D186/B186)," ",(D186/B186))*100</f>
        <v>54.20313372216127</v>
      </c>
      <c r="F186" s="150">
        <f>IF(ISERROR(D186/C186)," ",(D186/C186))*100</f>
        <v>95.61328987131166</v>
      </c>
      <c r="G186" s="166">
        <f>SUM(G187)</f>
        <v>4160.8499999999985</v>
      </c>
      <c r="I186" s="160" t="s">
        <v>51</v>
      </c>
      <c r="J186" s="147">
        <f>J187+J188</f>
        <v>52</v>
      </c>
      <c r="K186" s="147">
        <f>K187</f>
        <v>29</v>
      </c>
      <c r="L186" s="147">
        <f>L187</f>
        <v>28</v>
      </c>
      <c r="M186" s="156">
        <f>L186/J186*100</f>
        <v>53.84615384615385</v>
      </c>
      <c r="N186" s="156">
        <f>L186/K186*100</f>
        <v>96.55172413793103</v>
      </c>
      <c r="O186" s="147">
        <f>SUM(O187)</f>
        <v>4</v>
      </c>
      <c r="Q186" s="147">
        <v>28</v>
      </c>
      <c r="R186" s="147">
        <v>24</v>
      </c>
      <c r="S186" s="140">
        <f t="shared" si="83"/>
        <v>4</v>
      </c>
    </row>
    <row r="187" spans="1:19" ht="12.75" customHeight="1">
      <c r="A187" s="162" t="s">
        <v>52</v>
      </c>
      <c r="B187" s="164">
        <v>51951</v>
      </c>
      <c r="C187" s="164">
        <v>29451</v>
      </c>
      <c r="D187" s="164">
        <v>28159.07</v>
      </c>
      <c r="E187" s="150">
        <f>IF(ISERROR(D187/B187)," ",(D187/B187))*100</f>
        <v>54.20313372216127</v>
      </c>
      <c r="F187" s="150">
        <f>IF(ISERROR(D187/C187)," ",(D187/C187))*100</f>
        <v>95.61328987131166</v>
      </c>
      <c r="G187" s="164">
        <f>D187-'[1]Jūnijs'!D187</f>
        <v>4160.8499999999985</v>
      </c>
      <c r="I187" s="162" t="s">
        <v>52</v>
      </c>
      <c r="J187" s="157">
        <f>ROUND(B187/1000,0)</f>
        <v>52</v>
      </c>
      <c r="K187" s="157">
        <f>ROUND(C187/1000,0)</f>
        <v>29</v>
      </c>
      <c r="L187" s="157">
        <f>ROUND(D187/1000,0)</f>
        <v>28</v>
      </c>
      <c r="M187" s="158">
        <f>L187/J187*100</f>
        <v>53.84615384615385</v>
      </c>
      <c r="N187" s="158">
        <f>L187/K187*100</f>
        <v>96.55172413793103</v>
      </c>
      <c r="O187" s="147">
        <f>L187-'[1]Jūnijs'!L187</f>
        <v>4</v>
      </c>
      <c r="Q187" s="157">
        <v>28</v>
      </c>
      <c r="R187" s="157">
        <v>24</v>
      </c>
      <c r="S187" s="140">
        <f t="shared" si="83"/>
        <v>4</v>
      </c>
    </row>
    <row r="188" spans="1:19" ht="12.75" customHeight="1">
      <c r="A188" s="165" t="s">
        <v>101</v>
      </c>
      <c r="B188" s="166"/>
      <c r="C188" s="166"/>
      <c r="D188" s="166"/>
      <c r="E188" s="166"/>
      <c r="F188" s="166"/>
      <c r="G188" s="166"/>
      <c r="I188" s="165" t="s">
        <v>102</v>
      </c>
      <c r="J188" s="166"/>
      <c r="K188" s="166"/>
      <c r="L188" s="166"/>
      <c r="M188" s="158"/>
      <c r="N188" s="158"/>
      <c r="O188" s="166"/>
      <c r="Q188" s="166"/>
      <c r="R188" s="166"/>
      <c r="S188" s="140">
        <f t="shared" si="83"/>
        <v>0</v>
      </c>
    </row>
    <row r="189" spans="1:19" ht="12.75" customHeight="1">
      <c r="A189" s="154" t="s">
        <v>46</v>
      </c>
      <c r="B189" s="164">
        <f>SUM(B190)</f>
        <v>1643907</v>
      </c>
      <c r="C189" s="166">
        <f>SUM(C190)</f>
        <v>1189117</v>
      </c>
      <c r="D189" s="166">
        <f>SUM(D190:D191)</f>
        <v>1196628.87</v>
      </c>
      <c r="E189" s="149">
        <f>IF(ISERROR(D189/B189)," ",(D189/B189))*100</f>
        <v>72.79176194273764</v>
      </c>
      <c r="F189" s="149">
        <f>IF(ISERROR(D189/C189)," ",(D189/C189))*100</f>
        <v>100.63171832544653</v>
      </c>
      <c r="G189" s="166">
        <f>SUM(G190)</f>
        <v>91000</v>
      </c>
      <c r="I189" s="154" t="s">
        <v>46</v>
      </c>
      <c r="J189" s="147">
        <f>J190</f>
        <v>1644</v>
      </c>
      <c r="K189" s="147">
        <f>K190</f>
        <v>1189</v>
      </c>
      <c r="L189" s="147">
        <f>L190+L191</f>
        <v>1197</v>
      </c>
      <c r="M189" s="156">
        <f>L189/J189*100</f>
        <v>72.8102189781022</v>
      </c>
      <c r="N189" s="156">
        <f>L189/K189*100</f>
        <v>100.67283431455006</v>
      </c>
      <c r="O189" s="147">
        <f>SUM(O190:O191)</f>
        <v>99</v>
      </c>
      <c r="Q189" s="147">
        <v>1197</v>
      </c>
      <c r="R189" s="147">
        <v>1098</v>
      </c>
      <c r="S189" s="140">
        <f t="shared" si="83"/>
        <v>99</v>
      </c>
    </row>
    <row r="190" spans="1:19" ht="12.75" customHeight="1">
      <c r="A190" s="154" t="s">
        <v>47</v>
      </c>
      <c r="B190" s="164">
        <v>1643907</v>
      </c>
      <c r="C190" s="164">
        <v>1189117</v>
      </c>
      <c r="D190" s="164">
        <v>1189117</v>
      </c>
      <c r="E190" s="150">
        <f>IF(ISERROR(D190/B190)," ",(D190/B190))*100</f>
        <v>72.33480969422236</v>
      </c>
      <c r="F190" s="150">
        <f>IF(ISERROR(D190/C190)," ",(D190/C190))*100</f>
        <v>100</v>
      </c>
      <c r="G190" s="164">
        <f>D190-'[1]Jūnijs'!D190</f>
        <v>91000</v>
      </c>
      <c r="I190" s="154" t="s">
        <v>47</v>
      </c>
      <c r="J190" s="157">
        <f>ROUND(B190/1000,0)</f>
        <v>1644</v>
      </c>
      <c r="K190" s="157">
        <f>ROUND(C190/1000,0)</f>
        <v>1189</v>
      </c>
      <c r="L190" s="157">
        <f>ROUND(D190/1000,0)</f>
        <v>1189</v>
      </c>
      <c r="M190" s="158">
        <f>L190/J190*100</f>
        <v>72.32360097323601</v>
      </c>
      <c r="N190" s="158">
        <f>L190/K190*100</f>
        <v>100</v>
      </c>
      <c r="O190" s="157">
        <f>L190-'[1]Jūnijs'!L190</f>
        <v>91</v>
      </c>
      <c r="Q190" s="157">
        <v>1189</v>
      </c>
      <c r="R190" s="157">
        <v>1098</v>
      </c>
      <c r="S190" s="140">
        <f t="shared" si="83"/>
        <v>91</v>
      </c>
    </row>
    <row r="191" spans="1:19" ht="12.75" customHeight="1">
      <c r="A191" s="154" t="s">
        <v>49</v>
      </c>
      <c r="B191" s="164"/>
      <c r="C191" s="164"/>
      <c r="D191" s="164">
        <v>7511.87</v>
      </c>
      <c r="E191" s="150"/>
      <c r="F191" s="150"/>
      <c r="G191" s="164">
        <f>D191-'[1]Jūnijs'!D191</f>
        <v>7511.87</v>
      </c>
      <c r="I191" s="154" t="s">
        <v>49</v>
      </c>
      <c r="J191" s="157"/>
      <c r="K191" s="157"/>
      <c r="L191" s="157">
        <f>ROUND(D191/1000,0)</f>
        <v>8</v>
      </c>
      <c r="M191" s="158"/>
      <c r="N191" s="158"/>
      <c r="O191" s="157">
        <f>L191-'[1]Jūnijs'!L191</f>
        <v>8</v>
      </c>
      <c r="Q191" s="157">
        <v>8</v>
      </c>
      <c r="R191" s="157"/>
      <c r="S191" s="140">
        <f t="shared" si="83"/>
        <v>8</v>
      </c>
    </row>
    <row r="192" spans="1:19" ht="12.75" customHeight="1">
      <c r="A192" s="160" t="s">
        <v>51</v>
      </c>
      <c r="B192" s="166">
        <f>SUM(B193)</f>
        <v>1643907</v>
      </c>
      <c r="C192" s="166">
        <f>SUM(C193)</f>
        <v>1189117</v>
      </c>
      <c r="D192" s="166">
        <f>SUM(D193)</f>
        <v>1065212.39</v>
      </c>
      <c r="E192" s="150">
        <f>IF(ISERROR(D192/B192)," ",(D192/B192))*100</f>
        <v>64.79760655560199</v>
      </c>
      <c r="F192" s="150">
        <f>IF(ISERROR(D192/C192)," ",(D192/C192))*100</f>
        <v>89.58011617023386</v>
      </c>
      <c r="G192" s="166">
        <f>SUM(G193)</f>
        <v>519422.3899999999</v>
      </c>
      <c r="I192" s="160" t="s">
        <v>51</v>
      </c>
      <c r="J192" s="147">
        <f>J193+J194</f>
        <v>1644</v>
      </c>
      <c r="K192" s="147">
        <f>K193</f>
        <v>1189</v>
      </c>
      <c r="L192" s="147">
        <f>L193</f>
        <v>1065</v>
      </c>
      <c r="M192" s="156">
        <f>L192/J192*100</f>
        <v>64.78102189781022</v>
      </c>
      <c r="N192" s="156">
        <f>L192/K192*100</f>
        <v>89.57106812447435</v>
      </c>
      <c r="O192" s="147">
        <f>SUM(O193)</f>
        <v>519</v>
      </c>
      <c r="Q192" s="147">
        <v>1065</v>
      </c>
      <c r="R192" s="147">
        <v>546</v>
      </c>
      <c r="S192" s="140">
        <f t="shared" si="83"/>
        <v>519</v>
      </c>
    </row>
    <row r="193" spans="1:19" ht="12.75" customHeight="1">
      <c r="A193" s="162" t="s">
        <v>52</v>
      </c>
      <c r="B193" s="164">
        <v>1643907</v>
      </c>
      <c r="C193" s="164">
        <v>1189117</v>
      </c>
      <c r="D193" s="164">
        <v>1065212.39</v>
      </c>
      <c r="E193" s="150">
        <f>IF(ISERROR(D193/B193)," ",(D193/B193))*100</f>
        <v>64.79760655560199</v>
      </c>
      <c r="F193" s="150">
        <f>IF(ISERROR(D193/C193)," ",(D193/C193))*100</f>
        <v>89.58011617023386</v>
      </c>
      <c r="G193" s="164">
        <f>D193-'[1]Jūnijs'!D193</f>
        <v>519422.3899999999</v>
      </c>
      <c r="I193" s="162" t="s">
        <v>52</v>
      </c>
      <c r="J193" s="157">
        <f>ROUND(B193/1000,0)</f>
        <v>1644</v>
      </c>
      <c r="K193" s="157">
        <f>ROUND(C193/1000,0)</f>
        <v>1189</v>
      </c>
      <c r="L193" s="157">
        <f>ROUND(D193/1000,0)</f>
        <v>1065</v>
      </c>
      <c r="M193" s="158">
        <f>L193/J193*100</f>
        <v>64.78102189781022</v>
      </c>
      <c r="N193" s="158">
        <f>L193/K193*100</f>
        <v>89.57106812447435</v>
      </c>
      <c r="O193" s="147">
        <f>L193-'[1]Jūnijs'!L193</f>
        <v>519</v>
      </c>
      <c r="Q193" s="157">
        <v>1065</v>
      </c>
      <c r="R193" s="157">
        <v>546</v>
      </c>
      <c r="S193" s="140">
        <f t="shared" si="83"/>
        <v>519</v>
      </c>
    </row>
    <row r="194" spans="1:19" ht="12.75" customHeight="1">
      <c r="A194" s="160" t="s">
        <v>866</v>
      </c>
      <c r="B194" s="166"/>
      <c r="C194" s="166"/>
      <c r="D194" s="166"/>
      <c r="E194" s="166"/>
      <c r="F194" s="166"/>
      <c r="G194" s="166"/>
      <c r="I194" s="160" t="s">
        <v>866</v>
      </c>
      <c r="J194" s="166"/>
      <c r="K194" s="166"/>
      <c r="L194" s="166"/>
      <c r="M194" s="158"/>
      <c r="N194" s="158"/>
      <c r="O194" s="166"/>
      <c r="Q194" s="166"/>
      <c r="R194" s="166"/>
      <c r="S194" s="140">
        <f t="shared" si="83"/>
        <v>0</v>
      </c>
    </row>
    <row r="195" spans="1:19" ht="12.75" customHeight="1">
      <c r="A195" s="154" t="s">
        <v>46</v>
      </c>
      <c r="B195" s="164">
        <f>SUM(B196:B197)</f>
        <v>6785420</v>
      </c>
      <c r="C195" s="166">
        <f>SUM(C196:C197)</f>
        <v>3984136</v>
      </c>
      <c r="D195" s="166">
        <f>SUM(D196:D197)</f>
        <v>3986106</v>
      </c>
      <c r="E195" s="149">
        <f aca="true" t="shared" si="102" ref="E195:E200">IF(ISERROR(D195/B195)," ",(D195/B195))*100</f>
        <v>58.74516242178082</v>
      </c>
      <c r="F195" s="149">
        <f>IF(ISERROR(D195/C195)," ",(D195/C195))*100</f>
        <v>100.04944610324546</v>
      </c>
      <c r="G195" s="166">
        <f>SUM(G196:G197)</f>
        <v>603502</v>
      </c>
      <c r="I195" s="154" t="s">
        <v>46</v>
      </c>
      <c r="J195" s="147">
        <f>J196+J197</f>
        <v>6785</v>
      </c>
      <c r="K195" s="147">
        <f>K196+K197</f>
        <v>3984</v>
      </c>
      <c r="L195" s="147">
        <f>L196+L197</f>
        <v>3986</v>
      </c>
      <c r="M195" s="156">
        <f aca="true" t="shared" si="103" ref="M195:M200">L195/J195*100</f>
        <v>58.74723655121592</v>
      </c>
      <c r="N195" s="156">
        <f>L195/K195*100</f>
        <v>100.05020080321285</v>
      </c>
      <c r="O195" s="147">
        <f>SUM(O196:O197)</f>
        <v>604</v>
      </c>
      <c r="Q195" s="147">
        <v>3986</v>
      </c>
      <c r="R195" s="147">
        <v>3382</v>
      </c>
      <c r="S195" s="140">
        <f t="shared" si="83"/>
        <v>604</v>
      </c>
    </row>
    <row r="196" spans="1:19" ht="12.75" customHeight="1">
      <c r="A196" s="154" t="s">
        <v>47</v>
      </c>
      <c r="B196" s="164">
        <v>6783580</v>
      </c>
      <c r="C196" s="164">
        <v>3983936</v>
      </c>
      <c r="D196" s="164">
        <v>3983936</v>
      </c>
      <c r="E196" s="150">
        <f t="shared" si="102"/>
        <v>58.72910763932908</v>
      </c>
      <c r="F196" s="150">
        <f>IF(ISERROR(D196/C196)," ",(D196/C196))*100</f>
        <v>100</v>
      </c>
      <c r="G196" s="164">
        <f>D196-'[1]Jūnijs'!D196</f>
        <v>603502</v>
      </c>
      <c r="I196" s="154" t="s">
        <v>47</v>
      </c>
      <c r="J196" s="157">
        <f>ROUND(B196/1000,0)-1</f>
        <v>6783</v>
      </c>
      <c r="K196" s="157">
        <f>ROUND(C196/1000,0)</f>
        <v>3984</v>
      </c>
      <c r="L196" s="157">
        <f>ROUND(D196/1000,0)</f>
        <v>3984</v>
      </c>
      <c r="M196" s="158">
        <f t="shared" si="103"/>
        <v>58.735072976559046</v>
      </c>
      <c r="N196" s="158">
        <f>L196/K196*100</f>
        <v>100</v>
      </c>
      <c r="O196" s="157">
        <f>L196-'[1]Jūnijs'!L196</f>
        <v>604</v>
      </c>
      <c r="Q196" s="157">
        <v>3984</v>
      </c>
      <c r="R196" s="157">
        <v>3380</v>
      </c>
      <c r="S196" s="140">
        <f t="shared" si="83"/>
        <v>604</v>
      </c>
    </row>
    <row r="197" spans="1:19" ht="12.75" customHeight="1">
      <c r="A197" s="154" t="s">
        <v>49</v>
      </c>
      <c r="B197" s="164">
        <v>1840</v>
      </c>
      <c r="C197" s="164">
        <v>200</v>
      </c>
      <c r="D197" s="164">
        <v>2170</v>
      </c>
      <c r="E197" s="150">
        <f t="shared" si="102"/>
        <v>117.93478260869566</v>
      </c>
      <c r="F197" s="150"/>
      <c r="G197" s="164">
        <f>D197-'[1]Jūnijs'!D197</f>
        <v>0</v>
      </c>
      <c r="I197" s="154" t="s">
        <v>49</v>
      </c>
      <c r="J197" s="157">
        <f>ROUND(B197/1000,0)</f>
        <v>2</v>
      </c>
      <c r="K197" s="157"/>
      <c r="L197" s="157">
        <f>ROUND(D197/1000,0)</f>
        <v>2</v>
      </c>
      <c r="M197" s="158">
        <f t="shared" si="103"/>
        <v>100</v>
      </c>
      <c r="N197" s="158"/>
      <c r="O197" s="157"/>
      <c r="Q197" s="157">
        <v>2</v>
      </c>
      <c r="R197" s="157">
        <v>2</v>
      </c>
      <c r="S197" s="140">
        <f t="shared" si="83"/>
        <v>0</v>
      </c>
    </row>
    <row r="198" spans="1:19" ht="12.75" customHeight="1">
      <c r="A198" s="160" t="s">
        <v>51</v>
      </c>
      <c r="B198" s="166">
        <f>SUM(B199:B200)</f>
        <v>6785420</v>
      </c>
      <c r="C198" s="166">
        <f>SUM(C199:C200)</f>
        <v>3984136</v>
      </c>
      <c r="D198" s="166">
        <f>SUM(D199:D200)</f>
        <v>3972231.84</v>
      </c>
      <c r="E198" s="150">
        <f t="shared" si="102"/>
        <v>58.54069224896911</v>
      </c>
      <c r="F198" s="150">
        <f>IF(ISERROR(D198/C198)," ",(D198/C198))*100</f>
        <v>99.70121100283725</v>
      </c>
      <c r="G198" s="166">
        <f>SUM(G199:G200)</f>
        <v>610120.27</v>
      </c>
      <c r="H198" s="168"/>
      <c r="I198" s="160" t="s">
        <v>51</v>
      </c>
      <c r="J198" s="147">
        <f>J199+J200</f>
        <v>6785</v>
      </c>
      <c r="K198" s="147">
        <f>K199+K200</f>
        <v>3984</v>
      </c>
      <c r="L198" s="147">
        <f>L199+L200</f>
        <v>3972</v>
      </c>
      <c r="M198" s="156">
        <f t="shared" si="103"/>
        <v>58.540899042004426</v>
      </c>
      <c r="N198" s="156">
        <f>L198/K198*100</f>
        <v>99.69879518072288</v>
      </c>
      <c r="O198" s="147">
        <f>SUM(O199:O200)</f>
        <v>610</v>
      </c>
      <c r="Q198" s="147">
        <v>3972</v>
      </c>
      <c r="R198" s="147">
        <v>3362</v>
      </c>
      <c r="S198" s="140">
        <f t="shared" si="83"/>
        <v>610</v>
      </c>
    </row>
    <row r="199" spans="1:19" ht="12.75" customHeight="1">
      <c r="A199" s="162" t="s">
        <v>52</v>
      </c>
      <c r="B199" s="164">
        <v>6593420</v>
      </c>
      <c r="C199" s="164">
        <v>3856136</v>
      </c>
      <c r="D199" s="164">
        <v>3844420.33</v>
      </c>
      <c r="E199" s="150">
        <f t="shared" si="102"/>
        <v>58.306923114256335</v>
      </c>
      <c r="F199" s="150">
        <f>IF(ISERROR(D199/C199)," ",(D199/C199))*100</f>
        <v>99.6961810994218</v>
      </c>
      <c r="G199" s="164">
        <f>D199-'[1]Jūnijs'!D199</f>
        <v>548120.27</v>
      </c>
      <c r="I199" s="162" t="s">
        <v>52</v>
      </c>
      <c r="J199" s="157">
        <f aca="true" t="shared" si="104" ref="J199:L200">ROUND(B199/1000,0)</f>
        <v>6593</v>
      </c>
      <c r="K199" s="157">
        <f t="shared" si="104"/>
        <v>3856</v>
      </c>
      <c r="L199" s="157">
        <f t="shared" si="104"/>
        <v>3844</v>
      </c>
      <c r="M199" s="158">
        <f t="shared" si="103"/>
        <v>58.304262096162596</v>
      </c>
      <c r="N199" s="158">
        <f>L199/K199*100</f>
        <v>99.68879668049793</v>
      </c>
      <c r="O199" s="157">
        <f>L199-'[1]Jūnijs'!L199</f>
        <v>548</v>
      </c>
      <c r="Q199" s="157">
        <v>3844</v>
      </c>
      <c r="R199" s="157">
        <v>3296</v>
      </c>
      <c r="S199" s="140">
        <f t="shared" si="83"/>
        <v>548</v>
      </c>
    </row>
    <row r="200" spans="1:19" ht="12.75" customHeight="1">
      <c r="A200" s="162" t="s">
        <v>53</v>
      </c>
      <c r="B200" s="164">
        <v>192000</v>
      </c>
      <c r="C200" s="164">
        <v>128000</v>
      </c>
      <c r="D200" s="164">
        <v>127811.51</v>
      </c>
      <c r="E200" s="150">
        <f t="shared" si="102"/>
        <v>66.56849479166667</v>
      </c>
      <c r="F200" s="150">
        <f>IF(ISERROR(D200/C200)," ",(D200/C200))*100</f>
        <v>99.8527421875</v>
      </c>
      <c r="G200" s="164">
        <f>D200-'[1]Jūnijs'!D200</f>
        <v>62000</v>
      </c>
      <c r="I200" s="162" t="s">
        <v>53</v>
      </c>
      <c r="J200" s="157">
        <f t="shared" si="104"/>
        <v>192</v>
      </c>
      <c r="K200" s="157">
        <f t="shared" si="104"/>
        <v>128</v>
      </c>
      <c r="L200" s="157">
        <f t="shared" si="104"/>
        <v>128</v>
      </c>
      <c r="M200" s="158">
        <f t="shared" si="103"/>
        <v>66.66666666666666</v>
      </c>
      <c r="N200" s="158">
        <f>L200/K200*100</f>
        <v>100</v>
      </c>
      <c r="O200" s="157">
        <f>L200-'[1]Jūnijs'!L200</f>
        <v>62</v>
      </c>
      <c r="Q200" s="157">
        <v>128</v>
      </c>
      <c r="R200" s="157">
        <v>66</v>
      </c>
      <c r="S200" s="140">
        <f t="shared" si="83"/>
        <v>62</v>
      </c>
    </row>
    <row r="201" spans="1:19" ht="12.75" customHeight="1">
      <c r="A201" s="165" t="s">
        <v>104</v>
      </c>
      <c r="B201" s="164"/>
      <c r="C201" s="164"/>
      <c r="D201" s="164"/>
      <c r="E201" s="164"/>
      <c r="F201" s="164"/>
      <c r="G201" s="164"/>
      <c r="I201" s="165" t="s">
        <v>105</v>
      </c>
      <c r="J201" s="164"/>
      <c r="K201" s="164"/>
      <c r="L201" s="164"/>
      <c r="M201" s="158"/>
      <c r="N201" s="158"/>
      <c r="O201" s="164"/>
      <c r="Q201" s="164"/>
      <c r="R201" s="164"/>
      <c r="S201" s="140">
        <f t="shared" si="83"/>
        <v>0</v>
      </c>
    </row>
    <row r="202" spans="1:19" ht="12.75" customHeight="1">
      <c r="A202" s="154" t="s">
        <v>46</v>
      </c>
      <c r="B202" s="164">
        <f>SUM(B203)</f>
        <v>96191</v>
      </c>
      <c r="C202" s="166">
        <f>SUM(C203)</f>
        <v>56111</v>
      </c>
      <c r="D202" s="166">
        <f>SUM(D203)</f>
        <v>56111</v>
      </c>
      <c r="E202" s="149">
        <f>IF(ISERROR(D202/B202)," ",(D202/B202))*100</f>
        <v>58.33290016737532</v>
      </c>
      <c r="F202" s="149">
        <f>IF(ISERROR(D202/C202)," ",(D202/C202))*100</f>
        <v>100</v>
      </c>
      <c r="G202" s="166">
        <f>SUM(G203)</f>
        <v>8016</v>
      </c>
      <c r="I202" s="154" t="s">
        <v>46</v>
      </c>
      <c r="J202" s="147">
        <f>J203</f>
        <v>96</v>
      </c>
      <c r="K202" s="147">
        <f>K203</f>
        <v>56</v>
      </c>
      <c r="L202" s="147">
        <f>L203</f>
        <v>56</v>
      </c>
      <c r="M202" s="156">
        <f>L202/J202*100</f>
        <v>58.333333333333336</v>
      </c>
      <c r="N202" s="156">
        <f>L202/K202*100</f>
        <v>100</v>
      </c>
      <c r="O202" s="147">
        <f>SUM(O203)</f>
        <v>8</v>
      </c>
      <c r="Q202" s="147">
        <v>56</v>
      </c>
      <c r="R202" s="147">
        <v>48</v>
      </c>
      <c r="S202" s="140">
        <f aca="true" t="shared" si="105" ref="S202:S239">Q202-R202</f>
        <v>8</v>
      </c>
    </row>
    <row r="203" spans="1:19" ht="12.75" customHeight="1">
      <c r="A203" s="154" t="s">
        <v>47</v>
      </c>
      <c r="B203" s="164">
        <v>96191</v>
      </c>
      <c r="C203" s="164">
        <v>56111</v>
      </c>
      <c r="D203" s="164">
        <v>56111</v>
      </c>
      <c r="E203" s="150">
        <f>IF(ISERROR(D203/B203)," ",(D203/B203))*100</f>
        <v>58.33290016737532</v>
      </c>
      <c r="F203" s="150">
        <f>IF(ISERROR(D203/C203)," ",(D203/C203))*100</f>
        <v>100</v>
      </c>
      <c r="G203" s="164">
        <f>D203-'[1]Jūnijs'!D203</f>
        <v>8016</v>
      </c>
      <c r="I203" s="154" t="s">
        <v>47</v>
      </c>
      <c r="J203" s="157">
        <f>ROUND(B203/1000,0)</f>
        <v>96</v>
      </c>
      <c r="K203" s="157">
        <f>ROUND(C203/1000,0)</f>
        <v>56</v>
      </c>
      <c r="L203" s="157">
        <f>ROUND(D203/1000,0)</f>
        <v>56</v>
      </c>
      <c r="M203" s="158">
        <f>L203/J203*100</f>
        <v>58.333333333333336</v>
      </c>
      <c r="N203" s="158">
        <f>L203/K203*100</f>
        <v>100</v>
      </c>
      <c r="O203" s="157">
        <f>L203-'[1]Jūnijs'!L203</f>
        <v>8</v>
      </c>
      <c r="Q203" s="157">
        <v>56</v>
      </c>
      <c r="R203" s="157">
        <v>48</v>
      </c>
      <c r="S203" s="140">
        <f t="shared" si="105"/>
        <v>8</v>
      </c>
    </row>
    <row r="204" spans="1:19" ht="12.75" customHeight="1">
      <c r="A204" s="160" t="s">
        <v>51</v>
      </c>
      <c r="B204" s="166">
        <f>SUM(B205)</f>
        <v>96191</v>
      </c>
      <c r="C204" s="166">
        <f>SUM(C205)</f>
        <v>56111</v>
      </c>
      <c r="D204" s="166">
        <f>SUM(D205)</f>
        <v>56111</v>
      </c>
      <c r="E204" s="150">
        <f>IF(ISERROR(D204/B204)," ",(D204/B204))*100</f>
        <v>58.33290016737532</v>
      </c>
      <c r="F204" s="150">
        <f>IF(ISERROR(D204/C204)," ",(D204/C204))*100</f>
        <v>100</v>
      </c>
      <c r="G204" s="166">
        <f>SUM(G205)</f>
        <v>8016</v>
      </c>
      <c r="I204" s="160" t="s">
        <v>51</v>
      </c>
      <c r="J204" s="147">
        <f>J205+J206</f>
        <v>96</v>
      </c>
      <c r="K204" s="147">
        <f>K205</f>
        <v>56</v>
      </c>
      <c r="L204" s="147">
        <f>L205</f>
        <v>56</v>
      </c>
      <c r="M204" s="156">
        <f>L204/J204*100</f>
        <v>58.333333333333336</v>
      </c>
      <c r="N204" s="156">
        <f>L204/K204*100</f>
        <v>100</v>
      </c>
      <c r="O204" s="147">
        <f>SUM(O205)</f>
        <v>8</v>
      </c>
      <c r="Q204" s="147">
        <v>56</v>
      </c>
      <c r="R204" s="147">
        <v>48</v>
      </c>
      <c r="S204" s="140">
        <f t="shared" si="105"/>
        <v>8</v>
      </c>
    </row>
    <row r="205" spans="1:19" ht="12.75" customHeight="1">
      <c r="A205" s="162" t="s">
        <v>52</v>
      </c>
      <c r="B205" s="164">
        <v>96191</v>
      </c>
      <c r="C205" s="164">
        <v>56111</v>
      </c>
      <c r="D205" s="164">
        <v>56111</v>
      </c>
      <c r="E205" s="150">
        <f>IF(ISERROR(D205/B205)," ",(D205/B205))*100</f>
        <v>58.33290016737532</v>
      </c>
      <c r="F205" s="150">
        <f>IF(ISERROR(D205/C205)," ",(D205/C205))*100</f>
        <v>100</v>
      </c>
      <c r="G205" s="164">
        <f>D205-'[1]Jūnijs'!D205</f>
        <v>8016</v>
      </c>
      <c r="I205" s="162" t="s">
        <v>52</v>
      </c>
      <c r="J205" s="157">
        <f>ROUND(B205/1000,0)</f>
        <v>96</v>
      </c>
      <c r="K205" s="157">
        <f>ROUND(C205/1000,0)</f>
        <v>56</v>
      </c>
      <c r="L205" s="157">
        <f>ROUND(D205/1000,0)</f>
        <v>56</v>
      </c>
      <c r="M205" s="158">
        <f>L205/J205*100</f>
        <v>58.333333333333336</v>
      </c>
      <c r="N205" s="158">
        <f>L205/K205*100</f>
        <v>100</v>
      </c>
      <c r="O205" s="157">
        <f>L205-'[1]Jūnijs'!L205</f>
        <v>8</v>
      </c>
      <c r="Q205" s="157">
        <v>56</v>
      </c>
      <c r="R205" s="157">
        <v>48</v>
      </c>
      <c r="S205" s="140">
        <f t="shared" si="105"/>
        <v>8</v>
      </c>
    </row>
    <row r="206" spans="1:19" ht="37.5" customHeight="1">
      <c r="A206" s="165" t="s">
        <v>106</v>
      </c>
      <c r="B206" s="164"/>
      <c r="C206" s="164"/>
      <c r="D206" s="164"/>
      <c r="E206" s="164"/>
      <c r="F206" s="164"/>
      <c r="G206" s="164"/>
      <c r="I206" s="165" t="s">
        <v>107</v>
      </c>
      <c r="J206" s="164"/>
      <c r="K206" s="164"/>
      <c r="L206" s="164"/>
      <c r="M206" s="158"/>
      <c r="N206" s="158"/>
      <c r="O206" s="164"/>
      <c r="Q206" s="164"/>
      <c r="R206" s="164"/>
      <c r="S206" s="140">
        <f t="shared" si="105"/>
        <v>0</v>
      </c>
    </row>
    <row r="207" spans="1:19" ht="12.75" customHeight="1">
      <c r="A207" s="154" t="s">
        <v>46</v>
      </c>
      <c r="B207" s="164">
        <f>SUM(B208:B210)</f>
        <v>4644016</v>
      </c>
      <c r="C207" s="166">
        <f>SUM(C208:C210)</f>
        <v>2060714</v>
      </c>
      <c r="D207" s="166">
        <f>SUM(D208:D210)</f>
        <v>1143664.82</v>
      </c>
      <c r="E207" s="149">
        <f>IF(ISERROR(D207/B207)," ",(D207/B207))*100</f>
        <v>24.626633930632455</v>
      </c>
      <c r="F207" s="149">
        <f>IF(ISERROR(D207/C207)," ",(D207/C207))*100</f>
        <v>55.49847382994438</v>
      </c>
      <c r="G207" s="166">
        <f>SUM(G208:G210)</f>
        <v>313829.65</v>
      </c>
      <c r="I207" s="154" t="s">
        <v>46</v>
      </c>
      <c r="J207" s="147">
        <f>J208+J209+J210</f>
        <v>4644</v>
      </c>
      <c r="K207" s="147">
        <f>K208+K209+K210</f>
        <v>2061</v>
      </c>
      <c r="L207" s="147">
        <f>L208+L209+L210</f>
        <v>1144</v>
      </c>
      <c r="M207" s="156">
        <f>L207/J207*100</f>
        <v>24.63393626184324</v>
      </c>
      <c r="N207" s="156">
        <f>L207/K207*100</f>
        <v>55.50703541969918</v>
      </c>
      <c r="O207" s="147">
        <f>SUM(O208:O210)</f>
        <v>314</v>
      </c>
      <c r="Q207" s="147">
        <v>1144</v>
      </c>
      <c r="R207" s="147">
        <v>830</v>
      </c>
      <c r="S207" s="140">
        <f t="shared" si="105"/>
        <v>314</v>
      </c>
    </row>
    <row r="208" spans="1:19" ht="12" customHeight="1">
      <c r="A208" s="154" t="s">
        <v>47</v>
      </c>
      <c r="B208" s="164">
        <v>1096159</v>
      </c>
      <c r="C208" s="164">
        <v>652557</v>
      </c>
      <c r="D208" s="164">
        <v>652557</v>
      </c>
      <c r="E208" s="150">
        <f>IF(ISERROR(D208/B208)," ",(D208/B208))*100</f>
        <v>59.531235888224245</v>
      </c>
      <c r="F208" s="150">
        <f>IF(ISERROR(D208/C208)," ",(D208/C208))*100</f>
        <v>100</v>
      </c>
      <c r="G208" s="164">
        <f>D208-'[1]Jūnijs'!D208</f>
        <v>303605</v>
      </c>
      <c r="I208" s="154" t="s">
        <v>47</v>
      </c>
      <c r="J208" s="157">
        <f>ROUND(B208/1000,0)</f>
        <v>1096</v>
      </c>
      <c r="K208" s="157">
        <f>ROUND(C208/1000,0)</f>
        <v>653</v>
      </c>
      <c r="L208" s="157">
        <f>ROUND(D208/1000,0)</f>
        <v>653</v>
      </c>
      <c r="M208" s="158">
        <f>L208/J208*100</f>
        <v>59.580291970802925</v>
      </c>
      <c r="N208" s="158">
        <f>L208/K208*100</f>
        <v>100</v>
      </c>
      <c r="O208" s="157">
        <f>L208-'[1]Jūnijs'!L208</f>
        <v>304</v>
      </c>
      <c r="Q208" s="157">
        <v>653</v>
      </c>
      <c r="R208" s="157">
        <v>349</v>
      </c>
      <c r="S208" s="140">
        <f t="shared" si="105"/>
        <v>304</v>
      </c>
    </row>
    <row r="209" spans="1:19" ht="12.75" customHeight="1" hidden="1">
      <c r="A209" s="154" t="s">
        <v>49</v>
      </c>
      <c r="B209" s="164"/>
      <c r="C209" s="164"/>
      <c r="D209" s="164"/>
      <c r="E209" s="150"/>
      <c r="F209" s="150"/>
      <c r="G209" s="164">
        <f>D209-'[1]Jūnijs'!D209</f>
        <v>0</v>
      </c>
      <c r="I209" s="154"/>
      <c r="J209" s="157"/>
      <c r="K209" s="157"/>
      <c r="L209" s="157"/>
      <c r="M209" s="158"/>
      <c r="N209" s="158"/>
      <c r="O209" s="157">
        <f>L209-'[1]Jūnijs'!L209</f>
        <v>0</v>
      </c>
      <c r="Q209" s="157"/>
      <c r="R209" s="157"/>
      <c r="S209" s="140">
        <f t="shared" si="105"/>
        <v>0</v>
      </c>
    </row>
    <row r="210" spans="1:19" ht="12.75" customHeight="1">
      <c r="A210" s="154" t="s">
        <v>50</v>
      </c>
      <c r="B210" s="164">
        <v>3547857</v>
      </c>
      <c r="C210" s="164">
        <v>1408157</v>
      </c>
      <c r="D210" s="164">
        <v>491107.82</v>
      </c>
      <c r="E210" s="150">
        <f>IF(ISERROR(D210/B210)," ",(D210/B210))*100</f>
        <v>13.842379216524229</v>
      </c>
      <c r="F210" s="150">
        <f>IF(ISERROR(D210/C210)," ",(D210/C210))*100</f>
        <v>34.875927897244416</v>
      </c>
      <c r="G210" s="164">
        <f>D210-'[1]Jūnijs'!D210</f>
        <v>10224.650000000023</v>
      </c>
      <c r="I210" s="154" t="s">
        <v>50</v>
      </c>
      <c r="J210" s="157">
        <f>ROUND(B210/1000,0)</f>
        <v>3548</v>
      </c>
      <c r="K210" s="157">
        <f>ROUND(C210/1000,0)</f>
        <v>1408</v>
      </c>
      <c r="L210" s="157">
        <f>ROUND(D210/1000,0)</f>
        <v>491</v>
      </c>
      <c r="M210" s="158">
        <f>L210/J210*100</f>
        <v>13.838782412626832</v>
      </c>
      <c r="N210" s="158">
        <f>L210/K210*100</f>
        <v>34.872159090909086</v>
      </c>
      <c r="O210" s="157">
        <f>L210-'[1]Jūnijs'!L210</f>
        <v>10</v>
      </c>
      <c r="Q210" s="157">
        <v>491</v>
      </c>
      <c r="R210" s="157">
        <v>481</v>
      </c>
      <c r="S210" s="140">
        <f t="shared" si="105"/>
        <v>10</v>
      </c>
    </row>
    <row r="211" spans="1:19" ht="12.75" customHeight="1">
      <c r="A211" s="160" t="s">
        <v>51</v>
      </c>
      <c r="B211" s="166">
        <f>SUM(B212:B213)</f>
        <v>4644016</v>
      </c>
      <c r="C211" s="166">
        <f>SUM(C212:C213)</f>
        <v>2060714</v>
      </c>
      <c r="D211" s="166">
        <f>SUM(D212:D213)</f>
        <v>772128.95</v>
      </c>
      <c r="E211" s="150">
        <f>IF(ISERROR(D211/B211)," ",(D211/B211))*100</f>
        <v>16.626319762894873</v>
      </c>
      <c r="F211" s="150">
        <f>IF(ISERROR(D211/C211)," ",(D211/C211))*100</f>
        <v>37.4690010355634</v>
      </c>
      <c r="G211" s="166">
        <f>SUM(G212:G213)</f>
        <v>45445.77999999991</v>
      </c>
      <c r="I211" s="160" t="s">
        <v>51</v>
      </c>
      <c r="J211" s="147">
        <f>J212+J213</f>
        <v>4644</v>
      </c>
      <c r="K211" s="147">
        <f>K212+K213</f>
        <v>2061</v>
      </c>
      <c r="L211" s="147">
        <f>L212+L213</f>
        <v>772</v>
      </c>
      <c r="M211" s="156">
        <f>L211/J211*100</f>
        <v>16.623600344530576</v>
      </c>
      <c r="N211" s="156">
        <f>L211/K211*100</f>
        <v>37.45754488112566</v>
      </c>
      <c r="O211" s="147">
        <f>SUM(O212:O213)</f>
        <v>45</v>
      </c>
      <c r="Q211" s="147">
        <v>772</v>
      </c>
      <c r="R211" s="147">
        <v>727</v>
      </c>
      <c r="S211" s="140">
        <f t="shared" si="105"/>
        <v>45</v>
      </c>
    </row>
    <row r="212" spans="1:19" ht="12">
      <c r="A212" s="162" t="s">
        <v>52</v>
      </c>
      <c r="B212" s="164">
        <v>3414266</v>
      </c>
      <c r="C212" s="164">
        <v>2060714</v>
      </c>
      <c r="D212" s="164">
        <v>772128.95</v>
      </c>
      <c r="E212" s="150">
        <f>IF(ISERROR(D212/B212)," ",(D212/B212))*100</f>
        <v>22.61478601842973</v>
      </c>
      <c r="F212" s="150">
        <f>IF(ISERROR(D212/C212)," ",(D212/C212))*100</f>
        <v>37.4690010355634</v>
      </c>
      <c r="G212" s="164">
        <f>D212-'[1]Jūnijs'!D212</f>
        <v>45445.77999999991</v>
      </c>
      <c r="I212" s="162" t="s">
        <v>52</v>
      </c>
      <c r="J212" s="157">
        <f>ROUND(B212/1000,0)</f>
        <v>3414</v>
      </c>
      <c r="K212" s="157">
        <f>ROUND(C212/1000,0)</f>
        <v>2061</v>
      </c>
      <c r="L212" s="157">
        <f>ROUND(D212/1000,0)</f>
        <v>772</v>
      </c>
      <c r="M212" s="158">
        <f>L212/J212*100</f>
        <v>22.61277094317516</v>
      </c>
      <c r="N212" s="158">
        <f>L212/K212*100</f>
        <v>37.45754488112566</v>
      </c>
      <c r="O212" s="147">
        <f>L212-'[1]Jūnijs'!L212</f>
        <v>45</v>
      </c>
      <c r="Q212" s="157">
        <v>772</v>
      </c>
      <c r="R212" s="157">
        <v>727</v>
      </c>
      <c r="S212" s="140">
        <f t="shared" si="105"/>
        <v>45</v>
      </c>
    </row>
    <row r="213" spans="1:19" ht="12">
      <c r="A213" s="162" t="s">
        <v>53</v>
      </c>
      <c r="B213" s="164">
        <v>1229750</v>
      </c>
      <c r="C213" s="164"/>
      <c r="D213" s="164"/>
      <c r="E213" s="150"/>
      <c r="F213" s="150"/>
      <c r="G213" s="164"/>
      <c r="I213" s="162" t="s">
        <v>53</v>
      </c>
      <c r="J213" s="157">
        <f>ROUND(B213/1000,0)</f>
        <v>1230</v>
      </c>
      <c r="K213" s="157"/>
      <c r="L213" s="157"/>
      <c r="M213" s="158"/>
      <c r="N213" s="158"/>
      <c r="O213" s="147"/>
      <c r="Q213" s="157"/>
      <c r="R213" s="157"/>
      <c r="S213" s="140">
        <f t="shared" si="105"/>
        <v>0</v>
      </c>
    </row>
    <row r="214" spans="1:19" ht="25.5" customHeight="1">
      <c r="A214" s="165" t="s">
        <v>108</v>
      </c>
      <c r="B214" s="166"/>
      <c r="C214" s="166"/>
      <c r="D214" s="166"/>
      <c r="E214" s="166"/>
      <c r="F214" s="166"/>
      <c r="G214" s="166"/>
      <c r="I214" s="165" t="s">
        <v>109</v>
      </c>
      <c r="J214" s="166"/>
      <c r="K214" s="166"/>
      <c r="L214" s="166"/>
      <c r="M214" s="158"/>
      <c r="N214" s="158"/>
      <c r="O214" s="166"/>
      <c r="Q214" s="166"/>
      <c r="R214" s="166"/>
      <c r="S214" s="140">
        <f t="shared" si="105"/>
        <v>0</v>
      </c>
    </row>
    <row r="215" spans="1:19" ht="12.75" customHeight="1">
      <c r="A215" s="154" t="s">
        <v>46</v>
      </c>
      <c r="B215" s="164">
        <f>SUM(B216:B218)</f>
        <v>2510938</v>
      </c>
      <c r="C215" s="166">
        <f>SUM(C216:C218)</f>
        <v>1727335</v>
      </c>
      <c r="D215" s="166">
        <f>SUM(D216:D218)</f>
        <v>1081760.52</v>
      </c>
      <c r="E215" s="149">
        <f>IF(ISERROR(D215/B215)," ",(D215/B215))*100</f>
        <v>43.08192874535333</v>
      </c>
      <c r="F215" s="149">
        <f>IF(ISERROR(D215/C215)," ",(D215/C215))*100</f>
        <v>62.62598280009378</v>
      </c>
      <c r="G215" s="166">
        <f>SUM(G216:G218)</f>
        <v>192976.61000000002</v>
      </c>
      <c r="I215" s="154" t="s">
        <v>46</v>
      </c>
      <c r="J215" s="147">
        <f>J216+J217+J218</f>
        <v>2511</v>
      </c>
      <c r="K215" s="147">
        <f>K216+K217+K218</f>
        <v>1727</v>
      </c>
      <c r="L215" s="147">
        <f>L216+L217+L218</f>
        <v>1082</v>
      </c>
      <c r="M215" s="156">
        <f>L215/J215*100</f>
        <v>43.09040223018717</v>
      </c>
      <c r="N215" s="156">
        <f>L215/K215*100</f>
        <v>62.65199768384482</v>
      </c>
      <c r="O215" s="147">
        <f>SUM(O216:O218)</f>
        <v>194</v>
      </c>
      <c r="Q215" s="147">
        <v>1082</v>
      </c>
      <c r="R215" s="147">
        <v>888</v>
      </c>
      <c r="S215" s="140">
        <f t="shared" si="105"/>
        <v>194</v>
      </c>
    </row>
    <row r="216" spans="1:19" ht="12.75" customHeight="1">
      <c r="A216" s="154" t="s">
        <v>47</v>
      </c>
      <c r="B216" s="164">
        <v>1432968</v>
      </c>
      <c r="C216" s="164">
        <v>776215</v>
      </c>
      <c r="D216" s="164">
        <v>776215</v>
      </c>
      <c r="E216" s="150">
        <f>IF(ISERROR(D216/B216)," ",(D216/B216))*100</f>
        <v>54.168341512162165</v>
      </c>
      <c r="F216" s="150">
        <f>IF(ISERROR(D216/C216)," ",(D216/C216))*100</f>
        <v>100</v>
      </c>
      <c r="G216" s="164">
        <f>D216-'[1]Jūnijs'!D216</f>
        <v>117867</v>
      </c>
      <c r="I216" s="154" t="s">
        <v>47</v>
      </c>
      <c r="J216" s="157">
        <f>ROUND(B216/1000,0)</f>
        <v>1433</v>
      </c>
      <c r="K216" s="157">
        <f>ROUND(C216/1000,0)</f>
        <v>776</v>
      </c>
      <c r="L216" s="157">
        <f>ROUND(D216/1000,0)</f>
        <v>776</v>
      </c>
      <c r="M216" s="158">
        <f>L216/J216*100</f>
        <v>54.152128401953945</v>
      </c>
      <c r="N216" s="158">
        <f>L216/K216*100</f>
        <v>100</v>
      </c>
      <c r="O216" s="157">
        <f>L216-'[1]Jūnijs'!L216</f>
        <v>118</v>
      </c>
      <c r="Q216" s="157">
        <v>776</v>
      </c>
      <c r="R216" s="157">
        <v>658</v>
      </c>
      <c r="S216" s="140">
        <f t="shared" si="105"/>
        <v>118</v>
      </c>
    </row>
    <row r="217" spans="1:19" ht="12.75" customHeight="1">
      <c r="A217" s="154" t="s">
        <v>49</v>
      </c>
      <c r="B217" s="164"/>
      <c r="C217" s="164"/>
      <c r="D217" s="164"/>
      <c r="E217" s="150"/>
      <c r="F217" s="150"/>
      <c r="G217" s="164">
        <f>D217-'[1]Jūnijs'!D217</f>
        <v>0</v>
      </c>
      <c r="I217" s="154" t="s">
        <v>49</v>
      </c>
      <c r="J217" s="157"/>
      <c r="K217" s="157"/>
      <c r="L217" s="157"/>
      <c r="M217" s="158"/>
      <c r="N217" s="158"/>
      <c r="O217" s="157"/>
      <c r="Q217" s="157"/>
      <c r="R217" s="157"/>
      <c r="S217" s="140">
        <f t="shared" si="105"/>
        <v>0</v>
      </c>
    </row>
    <row r="218" spans="1:19" ht="12.75" customHeight="1">
      <c r="A218" s="154" t="s">
        <v>50</v>
      </c>
      <c r="B218" s="164">
        <v>1077970</v>
      </c>
      <c r="C218" s="164">
        <v>951120</v>
      </c>
      <c r="D218" s="164">
        <v>305545.52</v>
      </c>
      <c r="E218" s="150">
        <f>IF(ISERROR(D218/B218)," ",(D218/B218))*100</f>
        <v>28.344529068526953</v>
      </c>
      <c r="F218" s="150">
        <f>IF(ISERROR(E218/C218)," ",(E218/C218))*100</f>
        <v>0.0029801212327074346</v>
      </c>
      <c r="G218" s="164">
        <f>D218-'[1]Jūnijs'!D218</f>
        <v>75109.61000000002</v>
      </c>
      <c r="I218" s="154" t="s">
        <v>50</v>
      </c>
      <c r="J218" s="157">
        <f>ROUND(B218/1000,0)</f>
        <v>1078</v>
      </c>
      <c r="K218" s="157">
        <f>ROUND(C218/1000,0)</f>
        <v>951</v>
      </c>
      <c r="L218" s="157">
        <f>ROUND(D218/1000,0)</f>
        <v>306</v>
      </c>
      <c r="M218" s="158">
        <f>L218/J218*100</f>
        <v>28.385899814471244</v>
      </c>
      <c r="N218" s="158">
        <f>L218/K218*100</f>
        <v>32.17665615141956</v>
      </c>
      <c r="O218" s="157">
        <f>L218-'[1]Jūnijs'!L218</f>
        <v>76</v>
      </c>
      <c r="Q218" s="157">
        <v>306</v>
      </c>
      <c r="R218" s="157">
        <v>230</v>
      </c>
      <c r="S218" s="140">
        <f t="shared" si="105"/>
        <v>76</v>
      </c>
    </row>
    <row r="219" spans="1:19" ht="12.75" customHeight="1">
      <c r="A219" s="160" t="s">
        <v>51</v>
      </c>
      <c r="B219" s="166">
        <f>SUM(B220:B221)</f>
        <v>2510938</v>
      </c>
      <c r="C219" s="166">
        <f>SUM(C220:C221)</f>
        <v>1727335</v>
      </c>
      <c r="D219" s="166">
        <f>SUM(D220:D221)</f>
        <v>993284.84</v>
      </c>
      <c r="E219" s="150">
        <f>IF(ISERROR(D219/B219)," ",(D219/B219))*100</f>
        <v>39.55831804688128</v>
      </c>
      <c r="F219" s="150">
        <f>IF(ISERROR(D219/C219)," ",(D219/C219))*100</f>
        <v>57.503891254446884</v>
      </c>
      <c r="G219" s="166">
        <f>SUM(G220:G221)</f>
        <v>185595.96</v>
      </c>
      <c r="I219" s="160" t="s">
        <v>51</v>
      </c>
      <c r="J219" s="147">
        <f>J220+J221</f>
        <v>2511</v>
      </c>
      <c r="K219" s="147">
        <f>K220+K221</f>
        <v>1727</v>
      </c>
      <c r="L219" s="147">
        <f>L220+L221</f>
        <v>994</v>
      </c>
      <c r="M219" s="156">
        <f>L219/J219*100</f>
        <v>39.58582238152131</v>
      </c>
      <c r="N219" s="156">
        <f>L219/K219*100</f>
        <v>57.556456282570934</v>
      </c>
      <c r="O219" s="147">
        <f>SUM(O220:O221)</f>
        <v>186</v>
      </c>
      <c r="Q219" s="147">
        <v>994</v>
      </c>
      <c r="R219" s="147">
        <v>808</v>
      </c>
      <c r="S219" s="140">
        <f t="shared" si="105"/>
        <v>186</v>
      </c>
    </row>
    <row r="220" spans="1:19" ht="12.75" customHeight="1">
      <c r="A220" s="162" t="s">
        <v>52</v>
      </c>
      <c r="B220" s="164">
        <v>2024921</v>
      </c>
      <c r="C220" s="164">
        <v>1469425</v>
      </c>
      <c r="D220" s="164">
        <v>799585.62</v>
      </c>
      <c r="E220" s="150">
        <f>IF(ISERROR(D220/B220)," ",(D220/B220))*100</f>
        <v>39.48725011988122</v>
      </c>
      <c r="F220" s="150">
        <f>IF(ISERROR(D220/C220)," ",(D220/C220))*100</f>
        <v>54.41486431767528</v>
      </c>
      <c r="G220" s="164">
        <f>D220-'[1]Jūnijs'!D220</f>
        <v>128453.73999999999</v>
      </c>
      <c r="I220" s="162" t="s">
        <v>52</v>
      </c>
      <c r="J220" s="157">
        <f aca="true" t="shared" si="106" ref="J220:L221">ROUND(B220/1000,0)</f>
        <v>2025</v>
      </c>
      <c r="K220" s="157">
        <f t="shared" si="106"/>
        <v>1469</v>
      </c>
      <c r="L220" s="157">
        <f t="shared" si="106"/>
        <v>800</v>
      </c>
      <c r="M220" s="158">
        <f>L220/J220*100</f>
        <v>39.50617283950617</v>
      </c>
      <c r="N220" s="158">
        <f>L220/K220*100</f>
        <v>54.45881552076243</v>
      </c>
      <c r="O220" s="157">
        <f>L220-'[1]Jūnijs'!L220</f>
        <v>129</v>
      </c>
      <c r="Q220" s="157">
        <v>800</v>
      </c>
      <c r="R220" s="157">
        <v>671</v>
      </c>
      <c r="S220" s="140">
        <f t="shared" si="105"/>
        <v>129</v>
      </c>
    </row>
    <row r="221" spans="1:19" ht="11.25" customHeight="1">
      <c r="A221" s="162" t="s">
        <v>53</v>
      </c>
      <c r="B221" s="164">
        <v>486017</v>
      </c>
      <c r="C221" s="164">
        <v>257910</v>
      </c>
      <c r="D221" s="164">
        <v>193699.22</v>
      </c>
      <c r="E221" s="150">
        <f>IF(ISERROR(D221/B221)," ",(D221/B221))*100</f>
        <v>39.85441249997428</v>
      </c>
      <c r="F221" s="150">
        <f>IF(ISERROR(D221/C221)," ",(D221/C221))*100</f>
        <v>75.10341592028227</v>
      </c>
      <c r="G221" s="164">
        <f>D221-'[1]Jūnijs'!D221</f>
        <v>57142.22</v>
      </c>
      <c r="I221" s="162" t="s">
        <v>53</v>
      </c>
      <c r="J221" s="157">
        <f t="shared" si="106"/>
        <v>486</v>
      </c>
      <c r="K221" s="157">
        <f t="shared" si="106"/>
        <v>258</v>
      </c>
      <c r="L221" s="157">
        <f t="shared" si="106"/>
        <v>194</v>
      </c>
      <c r="M221" s="158">
        <f>L221/J221*100</f>
        <v>39.91769547325103</v>
      </c>
      <c r="N221" s="158">
        <f>L221/K221*100</f>
        <v>75.1937984496124</v>
      </c>
      <c r="O221" s="157">
        <f>L221-'[1]Jūnijs'!L221</f>
        <v>57</v>
      </c>
      <c r="Q221" s="157">
        <v>194</v>
      </c>
      <c r="R221" s="157">
        <v>137</v>
      </c>
      <c r="S221" s="140">
        <f t="shared" si="105"/>
        <v>57</v>
      </c>
    </row>
    <row r="222" spans="1:19" ht="27.75" customHeight="1" hidden="1">
      <c r="A222" s="165" t="s">
        <v>110</v>
      </c>
      <c r="B222" s="164"/>
      <c r="C222" s="164"/>
      <c r="D222" s="164"/>
      <c r="E222" s="164"/>
      <c r="F222" s="164"/>
      <c r="G222" s="164"/>
      <c r="I222" s="165" t="s">
        <v>110</v>
      </c>
      <c r="J222" s="164"/>
      <c r="K222" s="164"/>
      <c r="L222" s="164"/>
      <c r="M222" s="158"/>
      <c r="N222" s="158"/>
      <c r="O222" s="164"/>
      <c r="Q222" s="164"/>
      <c r="R222" s="164"/>
      <c r="S222" s="140">
        <f t="shared" si="105"/>
        <v>0</v>
      </c>
    </row>
    <row r="223" spans="1:19" ht="12" hidden="1">
      <c r="A223" s="154" t="s">
        <v>46</v>
      </c>
      <c r="B223" s="164">
        <f>SUM(B224)</f>
        <v>0</v>
      </c>
      <c r="C223" s="166">
        <f>SUM(C224:C226)</f>
        <v>0</v>
      </c>
      <c r="D223" s="166">
        <f>SUM(D224:D226)</f>
        <v>0</v>
      </c>
      <c r="E223" s="150"/>
      <c r="F223" s="150"/>
      <c r="G223" s="164">
        <f>SUM(G224)</f>
        <v>0</v>
      </c>
      <c r="I223" s="154" t="s">
        <v>46</v>
      </c>
      <c r="J223" s="147">
        <f>J224</f>
        <v>0</v>
      </c>
      <c r="K223" s="157"/>
      <c r="L223" s="157"/>
      <c r="M223" s="158"/>
      <c r="N223" s="158"/>
      <c r="O223" s="157">
        <f>SUM(O224)</f>
        <v>0</v>
      </c>
      <c r="Q223" s="157"/>
      <c r="R223" s="157"/>
      <c r="S223" s="140">
        <f t="shared" si="105"/>
        <v>0</v>
      </c>
    </row>
    <row r="224" spans="1:19" ht="24" hidden="1">
      <c r="A224" s="154" t="s">
        <v>49</v>
      </c>
      <c r="B224" s="164"/>
      <c r="C224" s="152"/>
      <c r="D224" s="164"/>
      <c r="E224" s="150"/>
      <c r="F224" s="150"/>
      <c r="G224" s="164">
        <f>D224</f>
        <v>0</v>
      </c>
      <c r="I224" s="154" t="s">
        <v>49</v>
      </c>
      <c r="J224" s="157">
        <f>ROUND(B224/1000,0)</f>
        <v>0</v>
      </c>
      <c r="K224" s="157"/>
      <c r="L224" s="157"/>
      <c r="M224" s="158"/>
      <c r="N224" s="158"/>
      <c r="O224" s="157">
        <f>L224</f>
        <v>0</v>
      </c>
      <c r="Q224" s="157"/>
      <c r="R224" s="157"/>
      <c r="S224" s="140">
        <f t="shared" si="105"/>
        <v>0</v>
      </c>
    </row>
    <row r="225" spans="1:19" ht="12" hidden="1">
      <c r="A225" s="160" t="s">
        <v>51</v>
      </c>
      <c r="B225" s="166">
        <f>SUM(B226:B227)</f>
        <v>0</v>
      </c>
      <c r="C225" s="166">
        <f>SUM(C226:C227)</f>
        <v>0</v>
      </c>
      <c r="D225" s="166">
        <f>SUM(D226:D227)</f>
        <v>0</v>
      </c>
      <c r="E225" s="150"/>
      <c r="F225" s="150"/>
      <c r="G225" s="166">
        <f>SUM(G226:G227)</f>
        <v>0</v>
      </c>
      <c r="I225" s="160" t="s">
        <v>51</v>
      </c>
      <c r="J225" s="147">
        <f>J226+J227</f>
        <v>0</v>
      </c>
      <c r="K225" s="147"/>
      <c r="L225" s="147"/>
      <c r="M225" s="158"/>
      <c r="N225" s="158"/>
      <c r="O225" s="147">
        <f>SUM(O226:O227)</f>
        <v>0</v>
      </c>
      <c r="Q225" s="147"/>
      <c r="R225" s="147"/>
      <c r="S225" s="140">
        <f t="shared" si="105"/>
        <v>0</v>
      </c>
    </row>
    <row r="226" spans="1:19" ht="12" hidden="1">
      <c r="A226" s="162" t="s">
        <v>52</v>
      </c>
      <c r="B226" s="164"/>
      <c r="C226" s="164"/>
      <c r="D226" s="164"/>
      <c r="E226" s="150"/>
      <c r="F226" s="150"/>
      <c r="G226" s="164">
        <f>D226</f>
        <v>0</v>
      </c>
      <c r="I226" s="162" t="s">
        <v>52</v>
      </c>
      <c r="J226" s="157">
        <f>ROUND(B226/1000,0)</f>
        <v>0</v>
      </c>
      <c r="K226" s="157"/>
      <c r="L226" s="157"/>
      <c r="M226" s="158"/>
      <c r="N226" s="158"/>
      <c r="O226" s="157">
        <f>L226</f>
        <v>0</v>
      </c>
      <c r="Q226" s="157"/>
      <c r="R226" s="157"/>
      <c r="S226" s="140">
        <f t="shared" si="105"/>
        <v>0</v>
      </c>
    </row>
    <row r="227" spans="1:19" ht="12" hidden="1">
      <c r="A227" s="162" t="s">
        <v>53</v>
      </c>
      <c r="B227" s="164"/>
      <c r="C227" s="164"/>
      <c r="D227" s="164"/>
      <c r="E227" s="150"/>
      <c r="F227" s="150"/>
      <c r="G227" s="164">
        <f>D227</f>
        <v>0</v>
      </c>
      <c r="I227" s="162" t="s">
        <v>53</v>
      </c>
      <c r="J227" s="157">
        <f>ROUND(B227/1000,0)</f>
        <v>0</v>
      </c>
      <c r="K227" s="157"/>
      <c r="L227" s="157"/>
      <c r="M227" s="158"/>
      <c r="N227" s="158"/>
      <c r="O227" s="157">
        <f>L227</f>
        <v>0</v>
      </c>
      <c r="Q227" s="157"/>
      <c r="R227" s="157"/>
      <c r="S227" s="140">
        <f t="shared" si="105"/>
        <v>0</v>
      </c>
    </row>
    <row r="228" spans="1:19" ht="12" hidden="1">
      <c r="A228" s="119" t="s">
        <v>55</v>
      </c>
      <c r="B228" s="164"/>
      <c r="C228" s="164"/>
      <c r="D228" s="164"/>
      <c r="E228" s="150"/>
      <c r="F228" s="150"/>
      <c r="G228" s="164">
        <f>D228</f>
        <v>0</v>
      </c>
      <c r="I228" s="119" t="s">
        <v>55</v>
      </c>
      <c r="J228" s="157">
        <f>ROUND(B228/1000,0)</f>
        <v>0</v>
      </c>
      <c r="K228" s="157"/>
      <c r="L228" s="157"/>
      <c r="M228" s="158"/>
      <c r="N228" s="158"/>
      <c r="O228" s="157">
        <f>L228</f>
        <v>0</v>
      </c>
      <c r="Q228" s="157"/>
      <c r="R228" s="157"/>
      <c r="S228" s="140">
        <f t="shared" si="105"/>
        <v>0</v>
      </c>
    </row>
    <row r="229" spans="1:19" ht="12.75" customHeight="1">
      <c r="A229" s="165" t="s">
        <v>111</v>
      </c>
      <c r="B229" s="164"/>
      <c r="C229" s="164"/>
      <c r="D229" s="164"/>
      <c r="E229" s="164"/>
      <c r="F229" s="164"/>
      <c r="G229" s="164"/>
      <c r="I229" s="165" t="s">
        <v>112</v>
      </c>
      <c r="J229" s="164"/>
      <c r="K229" s="164"/>
      <c r="L229" s="164"/>
      <c r="M229" s="158"/>
      <c r="N229" s="158"/>
      <c r="O229" s="164"/>
      <c r="Q229" s="164"/>
      <c r="R229" s="164"/>
      <c r="S229" s="140">
        <f t="shared" si="105"/>
        <v>0</v>
      </c>
    </row>
    <row r="230" spans="1:19" ht="12.75" customHeight="1">
      <c r="A230" s="154" t="s">
        <v>46</v>
      </c>
      <c r="B230" s="169">
        <f>SUM(B231)</f>
        <v>112070390</v>
      </c>
      <c r="C230" s="170">
        <f>SUM(C231)</f>
        <v>71714242</v>
      </c>
      <c r="D230" s="170">
        <f>SUM(D231)</f>
        <v>71714242</v>
      </c>
      <c r="E230" s="149">
        <f>IF(ISERROR(D230/B230)," ",(D230/B230))*100</f>
        <v>63.990356417961955</v>
      </c>
      <c r="F230" s="149">
        <f>IF(ISERROR(D230/C230)," ",(D230/C230))*100</f>
        <v>100</v>
      </c>
      <c r="G230" s="170">
        <f>SUM(G231)</f>
        <v>6727411</v>
      </c>
      <c r="I230" s="154" t="s">
        <v>46</v>
      </c>
      <c r="J230" s="147">
        <f>J231</f>
        <v>112070</v>
      </c>
      <c r="K230" s="147">
        <f>K231</f>
        <v>71714</v>
      </c>
      <c r="L230" s="147">
        <f>L231</f>
        <v>71714</v>
      </c>
      <c r="M230" s="156">
        <f>L230/J230*100</f>
        <v>63.99036316587847</v>
      </c>
      <c r="N230" s="156">
        <f>L230/K230*100</f>
        <v>100</v>
      </c>
      <c r="O230" s="170">
        <f>SUM(O231)</f>
        <v>6727</v>
      </c>
      <c r="Q230" s="147">
        <v>71714</v>
      </c>
      <c r="R230" s="147">
        <v>64987</v>
      </c>
      <c r="S230" s="140">
        <f t="shared" si="105"/>
        <v>6727</v>
      </c>
    </row>
    <row r="231" spans="1:19" ht="12.75" customHeight="1">
      <c r="A231" s="154" t="s">
        <v>47</v>
      </c>
      <c r="B231" s="157">
        <v>112070390</v>
      </c>
      <c r="C231" s="157">
        <v>71714242</v>
      </c>
      <c r="D231" s="157">
        <v>71714242</v>
      </c>
      <c r="E231" s="150">
        <f>IF(ISERROR(D231/B231)," ",(D231/B231))*100</f>
        <v>63.990356417961955</v>
      </c>
      <c r="F231" s="150">
        <f>IF(ISERROR(D231/C231)," ",(D231/C231))*100</f>
        <v>100</v>
      </c>
      <c r="G231" s="164">
        <f>D231-'[1]Jūnijs'!D231</f>
        <v>6727411</v>
      </c>
      <c r="I231" s="154" t="s">
        <v>47</v>
      </c>
      <c r="J231" s="157">
        <f>ROUND(B231/1000,0)</f>
        <v>112070</v>
      </c>
      <c r="K231" s="157">
        <f>ROUND(C231/1000,0)</f>
        <v>71714</v>
      </c>
      <c r="L231" s="157">
        <f>ROUND(D231/1000,0)</f>
        <v>71714</v>
      </c>
      <c r="M231" s="158">
        <f>L231/J231*100</f>
        <v>63.99036316587847</v>
      </c>
      <c r="N231" s="158">
        <f>L231/K231*100</f>
        <v>100</v>
      </c>
      <c r="O231" s="157">
        <f>L231-'[1]Jūnijs'!L231</f>
        <v>6727</v>
      </c>
      <c r="Q231" s="157">
        <v>71714</v>
      </c>
      <c r="R231" s="157">
        <v>64987</v>
      </c>
      <c r="S231" s="140">
        <f t="shared" si="105"/>
        <v>6727</v>
      </c>
    </row>
    <row r="232" spans="1:19" ht="12.75" customHeight="1">
      <c r="A232" s="160" t="s">
        <v>51</v>
      </c>
      <c r="B232" s="166">
        <f>SUM(B233:B234)</f>
        <v>112070390</v>
      </c>
      <c r="C232" s="166">
        <f>SUM(C233:C234)</f>
        <v>71714242</v>
      </c>
      <c r="D232" s="166">
        <f>SUM(D233:D234)</f>
        <v>68467825.53</v>
      </c>
      <c r="E232" s="150">
        <f>IF(ISERROR(D232/B232)," ",(D232/B232))*100</f>
        <v>61.09359084946523</v>
      </c>
      <c r="F232" s="150">
        <f>IF(ISERROR(D232/C232)," ",(D232/C232))*100</f>
        <v>95.47312168481122</v>
      </c>
      <c r="G232" s="166">
        <f>SUM(G233:G234)</f>
        <v>6182057.76</v>
      </c>
      <c r="I232" s="160" t="s">
        <v>51</v>
      </c>
      <c r="J232" s="147">
        <f>J233+J234</f>
        <v>112070</v>
      </c>
      <c r="K232" s="147">
        <f>K233+K234</f>
        <v>71714</v>
      </c>
      <c r="L232" s="147">
        <f>L233+L234</f>
        <v>68468</v>
      </c>
      <c r="M232" s="156">
        <f>L232/J232*100</f>
        <v>61.09395913268493</v>
      </c>
      <c r="N232" s="156">
        <f>L232/K232*100</f>
        <v>95.47368714616394</v>
      </c>
      <c r="O232" s="147">
        <f>SUM(O233:O234)</f>
        <v>6183</v>
      </c>
      <c r="Q232" s="147">
        <v>68468</v>
      </c>
      <c r="R232" s="147">
        <v>62285</v>
      </c>
      <c r="S232" s="140">
        <f t="shared" si="105"/>
        <v>6183</v>
      </c>
    </row>
    <row r="233" spans="1:19" ht="12.75" customHeight="1">
      <c r="A233" s="162" t="s">
        <v>52</v>
      </c>
      <c r="B233" s="164">
        <v>101686316</v>
      </c>
      <c r="C233" s="164">
        <v>64438706</v>
      </c>
      <c r="D233" s="164">
        <v>64383706</v>
      </c>
      <c r="E233" s="150">
        <f>IF(ISERROR(D233/B233)," ",(D233/B233))*100</f>
        <v>63.31599819192978</v>
      </c>
      <c r="F233" s="150">
        <f>IF(ISERROR(D233/C233)," ",(D233/C233))*100</f>
        <v>99.91464757222158</v>
      </c>
      <c r="G233" s="164">
        <f>D233-'[1]Jūnijs'!D233</f>
        <v>4969435</v>
      </c>
      <c r="I233" s="162" t="s">
        <v>52</v>
      </c>
      <c r="J233" s="157">
        <f>ROUND(B233/1000,0)</f>
        <v>101686</v>
      </c>
      <c r="K233" s="157">
        <f>ROUND(C233/1000,0)</f>
        <v>64439</v>
      </c>
      <c r="L233" s="157">
        <f>ROUND(D233/1000,0)</f>
        <v>64384</v>
      </c>
      <c r="M233" s="158">
        <f>L233/J233*100</f>
        <v>63.31648407843754</v>
      </c>
      <c r="N233" s="158">
        <f>L233/K233*100</f>
        <v>99.91464796163814</v>
      </c>
      <c r="O233" s="157">
        <f>L233-'[1]Jūnijs'!L233</f>
        <v>4970</v>
      </c>
      <c r="Q233" s="157">
        <v>64384</v>
      </c>
      <c r="R233" s="157">
        <v>59414</v>
      </c>
      <c r="S233" s="140">
        <f t="shared" si="105"/>
        <v>4970</v>
      </c>
    </row>
    <row r="234" spans="1:19" ht="12.75" customHeight="1">
      <c r="A234" s="162" t="s">
        <v>53</v>
      </c>
      <c r="B234" s="164">
        <v>10384074</v>
      </c>
      <c r="C234" s="164">
        <v>7275536</v>
      </c>
      <c r="D234" s="164">
        <v>4084119.53</v>
      </c>
      <c r="E234" s="150">
        <f>IF(ISERROR(D234/B234)," ",(D234/B234))*100</f>
        <v>39.33060887277961</v>
      </c>
      <c r="F234" s="150">
        <f>IF(ISERROR(D234/C234)," ",(D234/C234))*100</f>
        <v>56.134964214320426</v>
      </c>
      <c r="G234" s="164">
        <f>D234-'[1]Jūnijs'!D234</f>
        <v>1212622.7599999998</v>
      </c>
      <c r="I234" s="162" t="s">
        <v>53</v>
      </c>
      <c r="J234" s="157">
        <f>ROUND(B234/1000,0)</f>
        <v>10384</v>
      </c>
      <c r="K234" s="157">
        <f>ROUND(C234/1000,0)-1</f>
        <v>7275</v>
      </c>
      <c r="L234" s="157">
        <f>ROUND(D234/1000,0)</f>
        <v>4084</v>
      </c>
      <c r="M234" s="158">
        <f>L234/J234*100</f>
        <v>39.32973805855162</v>
      </c>
      <c r="N234" s="158">
        <f>L234/K234*100</f>
        <v>56.137457044673546</v>
      </c>
      <c r="O234" s="157">
        <f>L234-'[1]Jūnijs'!L234</f>
        <v>1213</v>
      </c>
      <c r="Q234" s="157">
        <v>4084</v>
      </c>
      <c r="R234" s="157">
        <v>2871</v>
      </c>
      <c r="S234" s="140">
        <f t="shared" si="105"/>
        <v>1213</v>
      </c>
    </row>
    <row r="235" spans="1:19" ht="12.75" customHeight="1">
      <c r="A235" s="165" t="s">
        <v>113</v>
      </c>
      <c r="B235" s="164"/>
      <c r="C235" s="164"/>
      <c r="D235" s="164"/>
      <c r="E235" s="164"/>
      <c r="F235" s="164"/>
      <c r="G235" s="164"/>
      <c r="I235" s="165" t="s">
        <v>114</v>
      </c>
      <c r="J235" s="164"/>
      <c r="K235" s="164"/>
      <c r="L235" s="164"/>
      <c r="M235" s="158"/>
      <c r="N235" s="158"/>
      <c r="O235" s="164"/>
      <c r="Q235" s="164"/>
      <c r="R235" s="164"/>
      <c r="S235" s="140">
        <f t="shared" si="105"/>
        <v>0</v>
      </c>
    </row>
    <row r="236" spans="1:19" ht="12.75" customHeight="1">
      <c r="A236" s="154" t="s">
        <v>46</v>
      </c>
      <c r="B236" s="164">
        <f>SUM(B237)</f>
        <v>7695832</v>
      </c>
      <c r="C236" s="166">
        <f>SUM(C237)</f>
        <v>4594106</v>
      </c>
      <c r="D236" s="166">
        <f>SUM(D237)</f>
        <v>4594106</v>
      </c>
      <c r="E236" s="149">
        <f>IF(ISERROR(D236/B236)," ",(D236/B236))*100</f>
        <v>59.69602766796365</v>
      </c>
      <c r="F236" s="149">
        <f>IF(ISERROR(D236/C236)," ",(D236/C236))*100</f>
        <v>100</v>
      </c>
      <c r="G236" s="166">
        <f>SUM(G237)</f>
        <v>628064</v>
      </c>
      <c r="I236" s="154" t="s">
        <v>46</v>
      </c>
      <c r="J236" s="147">
        <f>J237</f>
        <v>7696</v>
      </c>
      <c r="K236" s="147">
        <f>K237</f>
        <v>4594</v>
      </c>
      <c r="L236" s="147">
        <f>L237</f>
        <v>4594</v>
      </c>
      <c r="M236" s="156">
        <f>L236/J236*100</f>
        <v>59.69334719334719</v>
      </c>
      <c r="N236" s="156">
        <f>L236/K236*100</f>
        <v>100</v>
      </c>
      <c r="O236" s="147">
        <f>SUM(O237)</f>
        <v>628</v>
      </c>
      <c r="Q236" s="147">
        <v>4594</v>
      </c>
      <c r="R236" s="147">
        <v>3966</v>
      </c>
      <c r="S236" s="140">
        <f t="shared" si="105"/>
        <v>628</v>
      </c>
    </row>
    <row r="237" spans="1:19" ht="12.75" customHeight="1">
      <c r="A237" s="154" t="s">
        <v>47</v>
      </c>
      <c r="B237" s="164">
        <v>7695832</v>
      </c>
      <c r="C237" s="164">
        <v>4594106</v>
      </c>
      <c r="D237" s="164">
        <v>4594106</v>
      </c>
      <c r="E237" s="150">
        <f>IF(ISERROR(D237/B237)," ",(D237/B237))*100</f>
        <v>59.69602766796365</v>
      </c>
      <c r="F237" s="150">
        <f>IF(ISERROR(D237/C237)," ",(D237/C237))*100</f>
        <v>100</v>
      </c>
      <c r="G237" s="164">
        <f>D237-'[1]Jūnijs'!D237</f>
        <v>628064</v>
      </c>
      <c r="I237" s="154" t="s">
        <v>47</v>
      </c>
      <c r="J237" s="157">
        <f>ROUND(B237/1000,0)</f>
        <v>7696</v>
      </c>
      <c r="K237" s="157">
        <f>ROUND(C237/1000,0)</f>
        <v>4594</v>
      </c>
      <c r="L237" s="157">
        <f>ROUND(D237/1000,0)</f>
        <v>4594</v>
      </c>
      <c r="M237" s="158">
        <f>L237/J237*100</f>
        <v>59.69334719334719</v>
      </c>
      <c r="N237" s="158">
        <f>L237/K237*100</f>
        <v>100</v>
      </c>
      <c r="O237" s="157">
        <f>L237-'[1]Jūnijs'!L237</f>
        <v>628</v>
      </c>
      <c r="Q237" s="157">
        <v>4594</v>
      </c>
      <c r="R237" s="157">
        <v>3966</v>
      </c>
      <c r="S237" s="140">
        <f t="shared" si="105"/>
        <v>628</v>
      </c>
    </row>
    <row r="238" spans="1:19" ht="12.75" customHeight="1">
      <c r="A238" s="160" t="s">
        <v>51</v>
      </c>
      <c r="B238" s="166">
        <f>SUM(B239)</f>
        <v>7695832</v>
      </c>
      <c r="C238" s="166">
        <f>SUM(C239)</f>
        <v>4594106</v>
      </c>
      <c r="D238" s="166">
        <f>SUM(D239)</f>
        <v>4446475.36</v>
      </c>
      <c r="E238" s="150">
        <f>IF(ISERROR(D238/B238)," ",(D238/B238))*100</f>
        <v>57.77770824519038</v>
      </c>
      <c r="F238" s="150">
        <f>IF(ISERROR(D238/C238)," ",(D238/C238))*100</f>
        <v>96.78652081601949</v>
      </c>
      <c r="G238" s="166">
        <f>SUM(G239)</f>
        <v>591040.8700000001</v>
      </c>
      <c r="I238" s="160" t="s">
        <v>51</v>
      </c>
      <c r="J238" s="147">
        <f>J239+J240</f>
        <v>7696</v>
      </c>
      <c r="K238" s="147">
        <f>K239</f>
        <v>4594</v>
      </c>
      <c r="L238" s="147">
        <f>L239</f>
        <v>4446</v>
      </c>
      <c r="M238" s="156">
        <f>L238/J238*100</f>
        <v>57.770270270270274</v>
      </c>
      <c r="N238" s="156">
        <f>L238/K238*100</f>
        <v>96.77840661732695</v>
      </c>
      <c r="O238" s="147">
        <f>SUM(O239)</f>
        <v>591</v>
      </c>
      <c r="Q238" s="147">
        <v>4446</v>
      </c>
      <c r="R238" s="147">
        <v>3855</v>
      </c>
      <c r="S238" s="140">
        <f t="shared" si="105"/>
        <v>591</v>
      </c>
    </row>
    <row r="239" spans="1:19" ht="12.75" customHeight="1">
      <c r="A239" s="162" t="s">
        <v>52</v>
      </c>
      <c r="B239" s="164">
        <v>7695832</v>
      </c>
      <c r="C239" s="164">
        <v>4594106</v>
      </c>
      <c r="D239" s="164">
        <v>4446475.36</v>
      </c>
      <c r="E239" s="150">
        <f>IF(ISERROR(D239/B239)," ",(D239/B239))*100</f>
        <v>57.77770824519038</v>
      </c>
      <c r="F239" s="150">
        <f>IF(ISERROR(D239/C239)," ",(D239/C239))*100</f>
        <v>96.78652081601949</v>
      </c>
      <c r="G239" s="164">
        <f>D239-'[1]Jūnijs'!D239</f>
        <v>591040.8700000001</v>
      </c>
      <c r="I239" s="162" t="s">
        <v>52</v>
      </c>
      <c r="J239" s="157">
        <f>ROUND(B239/1000,0)</f>
        <v>7696</v>
      </c>
      <c r="K239" s="157">
        <f>ROUND(C239/1000,0)</f>
        <v>4594</v>
      </c>
      <c r="L239" s="157">
        <f>ROUND(D239/1000,0)</f>
        <v>4446</v>
      </c>
      <c r="M239" s="158">
        <f>L239/J239*100</f>
        <v>57.770270270270274</v>
      </c>
      <c r="N239" s="158">
        <f>L239/K239*100</f>
        <v>96.77840661732695</v>
      </c>
      <c r="O239" s="157">
        <f>L239-'[1]Jūnijs'!L239</f>
        <v>591</v>
      </c>
      <c r="Q239" s="157">
        <v>4446</v>
      </c>
      <c r="R239" s="157">
        <v>3855</v>
      </c>
      <c r="S239" s="140">
        <f t="shared" si="105"/>
        <v>591</v>
      </c>
    </row>
    <row r="240" spans="13:14" ht="17.25" customHeight="1">
      <c r="M240" s="171"/>
      <c r="N240" s="171"/>
    </row>
    <row r="242" ht="17.25" customHeight="1" hidden="1"/>
    <row r="243" spans="1:12" ht="17.25" customHeight="1">
      <c r="A243" s="172" t="s">
        <v>115</v>
      </c>
      <c r="B243" s="173"/>
      <c r="C243" s="173"/>
      <c r="D243" s="173" t="s">
        <v>116</v>
      </c>
      <c r="I243" s="705" t="s">
        <v>867</v>
      </c>
      <c r="J243" s="706"/>
      <c r="K243" s="706"/>
      <c r="L243" s="173"/>
    </row>
    <row r="247" ht="17.25" customHeight="1">
      <c r="I247" s="140" t="s">
        <v>953</v>
      </c>
    </row>
    <row r="248" ht="17.25" customHeight="1">
      <c r="I248" s="140" t="s">
        <v>847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1" header="0.5" footer="0.5"/>
  <pageSetup firstPageNumber="8" useFirstPageNumber="1" horizontalDpi="600" verticalDpi="600" orientation="portrait" paperSize="9" scale="97" r:id="rId1"/>
  <headerFooter alignWithMargins="0">
    <oddFooter>&amp;R&amp;9&amp;P</oddFooter>
  </headerFooter>
  <rowBreaks count="3" manualBreakCount="3">
    <brk id="48" max="14" man="1"/>
    <brk id="145" max="14" man="1"/>
    <brk id="1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76"/>
  <sheetViews>
    <sheetView workbookViewId="0" topLeftCell="H1">
      <selection activeCell="A59" sqref="A59"/>
    </sheetView>
  </sheetViews>
  <sheetFormatPr defaultColWidth="9.140625" defaultRowHeight="12.75"/>
  <cols>
    <col min="1" max="1" width="36.28125" style="0" hidden="1" customWidth="1"/>
    <col min="2" max="2" width="11.00390625" style="0" hidden="1" customWidth="1"/>
    <col min="3" max="3" width="13.7109375" style="0" hidden="1" customWidth="1"/>
    <col min="4" max="4" width="10.8515625" style="0" hidden="1" customWidth="1"/>
    <col min="5" max="5" width="7.7109375" style="0" hidden="1" customWidth="1"/>
    <col min="6" max="6" width="9.421875" style="0" hidden="1" customWidth="1"/>
    <col min="7" max="7" width="11.140625" style="0" hidden="1" customWidth="1"/>
    <col min="8" max="8" width="36.8515625" style="0" customWidth="1"/>
    <col min="9" max="9" width="11.57421875" style="0" customWidth="1"/>
    <col min="11" max="11" width="10.7109375" style="0" customWidth="1"/>
    <col min="12" max="12" width="9.57421875" style="0" customWidth="1"/>
  </cols>
  <sheetData>
    <row r="1" spans="7:14" ht="12.75">
      <c r="G1" s="49" t="s">
        <v>117</v>
      </c>
      <c r="H1" s="135"/>
      <c r="I1" s="135"/>
      <c r="J1" s="135"/>
      <c r="K1" s="135"/>
      <c r="L1" s="135"/>
      <c r="M1" s="83" t="s">
        <v>117</v>
      </c>
      <c r="N1" s="83"/>
    </row>
    <row r="2" spans="1:14" ht="12.75">
      <c r="A2" s="1"/>
      <c r="B2" s="174" t="s">
        <v>118</v>
      </c>
      <c r="H2" s="488"/>
      <c r="I2" s="514" t="s">
        <v>118</v>
      </c>
      <c r="J2" s="135"/>
      <c r="K2" s="135"/>
      <c r="L2" s="135"/>
      <c r="M2" s="83"/>
      <c r="N2" s="135"/>
    </row>
    <row r="3" spans="8:14" ht="12.75">
      <c r="H3" s="135"/>
      <c r="I3" s="135"/>
      <c r="J3" s="135"/>
      <c r="K3" s="135"/>
      <c r="L3" s="135"/>
      <c r="M3" s="135"/>
      <c r="N3" s="135"/>
    </row>
    <row r="4" spans="1:14" ht="15.75">
      <c r="A4" s="856" t="s">
        <v>119</v>
      </c>
      <c r="B4" s="856"/>
      <c r="C4" s="856"/>
      <c r="D4" s="856"/>
      <c r="E4" s="856"/>
      <c r="F4" s="856"/>
      <c r="G4" s="856"/>
      <c r="H4" s="861" t="s">
        <v>119</v>
      </c>
      <c r="I4" s="861"/>
      <c r="J4" s="861"/>
      <c r="K4" s="861"/>
      <c r="L4" s="861"/>
      <c r="M4" s="861"/>
      <c r="N4" s="861"/>
    </row>
    <row r="5" spans="1:14" ht="12.75">
      <c r="A5" s="869" t="s">
        <v>1023</v>
      </c>
      <c r="B5" s="869"/>
      <c r="C5" s="869"/>
      <c r="D5" s="869"/>
      <c r="E5" s="869"/>
      <c r="F5" s="869"/>
      <c r="H5" s="850" t="s">
        <v>868</v>
      </c>
      <c r="I5" s="850"/>
      <c r="J5" s="850"/>
      <c r="K5" s="850"/>
      <c r="L5" s="850"/>
      <c r="M5" s="850"/>
      <c r="N5" s="135"/>
    </row>
    <row r="6" spans="1:14" ht="15">
      <c r="A6" s="175"/>
      <c r="B6" s="175"/>
      <c r="C6" s="175"/>
      <c r="D6" s="175"/>
      <c r="E6" s="175"/>
      <c r="F6" s="175"/>
      <c r="H6" s="788"/>
      <c r="I6" s="788"/>
      <c r="J6" s="788"/>
      <c r="K6" s="788"/>
      <c r="L6" s="788"/>
      <c r="M6" s="788"/>
      <c r="N6" s="135"/>
    </row>
    <row r="7" spans="6:14" ht="12.75">
      <c r="F7" s="860" t="s">
        <v>957</v>
      </c>
      <c r="G7" s="860"/>
      <c r="H7" s="135"/>
      <c r="I7" s="135"/>
      <c r="J7" s="135"/>
      <c r="K7" s="135"/>
      <c r="L7" s="135"/>
      <c r="M7" s="860" t="s">
        <v>957</v>
      </c>
      <c r="N7" s="860"/>
    </row>
    <row r="8" spans="1:14" ht="84">
      <c r="A8" s="9" t="s">
        <v>5</v>
      </c>
      <c r="B8" s="9" t="s">
        <v>958</v>
      </c>
      <c r="C8" s="9" t="s">
        <v>120</v>
      </c>
      <c r="D8" s="9" t="s">
        <v>959</v>
      </c>
      <c r="E8" s="9" t="s">
        <v>121</v>
      </c>
      <c r="F8" s="9" t="s">
        <v>122</v>
      </c>
      <c r="G8" s="9" t="s">
        <v>123</v>
      </c>
      <c r="H8" s="176" t="s">
        <v>5</v>
      </c>
      <c r="I8" s="176" t="s">
        <v>958</v>
      </c>
      <c r="J8" s="176" t="s">
        <v>120</v>
      </c>
      <c r="K8" s="176" t="s">
        <v>959</v>
      </c>
      <c r="L8" s="176" t="s">
        <v>121</v>
      </c>
      <c r="M8" s="176" t="s">
        <v>122</v>
      </c>
      <c r="N8" s="176" t="s">
        <v>850</v>
      </c>
    </row>
    <row r="9" spans="1:14" ht="12.75">
      <c r="A9" s="9">
        <v>1</v>
      </c>
      <c r="B9" s="9">
        <v>2</v>
      </c>
      <c r="C9" s="9">
        <v>3</v>
      </c>
      <c r="D9" s="9">
        <v>4</v>
      </c>
      <c r="E9" s="177">
        <v>5</v>
      </c>
      <c r="F9" s="9">
        <v>6</v>
      </c>
      <c r="G9" s="9">
        <v>7</v>
      </c>
      <c r="H9" s="9">
        <v>1</v>
      </c>
      <c r="I9" s="9">
        <v>2</v>
      </c>
      <c r="J9" s="9">
        <v>3</v>
      </c>
      <c r="K9" s="9">
        <v>4</v>
      </c>
      <c r="L9" s="177">
        <v>5</v>
      </c>
      <c r="M9" s="9">
        <v>6</v>
      </c>
      <c r="N9" s="9">
        <v>7</v>
      </c>
    </row>
    <row r="10" spans="1:14" ht="12.75">
      <c r="A10" s="178" t="s">
        <v>124</v>
      </c>
      <c r="B10" s="179">
        <v>795345958</v>
      </c>
      <c r="C10" s="114" t="s">
        <v>797</v>
      </c>
      <c r="D10" s="179">
        <v>433250507</v>
      </c>
      <c r="E10" s="180" t="s">
        <v>797</v>
      </c>
      <c r="F10" s="180" t="s">
        <v>797</v>
      </c>
      <c r="G10" s="179">
        <v>65721467</v>
      </c>
      <c r="H10" s="181" t="s">
        <v>124</v>
      </c>
      <c r="I10" s="182">
        <f>ROUND(B10/1000,0)</f>
        <v>795346</v>
      </c>
      <c r="J10" s="183" t="s">
        <v>797</v>
      </c>
      <c r="K10" s="182">
        <f>ROUND(D10/1000,0)-1</f>
        <v>433250</v>
      </c>
      <c r="L10" s="184" t="s">
        <v>797</v>
      </c>
      <c r="M10" s="184" t="s">
        <v>797</v>
      </c>
      <c r="N10" s="182">
        <f>ROUND(G10/1000,0)</f>
        <v>65721</v>
      </c>
    </row>
    <row r="11" spans="1:14" ht="12.75">
      <c r="A11" s="185" t="s">
        <v>125</v>
      </c>
      <c r="B11" s="186">
        <v>831560440</v>
      </c>
      <c r="C11" s="186">
        <f>C12+C13+C14+C15</f>
        <v>484281987</v>
      </c>
      <c r="D11" s="186">
        <f>D12+D13+D14+D15</f>
        <v>468763258.7</v>
      </c>
      <c r="E11" s="187">
        <f aca="true" t="shared" si="0" ref="E11:E19">IF(ISERROR(D11/B11)," ",(D11/B11))*100</f>
        <v>56.371519874129646</v>
      </c>
      <c r="F11" s="188">
        <f aca="true" t="shared" si="1" ref="F11:F19">IF(ISERROR(D11/C11)," ",(D11/C11))*100</f>
        <v>96.79551816574173</v>
      </c>
      <c r="G11" s="186">
        <f>SUM(G12:G15)</f>
        <v>69346193.47</v>
      </c>
      <c r="H11" s="189" t="s">
        <v>125</v>
      </c>
      <c r="I11" s="182">
        <f>ROUND(B11/1000,0)</f>
        <v>831560</v>
      </c>
      <c r="J11" s="182">
        <f>J12+J13+J14+J15</f>
        <v>484282</v>
      </c>
      <c r="K11" s="182">
        <f>K12+K13+K14+K15</f>
        <v>468763</v>
      </c>
      <c r="L11" s="190">
        <f aca="true" t="shared" si="2" ref="L11:L19">E11</f>
        <v>56.371519874129646</v>
      </c>
      <c r="M11" s="190">
        <f aca="true" t="shared" si="3" ref="M11:M19">F11</f>
        <v>96.79551816574173</v>
      </c>
      <c r="N11" s="789">
        <f>SUM(N12:N15)</f>
        <v>69346</v>
      </c>
    </row>
    <row r="12" spans="1:14" ht="12.75">
      <c r="A12" s="191" t="s">
        <v>126</v>
      </c>
      <c r="B12" s="186">
        <v>711819838</v>
      </c>
      <c r="C12" s="186">
        <v>425885568</v>
      </c>
      <c r="D12" s="186">
        <v>425885568</v>
      </c>
      <c r="E12" s="187">
        <f t="shared" si="0"/>
        <v>59.83052807246993</v>
      </c>
      <c r="F12" s="188">
        <f t="shared" si="1"/>
        <v>100</v>
      </c>
      <c r="G12" s="186">
        <f>D12-'[5]jūnijs'!D12</f>
        <v>63582450</v>
      </c>
      <c r="H12" s="192" t="s">
        <v>126</v>
      </c>
      <c r="I12" s="193">
        <f>ROUND(B12/1000,0)</f>
        <v>711820</v>
      </c>
      <c r="J12" s="193">
        <f>ROUND(C12/1000,0)</f>
        <v>425886</v>
      </c>
      <c r="K12" s="193">
        <f>ROUND(D12/1000,0)</f>
        <v>425886</v>
      </c>
      <c r="L12" s="194">
        <f t="shared" si="2"/>
        <v>59.83052807246993</v>
      </c>
      <c r="M12" s="194">
        <f t="shared" si="3"/>
        <v>100</v>
      </c>
      <c r="N12" s="186">
        <f>K12-'[5]jūnijs'!K12</f>
        <v>63583</v>
      </c>
    </row>
    <row r="13" spans="1:14" ht="12.75">
      <c r="A13" s="191" t="s">
        <v>127</v>
      </c>
      <c r="B13" s="186">
        <v>3405024</v>
      </c>
      <c r="C13" s="186">
        <v>1446993</v>
      </c>
      <c r="D13" s="186">
        <v>812554.28</v>
      </c>
      <c r="E13" s="187">
        <f t="shared" si="0"/>
        <v>23.86339362072044</v>
      </c>
      <c r="F13" s="188">
        <f t="shared" si="1"/>
        <v>56.15467939374966</v>
      </c>
      <c r="G13" s="186">
        <f>D13-'[5]jūnijs'!D13</f>
        <v>219301.09000000008</v>
      </c>
      <c r="H13" s="192" t="s">
        <v>127</v>
      </c>
      <c r="I13" s="193">
        <f>ROUND(B13/1000,0)</f>
        <v>3405</v>
      </c>
      <c r="J13" s="193">
        <f>ROUND(C13/1000,0)</f>
        <v>1447</v>
      </c>
      <c r="K13" s="193">
        <f>ROUND(D13/1000,0)-1</f>
        <v>812</v>
      </c>
      <c r="L13" s="194">
        <f t="shared" si="2"/>
        <v>23.86339362072044</v>
      </c>
      <c r="M13" s="194">
        <f t="shared" si="3"/>
        <v>56.15467939374966</v>
      </c>
      <c r="N13" s="186">
        <f>K13-'[5]jūnijs'!K13</f>
        <v>219</v>
      </c>
    </row>
    <row r="14" spans="1:14" ht="25.5">
      <c r="A14" s="191" t="s">
        <v>128</v>
      </c>
      <c r="B14" s="186">
        <v>65026004</v>
      </c>
      <c r="C14" s="186">
        <v>35927015</v>
      </c>
      <c r="D14" s="186">
        <v>33213222.31</v>
      </c>
      <c r="E14" s="187">
        <f t="shared" si="0"/>
        <v>51.076831216631426</v>
      </c>
      <c r="F14" s="188">
        <f t="shared" si="1"/>
        <v>92.4463730426811</v>
      </c>
      <c r="G14" s="186">
        <f>D14-'[5]jūnijs'!D14</f>
        <v>4331306.91</v>
      </c>
      <c r="H14" s="192" t="s">
        <v>128</v>
      </c>
      <c r="I14" s="193">
        <f>ROUND(B14/1000,0)</f>
        <v>65026</v>
      </c>
      <c r="J14" s="193">
        <f>ROUND(C14/1000,0)</f>
        <v>35927</v>
      </c>
      <c r="K14" s="193">
        <f>ROUND(D14/1000,0)</f>
        <v>33213</v>
      </c>
      <c r="L14" s="194">
        <f t="shared" si="2"/>
        <v>51.076831216631426</v>
      </c>
      <c r="M14" s="194">
        <f t="shared" si="3"/>
        <v>92.4463730426811</v>
      </c>
      <c r="N14" s="186">
        <f>K14-'[5]jūnijs'!K14</f>
        <v>4331</v>
      </c>
    </row>
    <row r="15" spans="1:14" ht="12.75">
      <c r="A15" s="185" t="s">
        <v>129</v>
      </c>
      <c r="B15" s="186">
        <v>51309574</v>
      </c>
      <c r="C15" s="186">
        <v>21022411</v>
      </c>
      <c r="D15" s="186">
        <v>8851914.11</v>
      </c>
      <c r="E15" s="187">
        <f t="shared" si="0"/>
        <v>17.25197350108578</v>
      </c>
      <c r="F15" s="188">
        <f t="shared" si="1"/>
        <v>42.107035724874756</v>
      </c>
      <c r="G15" s="186">
        <f>D15-'[5]jūnijs'!D15</f>
        <v>1213135.4699999997</v>
      </c>
      <c r="H15" s="189" t="s">
        <v>129</v>
      </c>
      <c r="I15" s="193">
        <f>ROUND(B15/1000,0)-1</f>
        <v>51309</v>
      </c>
      <c r="J15" s="193">
        <f>ROUND(C15/1000,0)</f>
        <v>21022</v>
      </c>
      <c r="K15" s="193">
        <f>ROUND(D15/1000,0)</f>
        <v>8852</v>
      </c>
      <c r="L15" s="194">
        <f t="shared" si="2"/>
        <v>17.25197350108578</v>
      </c>
      <c r="M15" s="194">
        <f t="shared" si="3"/>
        <v>42.107035724874756</v>
      </c>
      <c r="N15" s="186">
        <f>K15-'[5]jūnijs'!K15</f>
        <v>1213</v>
      </c>
    </row>
    <row r="16" spans="1:14" ht="12.75">
      <c r="A16" s="178" t="s">
        <v>130</v>
      </c>
      <c r="B16" s="179">
        <v>832064074</v>
      </c>
      <c r="C16" s="179">
        <f>C17+C41</f>
        <v>484611966</v>
      </c>
      <c r="D16" s="179">
        <f>D17+D41</f>
        <v>450751441.84000003</v>
      </c>
      <c r="E16" s="187">
        <f t="shared" si="0"/>
        <v>54.17268404259935</v>
      </c>
      <c r="F16" s="188">
        <f t="shared" si="1"/>
        <v>93.01285842372288</v>
      </c>
      <c r="G16" s="186">
        <f>D16-'[5]jūnijs'!D16</f>
        <v>67363161.57</v>
      </c>
      <c r="H16" s="181" t="s">
        <v>130</v>
      </c>
      <c r="I16" s="182">
        <f>ROUND(B16/1000,0)</f>
        <v>832064</v>
      </c>
      <c r="J16" s="182">
        <f>ROUND(C16/1000,0)</f>
        <v>484612</v>
      </c>
      <c r="K16" s="182">
        <f>K17+K41</f>
        <v>450751</v>
      </c>
      <c r="L16" s="190">
        <f t="shared" si="2"/>
        <v>54.17268404259935</v>
      </c>
      <c r="M16" s="190">
        <f t="shared" si="3"/>
        <v>93.01285842372288</v>
      </c>
      <c r="N16" s="789">
        <f>K16-'[5]jūnijs'!K16</f>
        <v>67363</v>
      </c>
    </row>
    <row r="17" spans="1:14" ht="12.75">
      <c r="A17" s="195" t="s">
        <v>131</v>
      </c>
      <c r="B17" s="179">
        <v>754923325</v>
      </c>
      <c r="C17" s="179">
        <f>C18+C22+C26</f>
        <v>441535359</v>
      </c>
      <c r="D17" s="179">
        <f>D18+D22+D26</f>
        <v>421661579.21000004</v>
      </c>
      <c r="E17" s="187">
        <f t="shared" si="0"/>
        <v>55.854888204706086</v>
      </c>
      <c r="F17" s="188">
        <f t="shared" si="1"/>
        <v>95.49893810656283</v>
      </c>
      <c r="G17" s="186">
        <f>D17-'[5]jūnijs'!D17</f>
        <v>62436152.110000014</v>
      </c>
      <c r="H17" s="196" t="s">
        <v>131</v>
      </c>
      <c r="I17" s="182">
        <f>ROUND(B17/1000,0)</f>
        <v>754923</v>
      </c>
      <c r="J17" s="182">
        <f>J18+J22+J26</f>
        <v>441535</v>
      </c>
      <c r="K17" s="182">
        <f>K18+K22+K26</f>
        <v>421661</v>
      </c>
      <c r="L17" s="194">
        <f t="shared" si="2"/>
        <v>55.854888204706086</v>
      </c>
      <c r="M17" s="194">
        <f t="shared" si="3"/>
        <v>95.49893810656283</v>
      </c>
      <c r="N17" s="182">
        <f>N18+N22+N26</f>
        <v>62436</v>
      </c>
    </row>
    <row r="18" spans="1:14" ht="12.75">
      <c r="A18" s="197" t="s">
        <v>132</v>
      </c>
      <c r="B18" s="179">
        <v>379289930</v>
      </c>
      <c r="C18" s="179">
        <f>C19+C21</f>
        <v>218355341</v>
      </c>
      <c r="D18" s="179">
        <f>D19+D20+D21</f>
        <v>204416924.22000003</v>
      </c>
      <c r="E18" s="187">
        <f t="shared" si="0"/>
        <v>53.89463522535387</v>
      </c>
      <c r="F18" s="188">
        <f t="shared" si="1"/>
        <v>93.61663574787485</v>
      </c>
      <c r="G18" s="186">
        <f>D18-'[5]jūnijs'!D18</f>
        <v>31203990.150000036</v>
      </c>
      <c r="H18" s="198" t="s">
        <v>132</v>
      </c>
      <c r="I18" s="182">
        <f>ROUND(B18/1000,0)</f>
        <v>379290</v>
      </c>
      <c r="J18" s="182">
        <f>ROUND(C18/1000,0)</f>
        <v>218355</v>
      </c>
      <c r="K18" s="182">
        <f>K19+K20+K21</f>
        <v>204416</v>
      </c>
      <c r="L18" s="194">
        <f t="shared" si="2"/>
        <v>53.89463522535387</v>
      </c>
      <c r="M18" s="194">
        <f t="shared" si="3"/>
        <v>93.61663574787485</v>
      </c>
      <c r="N18" s="182">
        <f>N19+N20+N21</f>
        <v>31203</v>
      </c>
    </row>
    <row r="19" spans="1:14" ht="12.75">
      <c r="A19" s="199" t="s">
        <v>133</v>
      </c>
      <c r="B19" s="186">
        <v>173539339</v>
      </c>
      <c r="C19" s="186">
        <v>100588608</v>
      </c>
      <c r="D19" s="186">
        <v>97455504.73</v>
      </c>
      <c r="E19" s="187">
        <f t="shared" si="0"/>
        <v>56.15758668413506</v>
      </c>
      <c r="F19" s="188">
        <f t="shared" si="1"/>
        <v>96.88523051238566</v>
      </c>
      <c r="G19" s="186">
        <f>D19-'[5]jūnijs'!D19</f>
        <v>16702892.64</v>
      </c>
      <c r="H19" s="200" t="s">
        <v>133</v>
      </c>
      <c r="I19" s="193">
        <f>ROUND(B19/1000,0)</f>
        <v>173539</v>
      </c>
      <c r="J19" s="193">
        <f>ROUND(C19/1000,0)</f>
        <v>100589</v>
      </c>
      <c r="K19" s="193">
        <f>ROUND(D19/1000,0)-1</f>
        <v>97455</v>
      </c>
      <c r="L19" s="194">
        <f t="shared" si="2"/>
        <v>56.15758668413506</v>
      </c>
      <c r="M19" s="194">
        <f t="shared" si="3"/>
        <v>96.88523051238566</v>
      </c>
      <c r="N19" s="186">
        <f>K19-'[5]jūnijs'!K19</f>
        <v>16702</v>
      </c>
    </row>
    <row r="20" spans="1:14" ht="25.5">
      <c r="A20" s="191" t="s">
        <v>134</v>
      </c>
      <c r="B20" s="201" t="s">
        <v>797</v>
      </c>
      <c r="C20" s="201" t="s">
        <v>797</v>
      </c>
      <c r="D20" s="186">
        <v>23805598.26</v>
      </c>
      <c r="E20" s="202" t="s">
        <v>797</v>
      </c>
      <c r="F20" s="202" t="s">
        <v>797</v>
      </c>
      <c r="G20" s="186">
        <f>D20-'[5]jūnijs'!D20</f>
        <v>3763480.210000001</v>
      </c>
      <c r="H20" s="192" t="s">
        <v>134</v>
      </c>
      <c r="I20" s="203" t="s">
        <v>797</v>
      </c>
      <c r="J20" s="203" t="s">
        <v>797</v>
      </c>
      <c r="K20" s="193">
        <f>ROUND(D20/1000,0)</f>
        <v>23806</v>
      </c>
      <c r="L20" s="204" t="s">
        <v>797</v>
      </c>
      <c r="M20" s="204" t="s">
        <v>797</v>
      </c>
      <c r="N20" s="186">
        <f>K20-'[5]jūnijs'!K20</f>
        <v>3764</v>
      </c>
    </row>
    <row r="21" spans="1:14" ht="12.75">
      <c r="A21" s="67" t="s">
        <v>135</v>
      </c>
      <c r="B21" s="201" t="s">
        <v>797</v>
      </c>
      <c r="C21" s="186">
        <v>117766733</v>
      </c>
      <c r="D21" s="186">
        <v>83155821.23</v>
      </c>
      <c r="E21" s="202" t="s">
        <v>797</v>
      </c>
      <c r="F21" s="188">
        <f>IF(ISERROR(D21/C21)," ",(D21/C21))*100</f>
        <v>70.61062076843042</v>
      </c>
      <c r="G21" s="186">
        <f>D21-'[5]jūnijs'!D21</f>
        <v>10737617.299999997</v>
      </c>
      <c r="H21" s="205" t="s">
        <v>135</v>
      </c>
      <c r="I21" s="203" t="s">
        <v>797</v>
      </c>
      <c r="J21" s="193">
        <f>ROUND(C21/1000,0)</f>
        <v>117767</v>
      </c>
      <c r="K21" s="193">
        <f>ROUND(D21/1000,0)-1</f>
        <v>83155</v>
      </c>
      <c r="L21" s="204" t="str">
        <f>E21</f>
        <v>x</v>
      </c>
      <c r="M21" s="206">
        <f>F21</f>
        <v>70.61062076843042</v>
      </c>
      <c r="N21" s="186">
        <f>K21-'[5]jūnijs'!K21</f>
        <v>10737</v>
      </c>
    </row>
    <row r="22" spans="1:14" ht="25.5">
      <c r="A22" s="59" t="s">
        <v>136</v>
      </c>
      <c r="B22" s="179">
        <v>44065415</v>
      </c>
      <c r="C22" s="179">
        <v>28257108</v>
      </c>
      <c r="D22" s="179">
        <f>D23+D24+D25</f>
        <v>28215461.619999997</v>
      </c>
      <c r="E22" s="207">
        <f>IF(ISERROR(D22/B22)," ",(D22/B22))*100</f>
        <v>64.0308541744132</v>
      </c>
      <c r="F22" s="208">
        <f>IF(ISERROR(D22/C22)," ",(D22/C22))*100</f>
        <v>99.85261626915252</v>
      </c>
      <c r="G22" s="186">
        <f>D22-'[5]jūnijs'!D22</f>
        <v>5496873.9499999955</v>
      </c>
      <c r="H22" s="209" t="s">
        <v>136</v>
      </c>
      <c r="I22" s="182">
        <f>ROUND(B22/1000,0)</f>
        <v>44065</v>
      </c>
      <c r="J22" s="182">
        <f>ROUND(C22/1000,0)</f>
        <v>28257</v>
      </c>
      <c r="K22" s="182">
        <f>K23+K24+K25</f>
        <v>28215</v>
      </c>
      <c r="L22" s="204">
        <f>E22</f>
        <v>64.0308541744132</v>
      </c>
      <c r="M22" s="206">
        <f>F22</f>
        <v>99.85261626915252</v>
      </c>
      <c r="N22" s="182">
        <f>N23+N24+N25</f>
        <v>5497</v>
      </c>
    </row>
    <row r="23" spans="1:14" ht="25.5">
      <c r="A23" s="191" t="s">
        <v>137</v>
      </c>
      <c r="B23" s="201" t="s">
        <v>797</v>
      </c>
      <c r="C23" s="201" t="s">
        <v>797</v>
      </c>
      <c r="D23" s="186">
        <v>13627582.7</v>
      </c>
      <c r="E23" s="202" t="s">
        <v>797</v>
      </c>
      <c r="F23" s="202" t="s">
        <v>797</v>
      </c>
      <c r="G23" s="186">
        <f>D23-'[5]jūnijs'!D23</f>
        <v>4474289.319999998</v>
      </c>
      <c r="H23" s="192" t="s">
        <v>137</v>
      </c>
      <c r="I23" s="203" t="s">
        <v>797</v>
      </c>
      <c r="J23" s="203" t="s">
        <v>797</v>
      </c>
      <c r="K23" s="193">
        <f>ROUND(D23/1000,0)</f>
        <v>13628</v>
      </c>
      <c r="L23" s="204" t="s">
        <v>797</v>
      </c>
      <c r="M23" s="204" t="s">
        <v>797</v>
      </c>
      <c r="N23" s="186">
        <f>K23-'[5]jūnijs'!K23</f>
        <v>4475</v>
      </c>
    </row>
    <row r="24" spans="1:14" ht="12.75">
      <c r="A24" s="191" t="s">
        <v>138</v>
      </c>
      <c r="B24" s="201" t="s">
        <v>797</v>
      </c>
      <c r="C24" s="201" t="s">
        <v>797</v>
      </c>
      <c r="D24" s="186">
        <v>14490093.85</v>
      </c>
      <c r="E24" s="202" t="s">
        <v>797</v>
      </c>
      <c r="F24" s="202" t="s">
        <v>797</v>
      </c>
      <c r="G24" s="186">
        <f>D24-'[5]jūnijs'!D24</f>
        <v>1009602.5600000005</v>
      </c>
      <c r="H24" s="192" t="s">
        <v>138</v>
      </c>
      <c r="I24" s="203" t="s">
        <v>797</v>
      </c>
      <c r="J24" s="203" t="s">
        <v>797</v>
      </c>
      <c r="K24" s="193">
        <f>ROUND(D24/1000,0)-1</f>
        <v>14489</v>
      </c>
      <c r="L24" s="204" t="s">
        <v>797</v>
      </c>
      <c r="M24" s="204" t="s">
        <v>797</v>
      </c>
      <c r="N24" s="186">
        <f>K24-'[5]jūnijs'!K24</f>
        <v>1009</v>
      </c>
    </row>
    <row r="25" spans="1:14" ht="25.5">
      <c r="A25" s="191" t="s">
        <v>139</v>
      </c>
      <c r="B25" s="201" t="s">
        <v>797</v>
      </c>
      <c r="C25" s="201" t="s">
        <v>797</v>
      </c>
      <c r="D25" s="186">
        <v>97785.07</v>
      </c>
      <c r="E25" s="202" t="s">
        <v>797</v>
      </c>
      <c r="F25" s="202" t="s">
        <v>797</v>
      </c>
      <c r="G25" s="186">
        <f>D25-'[5]jūnijs'!D25</f>
        <v>12982.070000000007</v>
      </c>
      <c r="H25" s="192" t="s">
        <v>139</v>
      </c>
      <c r="I25" s="203" t="s">
        <v>797</v>
      </c>
      <c r="J25" s="203" t="s">
        <v>797</v>
      </c>
      <c r="K25" s="193">
        <f>ROUND(D25/1000,0)</f>
        <v>98</v>
      </c>
      <c r="L25" s="204" t="s">
        <v>797</v>
      </c>
      <c r="M25" s="204" t="s">
        <v>797</v>
      </c>
      <c r="N25" s="186">
        <f>K25-'[5]jūnijs'!K25</f>
        <v>13</v>
      </c>
    </row>
    <row r="26" spans="1:14" ht="12.75">
      <c r="A26" s="210" t="s">
        <v>140</v>
      </c>
      <c r="B26" s="179">
        <v>331567980</v>
      </c>
      <c r="C26" s="179">
        <v>194922910</v>
      </c>
      <c r="D26" s="179">
        <f>D27+D28+D29+D30+D32+D37+D38</f>
        <v>189029193.37</v>
      </c>
      <c r="E26" s="207">
        <f>IF(ISERROR(D26/B26)," ",(D26/B26))*100</f>
        <v>57.01069004612569</v>
      </c>
      <c r="F26" s="208">
        <f>IF(ISERROR(D26/C26)," ",(D26/C26))*100</f>
        <v>96.97638587993582</v>
      </c>
      <c r="G26" s="186">
        <f>D26-'[5]jūnijs'!D26</f>
        <v>25735288.01000002</v>
      </c>
      <c r="H26" s="211" t="s">
        <v>140</v>
      </c>
      <c r="I26" s="182">
        <f>ROUND(B26/1000,0)</f>
        <v>331568</v>
      </c>
      <c r="J26" s="182">
        <f>ROUND(C26/1000,0)</f>
        <v>194923</v>
      </c>
      <c r="K26" s="182">
        <f>K27+K28+K29+K30+K32+K37+K38</f>
        <v>189030</v>
      </c>
      <c r="L26" s="194">
        <f>E26</f>
        <v>57.01069004612569</v>
      </c>
      <c r="M26" s="206">
        <f>F26</f>
        <v>96.97638587993582</v>
      </c>
      <c r="N26" s="182">
        <f>N27+N28+N29+N30+N32+N37+N38</f>
        <v>25736</v>
      </c>
    </row>
    <row r="27" spans="1:14" ht="12.75">
      <c r="A27" s="199" t="s">
        <v>141</v>
      </c>
      <c r="B27" s="201" t="s">
        <v>797</v>
      </c>
      <c r="C27" s="201" t="s">
        <v>797</v>
      </c>
      <c r="D27" s="186">
        <v>16079561.62</v>
      </c>
      <c r="E27" s="202" t="s">
        <v>797</v>
      </c>
      <c r="F27" s="202" t="s">
        <v>797</v>
      </c>
      <c r="G27" s="186">
        <f>D27-'[5]jūnijs'!D27</f>
        <v>4904412.76</v>
      </c>
      <c r="H27" s="200" t="s">
        <v>141</v>
      </c>
      <c r="I27" s="203" t="s">
        <v>797</v>
      </c>
      <c r="J27" s="203" t="s">
        <v>797</v>
      </c>
      <c r="K27" s="193">
        <f>ROUND(D27/1000,0)</f>
        <v>16080</v>
      </c>
      <c r="L27" s="204" t="s">
        <v>797</v>
      </c>
      <c r="M27" s="204" t="s">
        <v>797</v>
      </c>
      <c r="N27" s="186">
        <f>K27-'[5]jūnijs'!K27</f>
        <v>4905</v>
      </c>
    </row>
    <row r="28" spans="1:14" ht="12.75">
      <c r="A28" s="191" t="s">
        <v>142</v>
      </c>
      <c r="B28" s="201" t="s">
        <v>797</v>
      </c>
      <c r="C28" s="201" t="s">
        <v>797</v>
      </c>
      <c r="D28" s="186">
        <v>64383706</v>
      </c>
      <c r="E28" s="202" t="s">
        <v>797</v>
      </c>
      <c r="F28" s="202" t="s">
        <v>797</v>
      </c>
      <c r="G28" s="186">
        <f>D28-'[5]jūnijs'!D28</f>
        <v>4969435</v>
      </c>
      <c r="H28" s="192" t="s">
        <v>142</v>
      </c>
      <c r="I28" s="203" t="s">
        <v>797</v>
      </c>
      <c r="J28" s="203" t="s">
        <v>797</v>
      </c>
      <c r="K28" s="193">
        <f>ROUND(D28/1000,0)</f>
        <v>64384</v>
      </c>
      <c r="L28" s="204" t="s">
        <v>797</v>
      </c>
      <c r="M28" s="204" t="s">
        <v>797</v>
      </c>
      <c r="N28" s="186">
        <f>K28-'[5]jūnijs'!K28</f>
        <v>4970</v>
      </c>
    </row>
    <row r="29" spans="1:14" ht="12.75">
      <c r="A29" s="191" t="s">
        <v>143</v>
      </c>
      <c r="B29" s="201" t="s">
        <v>797</v>
      </c>
      <c r="C29" s="201" t="s">
        <v>797</v>
      </c>
      <c r="D29" s="186">
        <v>4366066</v>
      </c>
      <c r="E29" s="202" t="s">
        <v>797</v>
      </c>
      <c r="F29" s="202" t="s">
        <v>797</v>
      </c>
      <c r="G29" s="186">
        <f>D29-'[5]jūnijs'!D29</f>
        <v>572231</v>
      </c>
      <c r="H29" s="192" t="s">
        <v>143</v>
      </c>
      <c r="I29" s="203" t="s">
        <v>797</v>
      </c>
      <c r="J29" s="203" t="s">
        <v>797</v>
      </c>
      <c r="K29" s="193">
        <f>ROUND(D29/1000,0)</f>
        <v>4366</v>
      </c>
      <c r="L29" s="204" t="s">
        <v>797</v>
      </c>
      <c r="M29" s="204" t="s">
        <v>797</v>
      </c>
      <c r="N29" s="186">
        <f>K29-'[5]jūnijs'!K29</f>
        <v>572</v>
      </c>
    </row>
    <row r="30" spans="1:14" ht="12.75">
      <c r="A30" s="191" t="s">
        <v>144</v>
      </c>
      <c r="B30" s="186">
        <v>31084222</v>
      </c>
      <c r="C30" s="186">
        <v>18573629</v>
      </c>
      <c r="D30" s="186">
        <v>16445590.43</v>
      </c>
      <c r="E30" s="202" t="s">
        <v>797</v>
      </c>
      <c r="F30" s="188">
        <f>IF(ISERROR(D30/C30)," ",(D30/C30))*100</f>
        <v>88.54268829209413</v>
      </c>
      <c r="G30" s="186">
        <f>D30-'[5]jūnijs'!D30</f>
        <v>2574440.0700000003</v>
      </c>
      <c r="H30" s="192" t="s">
        <v>144</v>
      </c>
      <c r="I30" s="193">
        <f>ROUND(B30/1000,0)</f>
        <v>31084</v>
      </c>
      <c r="J30" s="193">
        <f>ROUND(C30/1000,0)</f>
        <v>18574</v>
      </c>
      <c r="K30" s="193">
        <f>ROUND(D30/1000,0)-1</f>
        <v>16445</v>
      </c>
      <c r="L30" s="190" t="str">
        <f>E30</f>
        <v>x</v>
      </c>
      <c r="M30" s="206">
        <f>F30</f>
        <v>88.54268829209413</v>
      </c>
      <c r="N30" s="186">
        <f>K30-'[5]jūnijs'!K30</f>
        <v>2574</v>
      </c>
    </row>
    <row r="31" spans="1:14" ht="25.5">
      <c r="A31" s="191" t="s">
        <v>145</v>
      </c>
      <c r="B31" s="186"/>
      <c r="C31" s="186"/>
      <c r="D31" s="186"/>
      <c r="E31" s="202"/>
      <c r="F31" s="188"/>
      <c r="G31" s="186">
        <f>D31-'[5]jūnijs'!D31</f>
        <v>0</v>
      </c>
      <c r="H31" s="192" t="s">
        <v>145</v>
      </c>
      <c r="I31" s="193">
        <f>ROUND(B31/1000,0)</f>
        <v>0</v>
      </c>
      <c r="J31" s="193"/>
      <c r="K31" s="193"/>
      <c r="L31" s="204"/>
      <c r="M31" s="206"/>
      <c r="N31" s="186">
        <f>K31-'[5]jūnijs'!K31</f>
        <v>0</v>
      </c>
    </row>
    <row r="32" spans="1:14" ht="12.75">
      <c r="A32" s="191" t="s">
        <v>146</v>
      </c>
      <c r="B32" s="186">
        <v>77524226</v>
      </c>
      <c r="C32" s="186">
        <v>45021246</v>
      </c>
      <c r="D32" s="186">
        <v>44748761.89</v>
      </c>
      <c r="E32" s="202" t="s">
        <v>797</v>
      </c>
      <c r="F32" s="188">
        <f>IF(ISERROR(D32/C32)," ",(D32/C32))*100</f>
        <v>99.3947655069342</v>
      </c>
      <c r="G32" s="186">
        <f>D32-'[5]jūnijs'!D32</f>
        <v>6356907.57</v>
      </c>
      <c r="H32" s="192" t="s">
        <v>146</v>
      </c>
      <c r="I32" s="193">
        <f>ROUND(B32/1000,0)</f>
        <v>77524</v>
      </c>
      <c r="J32" s="193">
        <f>ROUND(C32/1000,0)</f>
        <v>45021</v>
      </c>
      <c r="K32" s="193">
        <f>ROUND(D32/1000,0)</f>
        <v>44749</v>
      </c>
      <c r="L32" s="190" t="str">
        <f>E32</f>
        <v>x</v>
      </c>
      <c r="M32" s="206">
        <f>F32</f>
        <v>99.3947655069342</v>
      </c>
      <c r="N32" s="186">
        <f>K32-'[5]jūnijs'!K32</f>
        <v>6356</v>
      </c>
    </row>
    <row r="33" spans="1:14" ht="12.75">
      <c r="A33" s="212" t="s">
        <v>147</v>
      </c>
      <c r="B33" s="201" t="s">
        <v>797</v>
      </c>
      <c r="C33" s="201" t="s">
        <v>797</v>
      </c>
      <c r="D33" s="186">
        <v>1196280.45</v>
      </c>
      <c r="E33" s="202" t="s">
        <v>797</v>
      </c>
      <c r="F33" s="202" t="s">
        <v>797</v>
      </c>
      <c r="G33" s="186">
        <f>D33-'[5]jūnijs'!D33</f>
        <v>245634.8899999999</v>
      </c>
      <c r="H33" s="213" t="s">
        <v>1024</v>
      </c>
      <c r="I33" s="203" t="s">
        <v>797</v>
      </c>
      <c r="J33" s="203" t="s">
        <v>797</v>
      </c>
      <c r="K33" s="193">
        <f aca="true" t="shared" si="4" ref="K33:K39">ROUND(D33/1000,0)</f>
        <v>1196</v>
      </c>
      <c r="L33" s="204" t="s">
        <v>797</v>
      </c>
      <c r="M33" s="204" t="s">
        <v>797</v>
      </c>
      <c r="N33" s="186">
        <f>K33-'[5]jūnijs'!K33</f>
        <v>245</v>
      </c>
    </row>
    <row r="34" spans="1:14" ht="12.75">
      <c r="A34" s="214" t="s">
        <v>148</v>
      </c>
      <c r="B34" s="201" t="s">
        <v>797</v>
      </c>
      <c r="C34" s="201" t="s">
        <v>797</v>
      </c>
      <c r="D34" s="186">
        <v>32935235.09</v>
      </c>
      <c r="E34" s="202" t="s">
        <v>797</v>
      </c>
      <c r="F34" s="202" t="s">
        <v>797</v>
      </c>
      <c r="G34" s="186">
        <f>D34-'[5]jūnijs'!D34</f>
        <v>5122677.960000001</v>
      </c>
      <c r="H34" s="215" t="s">
        <v>148</v>
      </c>
      <c r="I34" s="203" t="s">
        <v>797</v>
      </c>
      <c r="J34" s="203" t="s">
        <v>797</v>
      </c>
      <c r="K34" s="193">
        <f t="shared" si="4"/>
        <v>32935</v>
      </c>
      <c r="L34" s="204" t="s">
        <v>797</v>
      </c>
      <c r="M34" s="204" t="s">
        <v>797</v>
      </c>
      <c r="N34" s="186">
        <f>K34-'[5]jūnijs'!K34</f>
        <v>5122</v>
      </c>
    </row>
    <row r="35" spans="1:14" ht="12.75">
      <c r="A35" s="214" t="s">
        <v>149</v>
      </c>
      <c r="B35" s="201" t="s">
        <v>797</v>
      </c>
      <c r="C35" s="201" t="s">
        <v>797</v>
      </c>
      <c r="D35" s="186">
        <v>4190622.16</v>
      </c>
      <c r="E35" s="202" t="s">
        <v>797</v>
      </c>
      <c r="F35" s="202" t="s">
        <v>797</v>
      </c>
      <c r="G35" s="186">
        <f>D35-'[5]jūnijs'!D35</f>
        <v>158594.75</v>
      </c>
      <c r="H35" s="215" t="s">
        <v>149</v>
      </c>
      <c r="I35" s="203" t="s">
        <v>797</v>
      </c>
      <c r="J35" s="203" t="s">
        <v>797</v>
      </c>
      <c r="K35" s="193">
        <f t="shared" si="4"/>
        <v>4191</v>
      </c>
      <c r="L35" s="204" t="s">
        <v>797</v>
      </c>
      <c r="M35" s="204" t="s">
        <v>797</v>
      </c>
      <c r="N35" s="186">
        <f>K35-'[5]jūnijs'!K35</f>
        <v>159</v>
      </c>
    </row>
    <row r="36" spans="1:14" ht="12.75">
      <c r="A36" s="214" t="s">
        <v>150</v>
      </c>
      <c r="B36" s="201" t="s">
        <v>797</v>
      </c>
      <c r="C36" s="201" t="s">
        <v>797</v>
      </c>
      <c r="D36" s="186">
        <v>6426624.13</v>
      </c>
      <c r="E36" s="202" t="s">
        <v>797</v>
      </c>
      <c r="F36" s="202" t="s">
        <v>797</v>
      </c>
      <c r="G36" s="186">
        <f>D36-'[5]jūnijs'!D36</f>
        <v>829999.9100000001</v>
      </c>
      <c r="H36" s="215" t="s">
        <v>150</v>
      </c>
      <c r="I36" s="203" t="s">
        <v>797</v>
      </c>
      <c r="J36" s="203" t="s">
        <v>797</v>
      </c>
      <c r="K36" s="193">
        <f t="shared" si="4"/>
        <v>6427</v>
      </c>
      <c r="L36" s="204" t="s">
        <v>797</v>
      </c>
      <c r="M36" s="204" t="s">
        <v>797</v>
      </c>
      <c r="N36" s="186">
        <f>K36-'[5]jūnijs'!K36</f>
        <v>830</v>
      </c>
    </row>
    <row r="37" spans="1:14" ht="12.75">
      <c r="A37" s="191" t="s">
        <v>151</v>
      </c>
      <c r="B37" s="186">
        <v>8093966</v>
      </c>
      <c r="C37" s="186">
        <v>6610822</v>
      </c>
      <c r="D37" s="186">
        <v>4218962.43</v>
      </c>
      <c r="E37" s="187">
        <f>IF(ISERROR(D37/B37)," ",(D37/B37))*100</f>
        <v>52.12478567367344</v>
      </c>
      <c r="F37" s="188">
        <f>IF(ISERROR(D37/C37)," ",(D37/C37))*100</f>
        <v>63.8190293128449</v>
      </c>
      <c r="G37" s="186">
        <f>D37-'[5]jūnijs'!D37</f>
        <v>724544.6099999999</v>
      </c>
      <c r="H37" s="192" t="s">
        <v>151</v>
      </c>
      <c r="I37" s="193">
        <f>ROUND(B37/1000,0)</f>
        <v>8094</v>
      </c>
      <c r="J37" s="193">
        <f>ROUND(C37/1000,0)+1</f>
        <v>6612</v>
      </c>
      <c r="K37" s="193">
        <f t="shared" si="4"/>
        <v>4219</v>
      </c>
      <c r="L37" s="194">
        <f>E37</f>
        <v>52.12478567367344</v>
      </c>
      <c r="M37" s="206">
        <f>F37</f>
        <v>63.8190293128449</v>
      </c>
      <c r="N37" s="186">
        <f>K37-'[5]jūnijs'!K37</f>
        <v>725</v>
      </c>
    </row>
    <row r="38" spans="1:14" ht="12.75">
      <c r="A38" s="216" t="s">
        <v>152</v>
      </c>
      <c r="B38" s="201" t="s">
        <v>797</v>
      </c>
      <c r="C38" s="186">
        <v>124717213</v>
      </c>
      <c r="D38" s="186">
        <v>38786545</v>
      </c>
      <c r="E38" s="202" t="s">
        <v>797</v>
      </c>
      <c r="F38" s="188">
        <f>IF(ISERROR(D38/C38)," ",(D38/C38))*100</f>
        <v>31.09959248367745</v>
      </c>
      <c r="G38" s="186">
        <f>D38-'[5]jūnijs'!D38</f>
        <v>5633317</v>
      </c>
      <c r="H38" s="217" t="s">
        <v>152</v>
      </c>
      <c r="I38" s="203" t="s">
        <v>797</v>
      </c>
      <c r="J38" s="193">
        <f>ROUND(C38/1000,0)</f>
        <v>124717</v>
      </c>
      <c r="K38" s="193">
        <f t="shared" si="4"/>
        <v>38787</v>
      </c>
      <c r="L38" s="204" t="s">
        <v>797</v>
      </c>
      <c r="M38" s="206">
        <f>F38</f>
        <v>31.09959248367745</v>
      </c>
      <c r="N38" s="186">
        <f>K38-'[5]jūnijs'!K38</f>
        <v>5634</v>
      </c>
    </row>
    <row r="39" spans="1:14" ht="12.75">
      <c r="A39" s="214" t="s">
        <v>153</v>
      </c>
      <c r="B39" s="201" t="s">
        <v>797</v>
      </c>
      <c r="C39" s="201" t="s">
        <v>797</v>
      </c>
      <c r="D39" s="186">
        <v>38786545</v>
      </c>
      <c r="E39" s="202" t="s">
        <v>797</v>
      </c>
      <c r="F39" s="202" t="s">
        <v>797</v>
      </c>
      <c r="G39" s="186">
        <f>D39-'[5]jūnijs'!D39</f>
        <v>5633317</v>
      </c>
      <c r="H39" s="215" t="s">
        <v>153</v>
      </c>
      <c r="I39" s="203" t="s">
        <v>797</v>
      </c>
      <c r="J39" s="203" t="s">
        <v>797</v>
      </c>
      <c r="K39" s="193">
        <f t="shared" si="4"/>
        <v>38787</v>
      </c>
      <c r="L39" s="204" t="s">
        <v>797</v>
      </c>
      <c r="M39" s="204" t="s">
        <v>797</v>
      </c>
      <c r="N39" s="186">
        <f>K39-'[5]jūnijs'!K39</f>
        <v>5634</v>
      </c>
    </row>
    <row r="40" spans="1:14" ht="12.75">
      <c r="A40" s="216" t="s">
        <v>154</v>
      </c>
      <c r="B40" s="201" t="s">
        <v>797</v>
      </c>
      <c r="C40" s="201" t="s">
        <v>797</v>
      </c>
      <c r="D40" s="201"/>
      <c r="E40" s="202" t="s">
        <v>797</v>
      </c>
      <c r="F40" s="202" t="s">
        <v>797</v>
      </c>
      <c r="G40" s="186">
        <f>D40-'[5]jūnijs'!D40</f>
        <v>0</v>
      </c>
      <c r="H40" s="217" t="s">
        <v>154</v>
      </c>
      <c r="I40" s="203" t="s">
        <v>797</v>
      </c>
      <c r="J40" s="203" t="s">
        <v>797</v>
      </c>
      <c r="K40" s="203"/>
      <c r="L40" s="204" t="s">
        <v>797</v>
      </c>
      <c r="M40" s="204" t="s">
        <v>797</v>
      </c>
      <c r="N40" s="186">
        <f>K40-'[5]jūnijs'!K40</f>
        <v>0</v>
      </c>
    </row>
    <row r="41" spans="1:14" ht="12.75">
      <c r="A41" s="218" t="s">
        <v>155</v>
      </c>
      <c r="B41" s="179">
        <v>77140749</v>
      </c>
      <c r="C41" s="179">
        <f>C42+C43</f>
        <v>43076607</v>
      </c>
      <c r="D41" s="179">
        <f>D42+D43</f>
        <v>29089862.630000003</v>
      </c>
      <c r="E41" s="207">
        <f>IF(ISERROR(D41/B41)," ",(D41/B41))*100</f>
        <v>37.71011172059012</v>
      </c>
      <c r="F41" s="219">
        <f>IF(ISERROR(D41/C41)," ",(D41/C41))*100</f>
        <v>67.53053375350571</v>
      </c>
      <c r="G41" s="186">
        <f>D41-'[5]jūnijs'!D41</f>
        <v>4927009.460000001</v>
      </c>
      <c r="H41" s="220" t="s">
        <v>155</v>
      </c>
      <c r="I41" s="182">
        <f>ROUND(B41/1000,0)</f>
        <v>77141</v>
      </c>
      <c r="J41" s="182">
        <f>ROUND(C41/1000,0)</f>
        <v>43077</v>
      </c>
      <c r="K41" s="182">
        <f>K42+K43</f>
        <v>29090</v>
      </c>
      <c r="L41" s="206">
        <f aca="true" t="shared" si="5" ref="L41:M43">E41</f>
        <v>37.71011172059012</v>
      </c>
      <c r="M41" s="206">
        <f t="shared" si="5"/>
        <v>67.53053375350571</v>
      </c>
      <c r="N41" s="182">
        <f>N42+N43</f>
        <v>4927</v>
      </c>
    </row>
    <row r="42" spans="1:14" ht="12.75">
      <c r="A42" s="221" t="s">
        <v>156</v>
      </c>
      <c r="B42" s="186">
        <v>20101489</v>
      </c>
      <c r="C42" s="186">
        <v>11587369</v>
      </c>
      <c r="D42" s="186">
        <v>8535474.26</v>
      </c>
      <c r="E42" s="187">
        <f>IF(ISERROR(D42/B42)," ",(D42/B42))*100</f>
        <v>42.461900508962295</v>
      </c>
      <c r="F42" s="202">
        <f>IF(ISERROR(D42/C42)," ",(D42/C42))*100</f>
        <v>73.66188355613772</v>
      </c>
      <c r="G42" s="186">
        <f>D42-'[5]jūnijs'!D42</f>
        <v>210991.58000000007</v>
      </c>
      <c r="H42" s="222" t="s">
        <v>156</v>
      </c>
      <c r="I42" s="193">
        <f>ROUND(B42/1000,0)+1</f>
        <v>20102</v>
      </c>
      <c r="J42" s="193">
        <f>ROUND(C42/1000,0)</f>
        <v>11587</v>
      </c>
      <c r="K42" s="193">
        <f>ROUND(D42/1000,0)+1</f>
        <v>8536</v>
      </c>
      <c r="L42" s="206">
        <f t="shared" si="5"/>
        <v>42.461900508962295</v>
      </c>
      <c r="M42" s="206">
        <f t="shared" si="5"/>
        <v>73.66188355613772</v>
      </c>
      <c r="N42" s="186">
        <f>K42-'[5]jūnijs'!K42</f>
        <v>211</v>
      </c>
    </row>
    <row r="43" spans="1:14" ht="12.75">
      <c r="A43" s="191" t="s">
        <v>157</v>
      </c>
      <c r="B43" s="186">
        <v>57039260</v>
      </c>
      <c r="C43" s="186">
        <v>31489238</v>
      </c>
      <c r="D43" s="186">
        <v>20554388.37</v>
      </c>
      <c r="E43" s="187">
        <f>IF(ISERROR(D43/B43)," ",(D43/B43))*100</f>
        <v>36.0355102257638</v>
      </c>
      <c r="F43" s="202">
        <f>IF(ISERROR(D43/C43)," ",(D43/C43))*100</f>
        <v>65.2743275972572</v>
      </c>
      <c r="G43" s="186">
        <f>D43-'[5]jūnijs'!D43</f>
        <v>4716017.880000001</v>
      </c>
      <c r="H43" s="192" t="s">
        <v>157</v>
      </c>
      <c r="I43" s="193">
        <f>ROUND(B43/1000,0)</f>
        <v>57039</v>
      </c>
      <c r="J43" s="193">
        <f>ROUND(C43/1000,0)+1</f>
        <v>31490</v>
      </c>
      <c r="K43" s="193">
        <f>ROUND(D43/1000,0)</f>
        <v>20554</v>
      </c>
      <c r="L43" s="206">
        <f t="shared" si="5"/>
        <v>36.0355102257638</v>
      </c>
      <c r="M43" s="206">
        <f t="shared" si="5"/>
        <v>65.2743275972572</v>
      </c>
      <c r="N43" s="186">
        <f>K43-'[5]jūnijs'!K43</f>
        <v>4716</v>
      </c>
    </row>
    <row r="44" spans="1:14" ht="12.75">
      <c r="A44" s="223" t="s">
        <v>158</v>
      </c>
      <c r="B44" s="201" t="s">
        <v>797</v>
      </c>
      <c r="C44" s="201" t="s">
        <v>797</v>
      </c>
      <c r="D44" s="186">
        <v>614680</v>
      </c>
      <c r="E44" s="202" t="s">
        <v>797</v>
      </c>
      <c r="F44" s="202" t="s">
        <v>797</v>
      </c>
      <c r="G44" s="186">
        <f>D44-'[5]jūnijs'!D44</f>
        <v>0</v>
      </c>
      <c r="H44" s="224" t="s">
        <v>158</v>
      </c>
      <c r="I44" s="203" t="s">
        <v>797</v>
      </c>
      <c r="J44" s="203" t="s">
        <v>797</v>
      </c>
      <c r="K44" s="193">
        <f>ROUND(D44/1000,0)</f>
        <v>615</v>
      </c>
      <c r="L44" s="204" t="s">
        <v>797</v>
      </c>
      <c r="M44" s="204" t="s">
        <v>797</v>
      </c>
      <c r="N44" s="186">
        <f>K44-'[5]jūnijs'!K44</f>
        <v>0</v>
      </c>
    </row>
    <row r="45" spans="1:14" ht="12.75">
      <c r="A45" s="223" t="s">
        <v>159</v>
      </c>
      <c r="B45" s="201" t="s">
        <v>797</v>
      </c>
      <c r="C45" s="201" t="s">
        <v>797</v>
      </c>
      <c r="D45" s="186">
        <v>4084119.53</v>
      </c>
      <c r="E45" s="202" t="s">
        <v>797</v>
      </c>
      <c r="F45" s="202" t="s">
        <v>797</v>
      </c>
      <c r="G45" s="186">
        <f>D45-'[5]jūnijs'!D45</f>
        <v>1212622.7599999998</v>
      </c>
      <c r="H45" s="224" t="s">
        <v>159</v>
      </c>
      <c r="I45" s="203" t="s">
        <v>797</v>
      </c>
      <c r="J45" s="203" t="s">
        <v>797</v>
      </c>
      <c r="K45" s="193">
        <f>ROUND(D45/1000,0)</f>
        <v>4084</v>
      </c>
      <c r="L45" s="204" t="s">
        <v>797</v>
      </c>
      <c r="M45" s="204" t="s">
        <v>797</v>
      </c>
      <c r="N45" s="186">
        <f>K45-'[5]jūnijs'!K45</f>
        <v>1213</v>
      </c>
    </row>
    <row r="46" spans="1:14" ht="25.5">
      <c r="A46" s="178" t="s">
        <v>160</v>
      </c>
      <c r="B46" s="179">
        <v>48031380</v>
      </c>
      <c r="C46" s="179"/>
      <c r="D46" s="179">
        <v>22021312</v>
      </c>
      <c r="E46" s="187">
        <f>IF(ISERROR(D46/B46)," ",(D46/B46))*100</f>
        <v>45.847760359997984</v>
      </c>
      <c r="F46" s="202"/>
      <c r="G46" s="186">
        <f>D46-'[5]jūnijs'!D46</f>
        <v>9250347</v>
      </c>
      <c r="H46" s="181" t="s">
        <v>160</v>
      </c>
      <c r="I46" s="182">
        <f>ROUND(B46/1000,0)</f>
        <v>48031</v>
      </c>
      <c r="J46" s="183" t="s">
        <v>797</v>
      </c>
      <c r="K46" s="182">
        <f>ROUND(D46/1000,0)</f>
        <v>22021</v>
      </c>
      <c r="L46" s="194">
        <f>E46</f>
        <v>45.847760359997984</v>
      </c>
      <c r="M46" s="204">
        <f>F46</f>
        <v>0</v>
      </c>
      <c r="N46" s="789">
        <f>K46-'[5]jūnijs'!K46</f>
        <v>9250</v>
      </c>
    </row>
    <row r="47" spans="1:14" ht="12.75">
      <c r="A47" s="199" t="s">
        <v>161</v>
      </c>
      <c r="B47" s="201" t="s">
        <v>797</v>
      </c>
      <c r="C47" s="201" t="s">
        <v>797</v>
      </c>
      <c r="D47" s="186">
        <v>44301643</v>
      </c>
      <c r="E47" s="202" t="s">
        <v>797</v>
      </c>
      <c r="F47" s="202" t="s">
        <v>797</v>
      </c>
      <c r="G47" s="186">
        <f>D47-'[5]jūnijs'!D47</f>
        <v>10342741</v>
      </c>
      <c r="H47" s="200" t="s">
        <v>161</v>
      </c>
      <c r="I47" s="203" t="s">
        <v>797</v>
      </c>
      <c r="J47" s="203" t="s">
        <v>797</v>
      </c>
      <c r="K47" s="182">
        <v>44301</v>
      </c>
      <c r="L47" s="204" t="s">
        <v>797</v>
      </c>
      <c r="M47" s="204" t="s">
        <v>797</v>
      </c>
      <c r="N47" s="789">
        <f>K47-'[5]jūnijs'!K47</f>
        <v>10342</v>
      </c>
    </row>
    <row r="48" spans="1:14" ht="12.75">
      <c r="A48" s="225" t="s">
        <v>162</v>
      </c>
      <c r="B48" s="201" t="s">
        <v>797</v>
      </c>
      <c r="C48" s="201" t="s">
        <v>797</v>
      </c>
      <c r="D48" s="186">
        <v>28153724</v>
      </c>
      <c r="E48" s="202" t="s">
        <v>797</v>
      </c>
      <c r="F48" s="202" t="s">
        <v>797</v>
      </c>
      <c r="G48" s="186">
        <f>D48-'[5]jūnijs'!D48</f>
        <v>5459011</v>
      </c>
      <c r="H48" s="226" t="s">
        <v>162</v>
      </c>
      <c r="I48" s="203" t="s">
        <v>797</v>
      </c>
      <c r="J48" s="203" t="s">
        <v>797</v>
      </c>
      <c r="K48" s="193">
        <f>ROUND(D48/1000,0)</f>
        <v>28154</v>
      </c>
      <c r="L48" s="204" t="s">
        <v>797</v>
      </c>
      <c r="M48" s="204" t="s">
        <v>797</v>
      </c>
      <c r="N48" s="186">
        <f>K48-'[5]jūnijs'!K48</f>
        <v>5459</v>
      </c>
    </row>
    <row r="49" spans="1:14" ht="12.75">
      <c r="A49" s="216" t="s">
        <v>163</v>
      </c>
      <c r="B49" s="201" t="s">
        <v>797</v>
      </c>
      <c r="C49" s="201" t="s">
        <v>797</v>
      </c>
      <c r="D49" s="186">
        <v>22280331</v>
      </c>
      <c r="E49" s="202" t="s">
        <v>797</v>
      </c>
      <c r="F49" s="202" t="s">
        <v>797</v>
      </c>
      <c r="G49" s="186">
        <f>D49-'[5]jūnijs'!D49</f>
        <v>1092394</v>
      </c>
      <c r="H49" s="217" t="s">
        <v>163</v>
      </c>
      <c r="I49" s="203" t="s">
        <v>797</v>
      </c>
      <c r="J49" s="203" t="s">
        <v>797</v>
      </c>
      <c r="K49" s="182">
        <f>ROUND(D49/1000,0)</f>
        <v>22280</v>
      </c>
      <c r="L49" s="204" t="s">
        <v>797</v>
      </c>
      <c r="M49" s="204" t="s">
        <v>797</v>
      </c>
      <c r="N49" s="789">
        <f>K49-'[5]jūnijs'!K49</f>
        <v>1092</v>
      </c>
    </row>
    <row r="50" spans="1:14" ht="12.75">
      <c r="A50" s="225" t="s">
        <v>164</v>
      </c>
      <c r="B50" s="201" t="s">
        <v>797</v>
      </c>
      <c r="C50" s="201" t="s">
        <v>797</v>
      </c>
      <c r="D50" s="186">
        <v>3642816</v>
      </c>
      <c r="E50" s="202" t="s">
        <v>797</v>
      </c>
      <c r="F50" s="202" t="s">
        <v>797</v>
      </c>
      <c r="G50" s="186">
        <f>D50-'[5]jūnijs'!D50</f>
        <v>355000</v>
      </c>
      <c r="H50" s="226" t="s">
        <v>164</v>
      </c>
      <c r="I50" s="203" t="s">
        <v>797</v>
      </c>
      <c r="J50" s="203" t="s">
        <v>797</v>
      </c>
      <c r="K50" s="193">
        <f>ROUND(D50/1000,0)</f>
        <v>3643</v>
      </c>
      <c r="L50" s="204" t="s">
        <v>797</v>
      </c>
      <c r="M50" s="204" t="s">
        <v>797</v>
      </c>
      <c r="N50" s="186">
        <f>K50-'[5]jūnijs'!K50</f>
        <v>355</v>
      </c>
    </row>
    <row r="51" spans="1:14" ht="12.75">
      <c r="A51" s="199" t="s">
        <v>165</v>
      </c>
      <c r="B51" s="186">
        <v>-84749496</v>
      </c>
      <c r="C51" s="201" t="s">
        <v>797</v>
      </c>
      <c r="D51" s="186">
        <v>-39522247</v>
      </c>
      <c r="E51" s="202" t="s">
        <v>797</v>
      </c>
      <c r="F51" s="202" t="s">
        <v>797</v>
      </c>
      <c r="G51" s="186">
        <f>D51-'[5]jūnijs'!D51</f>
        <v>-10892042</v>
      </c>
      <c r="H51" s="200" t="s">
        <v>165</v>
      </c>
      <c r="I51" s="182">
        <f aca="true" t="shared" si="6" ref="I51:I56">ROUND(B51/1000,0)</f>
        <v>-84749</v>
      </c>
      <c r="J51" s="203" t="s">
        <v>797</v>
      </c>
      <c r="K51" s="182">
        <f>ROUND(D51/1000,0)</f>
        <v>-39522</v>
      </c>
      <c r="L51" s="204" t="s">
        <v>797</v>
      </c>
      <c r="M51" s="204" t="s">
        <v>797</v>
      </c>
      <c r="N51" s="789">
        <f>K51-'[5]jūnijs'!K51</f>
        <v>-10892</v>
      </c>
    </row>
    <row r="52" spans="1:14" ht="12.75">
      <c r="A52" s="108" t="s">
        <v>166</v>
      </c>
      <c r="B52" s="186">
        <v>84749496</v>
      </c>
      <c r="C52" s="201" t="s">
        <v>797</v>
      </c>
      <c r="D52" s="186">
        <v>39522247</v>
      </c>
      <c r="E52" s="202" t="s">
        <v>797</v>
      </c>
      <c r="F52" s="202" t="s">
        <v>797</v>
      </c>
      <c r="G52" s="186">
        <f>D52-'[5]jūnijs'!D52</f>
        <v>10892042</v>
      </c>
      <c r="H52" s="227" t="s">
        <v>166</v>
      </c>
      <c r="I52" s="182">
        <f t="shared" si="6"/>
        <v>84749</v>
      </c>
      <c r="J52" s="203" t="s">
        <v>797</v>
      </c>
      <c r="K52" s="182">
        <f>SUM(K53:K56)</f>
        <v>39522</v>
      </c>
      <c r="L52" s="204" t="s">
        <v>797</v>
      </c>
      <c r="M52" s="204" t="s">
        <v>797</v>
      </c>
      <c r="N52" s="789">
        <f>SUM(N53:N56)</f>
        <v>10892</v>
      </c>
    </row>
    <row r="53" spans="1:14" ht="25.5">
      <c r="A53" s="228" t="s">
        <v>167</v>
      </c>
      <c r="B53" s="186">
        <v>17266744</v>
      </c>
      <c r="C53" s="201" t="s">
        <v>797</v>
      </c>
      <c r="D53" s="186">
        <v>3521000</v>
      </c>
      <c r="E53" s="202" t="s">
        <v>797</v>
      </c>
      <c r="F53" s="202" t="s">
        <v>797</v>
      </c>
      <c r="G53" s="186">
        <f>D53-'[5]jūnijs'!D53</f>
        <v>36000</v>
      </c>
      <c r="H53" s="229" t="s">
        <v>167</v>
      </c>
      <c r="I53" s="193">
        <f t="shared" si="6"/>
        <v>17267</v>
      </c>
      <c r="J53" s="203" t="s">
        <v>797</v>
      </c>
      <c r="K53" s="193">
        <f>ROUND(D53/1000,0)</f>
        <v>3521</v>
      </c>
      <c r="L53" s="204" t="s">
        <v>797</v>
      </c>
      <c r="M53" s="204" t="s">
        <v>797</v>
      </c>
      <c r="N53" s="186">
        <f>K53-'[5]jūnijs'!K53</f>
        <v>36</v>
      </c>
    </row>
    <row r="54" spans="1:14" ht="25.5">
      <c r="A54" s="228" t="s">
        <v>171</v>
      </c>
      <c r="B54" s="186">
        <v>800000</v>
      </c>
      <c r="C54" s="201" t="s">
        <v>797</v>
      </c>
      <c r="D54" s="186">
        <v>304893.67</v>
      </c>
      <c r="E54" s="202" t="s">
        <v>797</v>
      </c>
      <c r="F54" s="202" t="s">
        <v>797</v>
      </c>
      <c r="G54" s="186">
        <f>D54-'[5]jūnijs'!D54</f>
        <v>0</v>
      </c>
      <c r="H54" s="229" t="s">
        <v>172</v>
      </c>
      <c r="I54" s="193">
        <f t="shared" si="6"/>
        <v>800</v>
      </c>
      <c r="J54" s="203" t="s">
        <v>797</v>
      </c>
      <c r="K54" s="193">
        <f>ROUND(D54/1000,0)</f>
        <v>305</v>
      </c>
      <c r="L54" s="204" t="s">
        <v>797</v>
      </c>
      <c r="M54" s="204" t="s">
        <v>797</v>
      </c>
      <c r="N54" s="186">
        <f>K54-'[5]jūnijs'!K54</f>
        <v>0</v>
      </c>
    </row>
    <row r="55" spans="1:14" ht="12.75">
      <c r="A55" s="790" t="s">
        <v>168</v>
      </c>
      <c r="B55" s="528">
        <v>66179118</v>
      </c>
      <c r="C55" s="791" t="s">
        <v>797</v>
      </c>
      <c r="D55" s="528">
        <v>35696353</v>
      </c>
      <c r="E55" s="792" t="s">
        <v>797</v>
      </c>
      <c r="F55" s="792" t="s">
        <v>797</v>
      </c>
      <c r="G55" s="528">
        <f>D55-'[5]jūnijs'!D55</f>
        <v>10856042</v>
      </c>
      <c r="H55" s="795" t="s">
        <v>869</v>
      </c>
      <c r="I55" s="796">
        <f t="shared" si="6"/>
        <v>66179</v>
      </c>
      <c r="J55" s="797" t="s">
        <v>797</v>
      </c>
      <c r="K55" s="796">
        <f>39522+26291</f>
        <v>65813</v>
      </c>
      <c r="L55" s="798" t="s">
        <v>797</v>
      </c>
      <c r="M55" s="798" t="s">
        <v>797</v>
      </c>
      <c r="N55" s="186">
        <f>10892-10251</f>
        <v>641</v>
      </c>
    </row>
    <row r="56" spans="1:15" ht="26.25" customHeight="1">
      <c r="A56" s="799" t="s">
        <v>870</v>
      </c>
      <c r="B56" s="136">
        <v>503634</v>
      </c>
      <c r="C56" s="136">
        <v>329979</v>
      </c>
      <c r="D56" s="136"/>
      <c r="E56" s="800"/>
      <c r="F56" s="136"/>
      <c r="G56" s="186">
        <f>D56-'[5]jūnijs'!D56</f>
        <v>0</v>
      </c>
      <c r="H56" s="801" t="s">
        <v>870</v>
      </c>
      <c r="I56" s="802">
        <f t="shared" si="6"/>
        <v>504</v>
      </c>
      <c r="J56" s="803">
        <v>330</v>
      </c>
      <c r="K56" s="802">
        <v>-30117</v>
      </c>
      <c r="L56" s="803"/>
      <c r="M56" s="803"/>
      <c r="N56" s="804">
        <v>10215</v>
      </c>
      <c r="O56" s="803"/>
    </row>
    <row r="57" spans="8:14" ht="12.75">
      <c r="H57" s="487" t="s">
        <v>871</v>
      </c>
      <c r="I57" s="135"/>
      <c r="J57" s="135"/>
      <c r="K57" s="135"/>
      <c r="L57" s="135"/>
      <c r="M57" s="135"/>
      <c r="N57" s="135"/>
    </row>
    <row r="58" spans="1:14" ht="12.75">
      <c r="A58" s="41" t="s">
        <v>169</v>
      </c>
      <c r="B58" s="39"/>
      <c r="C58" s="39"/>
      <c r="D58" s="49"/>
      <c r="E58" s="49"/>
      <c r="F58" s="39" t="s">
        <v>36</v>
      </c>
      <c r="G58" s="49"/>
      <c r="H58" s="529"/>
      <c r="I58" s="380"/>
      <c r="J58" s="380"/>
      <c r="K58" s="83"/>
      <c r="L58" s="83"/>
      <c r="M58" s="380"/>
      <c r="N58" s="83"/>
    </row>
    <row r="59" spans="8:14" ht="12.75">
      <c r="H59" s="135"/>
      <c r="I59" s="135"/>
      <c r="J59" s="135"/>
      <c r="K59" s="135"/>
      <c r="L59" s="135"/>
      <c r="M59" s="135"/>
      <c r="N59" s="135"/>
    </row>
    <row r="60" spans="8:14" ht="12.75">
      <c r="H60" s="135"/>
      <c r="I60" s="135"/>
      <c r="J60" s="135"/>
      <c r="K60" s="135"/>
      <c r="L60" s="135"/>
      <c r="M60" s="135"/>
      <c r="N60" s="135"/>
    </row>
    <row r="61" spans="8:14" ht="12.75">
      <c r="H61" s="135"/>
      <c r="I61" s="135"/>
      <c r="J61" s="135"/>
      <c r="K61" s="135"/>
      <c r="L61" s="135"/>
      <c r="M61" s="135"/>
      <c r="N61" s="135"/>
    </row>
    <row r="62" spans="8:14" ht="12.75">
      <c r="H62" s="488"/>
      <c r="I62" s="135"/>
      <c r="J62" s="135"/>
      <c r="K62" s="135"/>
      <c r="L62" s="135"/>
      <c r="M62" s="135"/>
      <c r="N62" s="135"/>
    </row>
    <row r="63" spans="8:14" ht="12.75">
      <c r="H63" s="529" t="s">
        <v>872</v>
      </c>
      <c r="I63" s="380"/>
      <c r="J63" s="380"/>
      <c r="K63" s="83"/>
      <c r="L63" s="83" t="s">
        <v>862</v>
      </c>
      <c r="M63" s="380"/>
      <c r="N63" s="135"/>
    </row>
    <row r="64" spans="8:14" ht="12.75">
      <c r="H64" s="135"/>
      <c r="I64" s="135"/>
      <c r="J64" s="135"/>
      <c r="K64" s="135"/>
      <c r="L64" s="135"/>
      <c r="M64" s="135"/>
      <c r="N64" s="135"/>
    </row>
    <row r="65" spans="8:14" ht="12.75">
      <c r="H65" s="488"/>
      <c r="I65" s="135"/>
      <c r="J65" s="135"/>
      <c r="K65" s="135"/>
      <c r="L65" s="135"/>
      <c r="M65" s="135"/>
      <c r="N65" s="135"/>
    </row>
    <row r="66" spans="2:14" ht="12.75">
      <c r="B66" s="39"/>
      <c r="C66" s="39"/>
      <c r="D66" s="49"/>
      <c r="E66" s="39"/>
      <c r="H66" s="135"/>
      <c r="I66" s="135"/>
      <c r="J66" s="135"/>
      <c r="K66" s="135"/>
      <c r="L66" s="135"/>
      <c r="M66" s="135"/>
      <c r="N66" s="135"/>
    </row>
    <row r="67" spans="6:14" ht="12.75">
      <c r="F67" s="1"/>
      <c r="H67" s="488"/>
      <c r="I67" s="135"/>
      <c r="J67" s="135"/>
      <c r="K67" s="135"/>
      <c r="L67" s="135"/>
      <c r="M67" s="135"/>
      <c r="N67" s="135"/>
    </row>
    <row r="68" spans="6:14" ht="12.75">
      <c r="F68" s="1"/>
      <c r="H68" s="488"/>
      <c r="I68" s="135"/>
      <c r="J68" s="135"/>
      <c r="K68" s="135"/>
      <c r="L68" s="135"/>
      <c r="M68" s="135"/>
      <c r="N68" s="135"/>
    </row>
    <row r="70" ht="12.75">
      <c r="H70" s="1" t="s">
        <v>37</v>
      </c>
    </row>
    <row r="71" ht="12.75">
      <c r="H71" s="1" t="s">
        <v>847</v>
      </c>
    </row>
    <row r="72" ht="12.75">
      <c r="H72" s="1"/>
    </row>
    <row r="75" ht="12.75">
      <c r="A75" s="1" t="s">
        <v>953</v>
      </c>
    </row>
    <row r="76" ht="12.75">
      <c r="A76" s="86" t="s">
        <v>170</v>
      </c>
    </row>
  </sheetData>
  <mergeCells count="6">
    <mergeCell ref="F7:G7"/>
    <mergeCell ref="M7:N7"/>
    <mergeCell ref="A4:G4"/>
    <mergeCell ref="H4:N4"/>
    <mergeCell ref="A5:F5"/>
    <mergeCell ref="H5:M5"/>
  </mergeCells>
  <printOptions horizontalCentered="1"/>
  <pageMargins left="0.9448818897637796" right="0.2755905511811024" top="0.984251968503937" bottom="0.984251968503937" header="0.5118110236220472" footer="0.5118110236220472"/>
  <pageSetup firstPageNumber="13" useFirstPageNumber="1" horizontalDpi="600" verticalDpi="600" orientation="portrait" paperSize="9" scale="85" r:id="rId1"/>
  <headerFooter alignWithMargins="0">
    <oddFooter>&amp;R&amp;9&amp;P</oddFooter>
  </headerFooter>
  <rowBreaks count="1" manualBreakCount="1">
    <brk id="51" min="7" max="13" man="1"/>
  </rowBreaks>
  <colBreaks count="1" manualBreakCount="1">
    <brk id="6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H1">
      <selection activeCell="A59" sqref="A59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7.7109375" style="49" customWidth="1"/>
    <col min="9" max="9" width="9.8515625" style="49" customWidth="1"/>
    <col min="10" max="10" width="11.8515625" style="49" customWidth="1"/>
    <col min="11" max="11" width="8.57421875" style="49" customWidth="1"/>
    <col min="12" max="12" width="7.140625" style="49" customWidth="1"/>
    <col min="13" max="13" width="7.7109375" style="49" customWidth="1"/>
    <col min="14" max="15" width="7.8515625" style="49" customWidth="1"/>
  </cols>
  <sheetData>
    <row r="1" spans="5:13" ht="12.75">
      <c r="E1" s="86" t="s">
        <v>173</v>
      </c>
      <c r="H1" s="230"/>
      <c r="I1" s="230"/>
      <c r="J1" s="230"/>
      <c r="K1" s="230"/>
      <c r="L1" s="231" t="s">
        <v>173</v>
      </c>
      <c r="M1" s="230"/>
    </row>
    <row r="2" spans="1:13" ht="15">
      <c r="A2" s="851" t="s">
        <v>3</v>
      </c>
      <c r="B2" s="851"/>
      <c r="C2" s="851"/>
      <c r="D2" s="851"/>
      <c r="E2" s="851"/>
      <c r="H2" s="852" t="s">
        <v>3</v>
      </c>
      <c r="I2" s="852"/>
      <c r="J2" s="852"/>
      <c r="K2" s="852"/>
      <c r="L2" s="852"/>
      <c r="M2" s="230"/>
    </row>
    <row r="3" spans="8:13" ht="12.75">
      <c r="H3" s="230"/>
      <c r="I3" s="230"/>
      <c r="J3" s="230"/>
      <c r="K3" s="230"/>
      <c r="L3" s="230"/>
      <c r="M3" s="230"/>
    </row>
    <row r="4" spans="1:13" ht="15.75">
      <c r="A4" s="866" t="s">
        <v>174</v>
      </c>
      <c r="B4" s="866"/>
      <c r="C4" s="866"/>
      <c r="D4" s="866"/>
      <c r="E4" s="866"/>
      <c r="H4" s="868" t="s">
        <v>174</v>
      </c>
      <c r="I4" s="868"/>
      <c r="J4" s="868"/>
      <c r="K4" s="868"/>
      <c r="L4" s="868"/>
      <c r="M4" s="230"/>
    </row>
    <row r="5" spans="1:13" ht="15.75">
      <c r="A5" s="866" t="s">
        <v>175</v>
      </c>
      <c r="B5" s="866"/>
      <c r="C5" s="866"/>
      <c r="D5" s="866"/>
      <c r="E5" s="866"/>
      <c r="H5" s="868" t="s">
        <v>873</v>
      </c>
      <c r="I5" s="868"/>
      <c r="J5" s="868"/>
      <c r="K5" s="868"/>
      <c r="L5" s="868"/>
      <c r="M5" s="230"/>
    </row>
    <row r="6" spans="8:13" ht="12.75">
      <c r="H6" s="230"/>
      <c r="I6" s="230"/>
      <c r="J6" s="230"/>
      <c r="K6" s="230"/>
      <c r="L6" s="230"/>
      <c r="M6" s="230"/>
    </row>
    <row r="7" spans="6:13" ht="12.75">
      <c r="F7" s="41" t="s">
        <v>176</v>
      </c>
      <c r="H7" s="230"/>
      <c r="I7" s="230"/>
      <c r="J7" s="230"/>
      <c r="K7" s="230"/>
      <c r="L7" s="231" t="s">
        <v>176</v>
      </c>
      <c r="M7" s="230"/>
    </row>
    <row r="8" spans="1:15" ht="63.75">
      <c r="A8" s="8" t="s">
        <v>791</v>
      </c>
      <c r="B8" s="9" t="s">
        <v>177</v>
      </c>
      <c r="C8" s="9" t="s">
        <v>958</v>
      </c>
      <c r="D8" s="9" t="s">
        <v>959</v>
      </c>
      <c r="E8" s="9" t="s">
        <v>178</v>
      </c>
      <c r="F8" s="9" t="s">
        <v>123</v>
      </c>
      <c r="G8" s="1"/>
      <c r="H8" s="233" t="s">
        <v>791</v>
      </c>
      <c r="I8" s="234" t="s">
        <v>177</v>
      </c>
      <c r="J8" s="234" t="s">
        <v>958</v>
      </c>
      <c r="K8" s="234" t="s">
        <v>959</v>
      </c>
      <c r="L8" s="234" t="s">
        <v>179</v>
      </c>
      <c r="M8" s="234" t="s">
        <v>874</v>
      </c>
      <c r="N8" s="1"/>
      <c r="O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33">
        <v>1</v>
      </c>
      <c r="I9" s="233">
        <v>2</v>
      </c>
      <c r="J9" s="234">
        <v>3</v>
      </c>
      <c r="K9" s="234">
        <v>4</v>
      </c>
      <c r="L9" s="234">
        <v>5</v>
      </c>
      <c r="M9" s="235"/>
    </row>
    <row r="10" spans="1:13" ht="12.75">
      <c r="A10" s="98" t="s">
        <v>180</v>
      </c>
      <c r="B10" s="236"/>
      <c r="C10" s="237">
        <f>SUM(C11:C24)</f>
        <v>880095454</v>
      </c>
      <c r="D10" s="237">
        <f>SUM(D11:D24)</f>
        <v>472772753.37000006</v>
      </c>
      <c r="E10" s="238">
        <f aca="true" t="shared" si="0" ref="E10:E25">IF(ISERROR(D10/C10)," ",(D10/C10))*100</f>
        <v>53.71834966551254</v>
      </c>
      <c r="F10" s="237">
        <f>SUM(F11:F24)</f>
        <v>76613507.94</v>
      </c>
      <c r="H10" s="239" t="s">
        <v>180</v>
      </c>
      <c r="I10" s="240"/>
      <c r="J10" s="182">
        <f aca="true" t="shared" si="1" ref="J10:J25">ROUND(C10/1000,0)</f>
        <v>880095</v>
      </c>
      <c r="K10" s="237">
        <f>SUM(K11:K24)</f>
        <v>472772</v>
      </c>
      <c r="L10" s="241">
        <f aca="true" t="shared" si="2" ref="L10:L25">E10</f>
        <v>53.71834966551254</v>
      </c>
      <c r="M10" s="182">
        <f>M11+M12+M13+M14+M15+M16+M17+M18+M19+M20+M21+M22+M23+M24</f>
        <v>76613</v>
      </c>
    </row>
    <row r="11" spans="1:13" ht="12.75">
      <c r="A11" s="242" t="s">
        <v>181</v>
      </c>
      <c r="B11" s="243">
        <v>1</v>
      </c>
      <c r="C11" s="244">
        <v>91396898</v>
      </c>
      <c r="D11" s="244">
        <v>44906428.73</v>
      </c>
      <c r="E11" s="238">
        <f t="shared" si="0"/>
        <v>49.13342762464433</v>
      </c>
      <c r="F11" s="244">
        <f>D11-'[6]jūnijs'!D11</f>
        <v>6450380.93</v>
      </c>
      <c r="H11" s="245" t="s">
        <v>181</v>
      </c>
      <c r="I11" s="246">
        <v>1</v>
      </c>
      <c r="J11" s="193">
        <f t="shared" si="1"/>
        <v>91397</v>
      </c>
      <c r="K11" s="193">
        <f>ROUND(D11/1000,0)</f>
        <v>44906</v>
      </c>
      <c r="L11" s="206">
        <f t="shared" si="2"/>
        <v>49.13342762464433</v>
      </c>
      <c r="M11" s="244">
        <f>K11-'[6]jūnijs'!K11</f>
        <v>6450</v>
      </c>
    </row>
    <row r="12" spans="1:13" ht="12.75">
      <c r="A12" s="60" t="s">
        <v>182</v>
      </c>
      <c r="B12" s="243">
        <v>2</v>
      </c>
      <c r="C12" s="244">
        <v>47948937</v>
      </c>
      <c r="D12" s="244">
        <v>26986063.68</v>
      </c>
      <c r="E12" s="238">
        <f t="shared" si="0"/>
        <v>56.280838259250665</v>
      </c>
      <c r="F12" s="244">
        <f>D12-'[6]jūnijs'!D12</f>
        <v>4395058.91</v>
      </c>
      <c r="H12" s="235" t="s">
        <v>182</v>
      </c>
      <c r="I12" s="246">
        <v>2</v>
      </c>
      <c r="J12" s="193">
        <f t="shared" si="1"/>
        <v>47949</v>
      </c>
      <c r="K12" s="193">
        <f>ROUND(D12/1000,0)</f>
        <v>26986</v>
      </c>
      <c r="L12" s="206">
        <f t="shared" si="2"/>
        <v>56.280838259250665</v>
      </c>
      <c r="M12" s="244">
        <f>K12-'[6]jūnijs'!K12</f>
        <v>4395</v>
      </c>
    </row>
    <row r="13" spans="1:13" ht="12.75">
      <c r="A13" s="69" t="s">
        <v>183</v>
      </c>
      <c r="B13" s="243">
        <v>3</v>
      </c>
      <c r="C13" s="244">
        <v>115700651</v>
      </c>
      <c r="D13" s="244">
        <v>62714431.55</v>
      </c>
      <c r="E13" s="238">
        <f t="shared" si="0"/>
        <v>54.204043804386195</v>
      </c>
      <c r="F13" s="244">
        <f>D13-'[6]jūnijs'!D13</f>
        <v>9540252.54</v>
      </c>
      <c r="H13" s="205" t="s">
        <v>183</v>
      </c>
      <c r="I13" s="246">
        <v>3</v>
      </c>
      <c r="J13" s="193">
        <f t="shared" si="1"/>
        <v>115701</v>
      </c>
      <c r="K13" s="193">
        <f>ROUND(D13/1000,0)</f>
        <v>62714</v>
      </c>
      <c r="L13" s="206">
        <f t="shared" si="2"/>
        <v>54.204043804386195</v>
      </c>
      <c r="M13" s="244">
        <f>K13-'[6]jūnijs'!K13</f>
        <v>9540</v>
      </c>
    </row>
    <row r="14" spans="1:13" ht="12.75">
      <c r="A14" s="60" t="s">
        <v>184</v>
      </c>
      <c r="B14" s="243">
        <v>4</v>
      </c>
      <c r="C14" s="244">
        <v>98696459</v>
      </c>
      <c r="D14" s="244">
        <v>54157488.4</v>
      </c>
      <c r="E14" s="238">
        <f t="shared" si="0"/>
        <v>54.87277755324534</v>
      </c>
      <c r="F14" s="244">
        <f>D14-'[6]jūnijs'!D14</f>
        <v>8802118.479999997</v>
      </c>
      <c r="H14" s="235" t="s">
        <v>184</v>
      </c>
      <c r="I14" s="246">
        <v>4</v>
      </c>
      <c r="J14" s="193">
        <f t="shared" si="1"/>
        <v>98696</v>
      </c>
      <c r="K14" s="193">
        <f>ROUND(D14/1000,0)+1</f>
        <v>54158</v>
      </c>
      <c r="L14" s="206">
        <f t="shared" si="2"/>
        <v>54.87277755324534</v>
      </c>
      <c r="M14" s="244">
        <f>K14-'[6]jūnijs'!K14</f>
        <v>8803</v>
      </c>
    </row>
    <row r="15" spans="1:13" ht="12.75">
      <c r="A15" s="60" t="s">
        <v>185</v>
      </c>
      <c r="B15" s="243">
        <v>5</v>
      </c>
      <c r="C15" s="244">
        <v>69600475</v>
      </c>
      <c r="D15" s="244">
        <v>41129528.35</v>
      </c>
      <c r="E15" s="238">
        <f t="shared" si="0"/>
        <v>59.09374663032113</v>
      </c>
      <c r="F15" s="244">
        <f>D15-'[6]jūnijs'!D15</f>
        <v>5759746.120000005</v>
      </c>
      <c r="H15" s="235" t="s">
        <v>185</v>
      </c>
      <c r="I15" s="246">
        <v>5</v>
      </c>
      <c r="J15" s="193">
        <f t="shared" si="1"/>
        <v>69600</v>
      </c>
      <c r="K15" s="193">
        <f aca="true" t="shared" si="3" ref="K15:K25">ROUND(D15/1000,0)</f>
        <v>41130</v>
      </c>
      <c r="L15" s="206">
        <f t="shared" si="2"/>
        <v>59.09374663032113</v>
      </c>
      <c r="M15" s="244">
        <f>K15-'[6]jūnijs'!K15</f>
        <v>5761</v>
      </c>
    </row>
    <row r="16" spans="1:13" ht="12.75">
      <c r="A16" s="69" t="s">
        <v>186</v>
      </c>
      <c r="B16" s="243">
        <v>6</v>
      </c>
      <c r="C16" s="244">
        <v>84717119</v>
      </c>
      <c r="D16" s="244">
        <v>48230756.11</v>
      </c>
      <c r="E16" s="238">
        <f t="shared" si="0"/>
        <v>56.931534829459906</v>
      </c>
      <c r="F16" s="244">
        <f>D16-'[6]jūnijs'!D16</f>
        <v>7375975.469999999</v>
      </c>
      <c r="H16" s="205" t="s">
        <v>186</v>
      </c>
      <c r="I16" s="246">
        <v>6</v>
      </c>
      <c r="J16" s="193">
        <f t="shared" si="1"/>
        <v>84717</v>
      </c>
      <c r="K16" s="193">
        <f t="shared" si="3"/>
        <v>48231</v>
      </c>
      <c r="L16" s="206">
        <f t="shared" si="2"/>
        <v>56.931534829459906</v>
      </c>
      <c r="M16" s="244">
        <f>K16-'[6]jūnijs'!K16</f>
        <v>7376</v>
      </c>
    </row>
    <row r="17" spans="1:13" ht="25.5">
      <c r="A17" s="69" t="s">
        <v>187</v>
      </c>
      <c r="B17" s="243">
        <v>7</v>
      </c>
      <c r="C17" s="244">
        <v>11048483</v>
      </c>
      <c r="D17" s="244">
        <v>4228305.34</v>
      </c>
      <c r="E17" s="238">
        <f t="shared" si="0"/>
        <v>38.270460659621776</v>
      </c>
      <c r="F17" s="244">
        <f>D17-'[6]jūnijs'!D17</f>
        <v>419556.1799999997</v>
      </c>
      <c r="H17" s="205" t="s">
        <v>187</v>
      </c>
      <c r="I17" s="246">
        <v>7</v>
      </c>
      <c r="J17" s="193">
        <f t="shared" si="1"/>
        <v>11048</v>
      </c>
      <c r="K17" s="193">
        <f t="shared" si="3"/>
        <v>4228</v>
      </c>
      <c r="L17" s="206">
        <f t="shared" si="2"/>
        <v>38.270460659621776</v>
      </c>
      <c r="M17" s="244">
        <f>K17-'[6]jūnijs'!K17</f>
        <v>419</v>
      </c>
    </row>
    <row r="18" spans="1:13" ht="12.75">
      <c r="A18" s="60" t="s">
        <v>188</v>
      </c>
      <c r="B18" s="243">
        <v>8</v>
      </c>
      <c r="C18" s="244">
        <v>23604384</v>
      </c>
      <c r="D18" s="244">
        <v>13619391.99</v>
      </c>
      <c r="E18" s="238">
        <f t="shared" si="0"/>
        <v>57.69856985041423</v>
      </c>
      <c r="F18" s="244">
        <f>D18-'[6]jūnijs'!D18</f>
        <v>1960978.3599999994</v>
      </c>
      <c r="H18" s="235" t="s">
        <v>188</v>
      </c>
      <c r="I18" s="246">
        <v>8</v>
      </c>
      <c r="J18" s="193">
        <f t="shared" si="1"/>
        <v>23604</v>
      </c>
      <c r="K18" s="193">
        <f t="shared" si="3"/>
        <v>13619</v>
      </c>
      <c r="L18" s="206">
        <f t="shared" si="2"/>
        <v>57.69856985041423</v>
      </c>
      <c r="M18" s="244">
        <f>K18-'[6]jūnijs'!K18</f>
        <v>1961</v>
      </c>
    </row>
    <row r="19" spans="1:13" ht="12.75">
      <c r="A19" s="69" t="s">
        <v>189</v>
      </c>
      <c r="B19" s="243">
        <v>9</v>
      </c>
      <c r="C19" s="244">
        <v>202127</v>
      </c>
      <c r="D19" s="244">
        <v>107805.97</v>
      </c>
      <c r="E19" s="238">
        <f t="shared" si="0"/>
        <v>53.335759200898444</v>
      </c>
      <c r="F19" s="244">
        <f>D19-'[6]jūnijs'!D19</f>
        <v>16156.839999999997</v>
      </c>
      <c r="H19" s="205" t="s">
        <v>189</v>
      </c>
      <c r="I19" s="246">
        <v>9</v>
      </c>
      <c r="J19" s="193">
        <f t="shared" si="1"/>
        <v>202</v>
      </c>
      <c r="K19" s="193">
        <f t="shared" si="3"/>
        <v>108</v>
      </c>
      <c r="L19" s="206">
        <f t="shared" si="2"/>
        <v>53.335759200898444</v>
      </c>
      <c r="M19" s="244">
        <f>K19-'[6]jūnijs'!K19</f>
        <v>16</v>
      </c>
    </row>
    <row r="20" spans="1:13" ht="25.5">
      <c r="A20" s="69" t="s">
        <v>190</v>
      </c>
      <c r="B20" s="243">
        <v>10</v>
      </c>
      <c r="C20" s="244">
        <v>81646795</v>
      </c>
      <c r="D20" s="244">
        <v>36872120.11</v>
      </c>
      <c r="E20" s="238">
        <f t="shared" si="0"/>
        <v>45.160523582095294</v>
      </c>
      <c r="F20" s="244">
        <f>D20-'[6]jūnijs'!D20</f>
        <v>7902001.539999999</v>
      </c>
      <c r="G20" s="247"/>
      <c r="H20" s="205" t="s">
        <v>190</v>
      </c>
      <c r="I20" s="246">
        <v>10</v>
      </c>
      <c r="J20" s="193">
        <f t="shared" si="1"/>
        <v>81647</v>
      </c>
      <c r="K20" s="193">
        <f t="shared" si="3"/>
        <v>36872</v>
      </c>
      <c r="L20" s="206">
        <f t="shared" si="2"/>
        <v>45.160523582095294</v>
      </c>
      <c r="M20" s="244">
        <f>K20-'[6]jūnijs'!K20</f>
        <v>7902</v>
      </c>
    </row>
    <row r="21" spans="1:13" ht="25.5">
      <c r="A21" s="69" t="s">
        <v>191</v>
      </c>
      <c r="B21" s="243">
        <v>11</v>
      </c>
      <c r="C21" s="244">
        <v>912523</v>
      </c>
      <c r="D21" s="244">
        <v>485541.1</v>
      </c>
      <c r="E21" s="238">
        <f t="shared" si="0"/>
        <v>53.20864241230083</v>
      </c>
      <c r="F21" s="244">
        <f>D21-'[6]jūnijs'!D21</f>
        <v>81981.43</v>
      </c>
      <c r="H21" s="205" t="s">
        <v>191</v>
      </c>
      <c r="I21" s="246">
        <v>11</v>
      </c>
      <c r="J21" s="193">
        <f t="shared" si="1"/>
        <v>913</v>
      </c>
      <c r="K21" s="193">
        <f t="shared" si="3"/>
        <v>486</v>
      </c>
      <c r="L21" s="206">
        <f t="shared" si="2"/>
        <v>53.20864241230083</v>
      </c>
      <c r="M21" s="244">
        <f>K21-'[6]jūnijs'!K21</f>
        <v>82</v>
      </c>
    </row>
    <row r="22" spans="1:13" ht="12.75">
      <c r="A22" s="60" t="s">
        <v>192</v>
      </c>
      <c r="B22" s="243">
        <v>12</v>
      </c>
      <c r="C22" s="244">
        <v>16138770</v>
      </c>
      <c r="D22" s="244">
        <v>5824439.43</v>
      </c>
      <c r="E22" s="238">
        <f t="shared" si="0"/>
        <v>36.08973564899927</v>
      </c>
      <c r="F22" s="244">
        <f>D22-'[6]jūnijs'!D22</f>
        <v>985304.71</v>
      </c>
      <c r="H22" s="235" t="s">
        <v>192</v>
      </c>
      <c r="I22" s="246">
        <v>12</v>
      </c>
      <c r="J22" s="193">
        <f t="shared" si="1"/>
        <v>16139</v>
      </c>
      <c r="K22" s="193">
        <f t="shared" si="3"/>
        <v>5824</v>
      </c>
      <c r="L22" s="206">
        <f t="shared" si="2"/>
        <v>36.08973564899927</v>
      </c>
      <c r="M22" s="244">
        <f>K22-'[6]jūnijs'!K22</f>
        <v>985</v>
      </c>
    </row>
    <row r="23" spans="1:13" ht="12.75">
      <c r="A23" s="60" t="s">
        <v>193</v>
      </c>
      <c r="B23" s="243">
        <v>13</v>
      </c>
      <c r="C23" s="244">
        <v>25686566</v>
      </c>
      <c r="D23" s="244">
        <v>9917189.61</v>
      </c>
      <c r="E23" s="238">
        <f t="shared" si="0"/>
        <v>38.60846798283585</v>
      </c>
      <c r="F23" s="244">
        <f>D23-'[6]jūnijs'!D23</f>
        <v>1243287.4299999997</v>
      </c>
      <c r="H23" s="235" t="s">
        <v>193</v>
      </c>
      <c r="I23" s="246">
        <v>13</v>
      </c>
      <c r="J23" s="193">
        <f t="shared" si="1"/>
        <v>25687</v>
      </c>
      <c r="K23" s="193">
        <f t="shared" si="3"/>
        <v>9917</v>
      </c>
      <c r="L23" s="206">
        <f t="shared" si="2"/>
        <v>38.60846798283585</v>
      </c>
      <c r="M23" s="244">
        <f>K23-'[6]jūnijs'!K23</f>
        <v>1243</v>
      </c>
    </row>
    <row r="24" spans="1:13" ht="12.75">
      <c r="A24" s="69" t="s">
        <v>194</v>
      </c>
      <c r="B24" s="243">
        <v>14</v>
      </c>
      <c r="C24" s="244">
        <v>212795267</v>
      </c>
      <c r="D24" s="244">
        <v>123593263</v>
      </c>
      <c r="E24" s="238">
        <f t="shared" si="0"/>
        <v>58.08083269070078</v>
      </c>
      <c r="F24" s="244">
        <f>D24-'[6]jūnijs'!D24</f>
        <v>21680709</v>
      </c>
      <c r="H24" s="205" t="s">
        <v>194</v>
      </c>
      <c r="I24" s="246">
        <v>14</v>
      </c>
      <c r="J24" s="193">
        <f t="shared" si="1"/>
        <v>212795</v>
      </c>
      <c r="K24" s="193">
        <f t="shared" si="3"/>
        <v>123593</v>
      </c>
      <c r="L24" s="206">
        <f t="shared" si="2"/>
        <v>58.08083269070078</v>
      </c>
      <c r="M24" s="244">
        <f>K24-'[6]jūnijs'!K24</f>
        <v>21680</v>
      </c>
    </row>
    <row r="25" spans="1:13" ht="12.75">
      <c r="A25" s="60" t="s">
        <v>195</v>
      </c>
      <c r="B25" s="249"/>
      <c r="C25" s="250">
        <v>48031380</v>
      </c>
      <c r="D25" s="250">
        <v>22021312</v>
      </c>
      <c r="E25" s="238">
        <f t="shared" si="0"/>
        <v>45.847760359997984</v>
      </c>
      <c r="F25" s="244">
        <f>D25-'[6]jūnijs'!D25</f>
        <v>9250347</v>
      </c>
      <c r="H25" s="235" t="s">
        <v>195</v>
      </c>
      <c r="I25" s="251"/>
      <c r="J25" s="193">
        <f t="shared" si="1"/>
        <v>48031</v>
      </c>
      <c r="K25" s="193">
        <f t="shared" si="3"/>
        <v>22021</v>
      </c>
      <c r="L25" s="206">
        <f t="shared" si="2"/>
        <v>45.847760359997984</v>
      </c>
      <c r="M25" s="244">
        <f>K25-'[6]jūnijs'!K25</f>
        <v>9250</v>
      </c>
    </row>
    <row r="26" spans="2:13" ht="12.75">
      <c r="B26" s="39"/>
      <c r="C26" s="47"/>
      <c r="D26" s="47"/>
      <c r="E26" s="252"/>
      <c r="H26" s="230"/>
      <c r="I26" s="232"/>
      <c r="J26" s="253"/>
      <c r="K26" s="253"/>
      <c r="L26" s="254"/>
      <c r="M26" s="230"/>
    </row>
    <row r="27" spans="2:13" ht="12.75">
      <c r="B27" s="39"/>
      <c r="C27" s="47"/>
      <c r="D27" s="47"/>
      <c r="E27" s="252"/>
      <c r="H27" s="230"/>
      <c r="I27" s="232"/>
      <c r="J27" s="253"/>
      <c r="K27" s="253"/>
      <c r="L27" s="254"/>
      <c r="M27" s="230"/>
    </row>
    <row r="28" spans="2:13" ht="12.75">
      <c r="B28" s="39"/>
      <c r="C28" s="47"/>
      <c r="D28" s="47"/>
      <c r="E28" s="252"/>
      <c r="H28" s="230"/>
      <c r="I28" s="232"/>
      <c r="J28" s="253"/>
      <c r="K28" s="253"/>
      <c r="L28" s="254"/>
      <c r="M28" s="230"/>
    </row>
    <row r="29" spans="1:13" ht="12.75">
      <c r="A29" s="41" t="s">
        <v>196</v>
      </c>
      <c r="B29" s="39"/>
      <c r="C29" s="39"/>
      <c r="D29" s="39"/>
      <c r="E29" s="1"/>
      <c r="F29" s="49" t="s">
        <v>197</v>
      </c>
      <c r="H29" s="231" t="s">
        <v>875</v>
      </c>
      <c r="I29" s="232"/>
      <c r="J29" s="232"/>
      <c r="K29" s="230"/>
      <c r="L29" s="232" t="s">
        <v>862</v>
      </c>
      <c r="M29" s="230"/>
    </row>
    <row r="30" spans="2:13" ht="12.75">
      <c r="B30" s="39"/>
      <c r="C30" s="47"/>
      <c r="D30" s="47"/>
      <c r="E30" s="252"/>
      <c r="H30" s="230"/>
      <c r="I30" s="230"/>
      <c r="J30" s="230"/>
      <c r="K30" s="230"/>
      <c r="L30" s="230"/>
      <c r="M30" s="230"/>
    </row>
    <row r="31" spans="2:13" ht="12.75">
      <c r="B31" s="39"/>
      <c r="C31" s="47"/>
      <c r="D31" s="47"/>
      <c r="E31" s="252"/>
      <c r="H31" s="230"/>
      <c r="I31" s="230"/>
      <c r="J31" s="230"/>
      <c r="K31" s="230"/>
      <c r="L31" s="230"/>
      <c r="M31" s="230"/>
    </row>
    <row r="32" spans="2:13" ht="12.75">
      <c r="B32" s="39"/>
      <c r="D32" s="47"/>
      <c r="E32" s="252"/>
      <c r="G32" s="39"/>
      <c r="H32" s="230"/>
      <c r="I32" s="230"/>
      <c r="J32" s="230"/>
      <c r="K32" s="230"/>
      <c r="L32" s="230"/>
      <c r="M32" s="230"/>
    </row>
    <row r="33" spans="2:13" ht="12.75">
      <c r="B33" s="39"/>
      <c r="C33" s="47"/>
      <c r="D33" s="47"/>
      <c r="E33" s="252"/>
      <c r="H33" s="230"/>
      <c r="I33" s="230"/>
      <c r="J33" s="230"/>
      <c r="K33" s="230"/>
      <c r="L33" s="230"/>
      <c r="M33" s="230"/>
    </row>
    <row r="34" spans="2:13" ht="12.75">
      <c r="B34" s="39"/>
      <c r="C34" s="47"/>
      <c r="D34" s="47"/>
      <c r="E34" s="252"/>
      <c r="H34" s="230"/>
      <c r="I34" s="230"/>
      <c r="J34" s="230"/>
      <c r="K34" s="230"/>
      <c r="L34" s="230"/>
      <c r="M34" s="230"/>
    </row>
    <row r="35" spans="4:13" ht="12.75">
      <c r="D35" s="47"/>
      <c r="E35" s="252"/>
      <c r="H35" s="230"/>
      <c r="I35" s="230"/>
      <c r="J35" s="230"/>
      <c r="K35" s="230"/>
      <c r="L35" s="230"/>
      <c r="M35" s="230"/>
    </row>
    <row r="36" spans="2:13" ht="12.75">
      <c r="B36" s="39"/>
      <c r="C36" s="47"/>
      <c r="D36" s="47"/>
      <c r="E36" s="252"/>
      <c r="H36" s="253" t="s">
        <v>953</v>
      </c>
      <c r="I36" s="230"/>
      <c r="J36" s="230"/>
      <c r="K36" s="230"/>
      <c r="L36" s="230"/>
      <c r="M36" s="230"/>
    </row>
    <row r="37" spans="3:13" ht="12.75">
      <c r="C37" s="47"/>
      <c r="D37" s="47"/>
      <c r="E37" s="252"/>
      <c r="H37" s="230" t="s">
        <v>847</v>
      </c>
      <c r="I37" s="230"/>
      <c r="J37" s="230"/>
      <c r="K37" s="230"/>
      <c r="L37" s="230"/>
      <c r="M37" s="230"/>
    </row>
    <row r="38" spans="3:13" ht="12.75">
      <c r="C38" s="47"/>
      <c r="D38" s="47"/>
      <c r="E38" s="252"/>
      <c r="H38" s="230"/>
      <c r="I38" s="230"/>
      <c r="J38" s="230"/>
      <c r="K38" s="230"/>
      <c r="L38" s="230"/>
      <c r="M38" s="230"/>
    </row>
    <row r="39" spans="3:13" ht="12.75">
      <c r="C39" s="47"/>
      <c r="D39" s="47"/>
      <c r="E39" s="252"/>
      <c r="H39" s="230"/>
      <c r="I39" s="230"/>
      <c r="J39" s="230"/>
      <c r="K39" s="230"/>
      <c r="L39" s="230"/>
      <c r="M39" s="230"/>
    </row>
    <row r="40" spans="1:13" ht="12.75">
      <c r="A40" s="38"/>
      <c r="C40" s="47"/>
      <c r="D40" s="47"/>
      <c r="E40" s="252"/>
      <c r="H40" s="230"/>
      <c r="I40" s="230"/>
      <c r="J40" s="230"/>
      <c r="K40" s="230"/>
      <c r="L40" s="230"/>
      <c r="M40" s="230"/>
    </row>
    <row r="41" spans="1:13" ht="12.75">
      <c r="A41" s="38"/>
      <c r="C41" s="47"/>
      <c r="D41" s="47"/>
      <c r="E41" s="252"/>
      <c r="H41" s="230"/>
      <c r="I41" s="230"/>
      <c r="J41" s="230"/>
      <c r="K41" s="230"/>
      <c r="L41" s="230"/>
      <c r="M41" s="230"/>
    </row>
    <row r="42" spans="3:13" ht="12.75">
      <c r="C42" s="47"/>
      <c r="D42" s="47"/>
      <c r="E42" s="252"/>
      <c r="H42" s="230"/>
      <c r="I42" s="230"/>
      <c r="J42" s="230"/>
      <c r="K42" s="230"/>
      <c r="L42" s="230"/>
      <c r="M42" s="230"/>
    </row>
    <row r="43" spans="3:5" ht="12.75">
      <c r="C43" s="47"/>
      <c r="D43" s="47"/>
      <c r="E43" s="252"/>
    </row>
    <row r="44" spans="3:5" ht="12.75">
      <c r="C44" s="47"/>
      <c r="D44" s="47"/>
      <c r="E44" s="252"/>
    </row>
    <row r="45" spans="3:5" ht="12.75">
      <c r="C45" s="47"/>
      <c r="D45" s="47"/>
      <c r="E45" s="252"/>
    </row>
    <row r="46" spans="2:4" ht="12.75">
      <c r="B46" s="47"/>
      <c r="C46" s="47"/>
      <c r="D46" s="252"/>
    </row>
    <row r="47" spans="2:4" ht="12.75">
      <c r="B47" s="47"/>
      <c r="C47" s="47"/>
      <c r="D47" s="252"/>
    </row>
    <row r="48" spans="2:4" ht="12.75">
      <c r="B48" s="47"/>
      <c r="C48" s="47"/>
      <c r="D48" s="252"/>
    </row>
    <row r="49" spans="2:4" ht="12.75">
      <c r="B49" s="47"/>
      <c r="C49" s="47"/>
      <c r="D49" s="252"/>
    </row>
    <row r="50" spans="2:4" ht="12.75">
      <c r="B50" s="47"/>
      <c r="C50" s="47"/>
      <c r="D50" s="252"/>
    </row>
    <row r="51" spans="2:4" ht="12.75">
      <c r="B51" s="47"/>
      <c r="C51" s="47"/>
      <c r="D51" s="252"/>
    </row>
    <row r="52" spans="2:4" ht="12.75">
      <c r="B52" s="47"/>
      <c r="D52" s="252"/>
    </row>
    <row r="53" spans="2:4" ht="12.75">
      <c r="B53" s="47"/>
      <c r="D53" s="252"/>
    </row>
    <row r="54" spans="2:4" ht="12.75">
      <c r="B54" s="47"/>
      <c r="D54" s="252"/>
    </row>
    <row r="55" spans="2:4" ht="12.75">
      <c r="B55" s="47"/>
      <c r="D55" s="252"/>
    </row>
    <row r="56" spans="2:4" ht="12.75">
      <c r="B56" s="47"/>
      <c r="D56" s="252"/>
    </row>
    <row r="57" spans="2:4" ht="12.75">
      <c r="B57" s="47"/>
      <c r="D57" s="252"/>
    </row>
    <row r="58" spans="2:4" ht="12.75">
      <c r="B58" s="47"/>
      <c r="D58" s="252"/>
    </row>
    <row r="59" spans="2:4" ht="12.75">
      <c r="B59" s="47"/>
      <c r="D59" s="252"/>
    </row>
    <row r="60" spans="2:4" ht="12.75">
      <c r="B60" s="47"/>
      <c r="D60" s="252"/>
    </row>
    <row r="61" spans="2:4" ht="12.75">
      <c r="B61" s="47"/>
      <c r="D61" s="252"/>
    </row>
    <row r="62" spans="2:4" ht="12.75">
      <c r="B62" s="47"/>
      <c r="D62" s="252"/>
    </row>
    <row r="63" spans="2:4" ht="12.75">
      <c r="B63" s="47"/>
      <c r="D63" s="252"/>
    </row>
    <row r="64" spans="2:4" ht="12.75">
      <c r="B64" s="47"/>
      <c r="D64" s="252"/>
    </row>
    <row r="65" spans="2:4" ht="12.75">
      <c r="B65" s="47"/>
      <c r="D65" s="252"/>
    </row>
    <row r="66" spans="2:4" ht="12.75">
      <c r="B66" s="47"/>
      <c r="D66" s="252"/>
    </row>
    <row r="67" spans="2:4" ht="12.75">
      <c r="B67" s="47"/>
      <c r="D67" s="252"/>
    </row>
    <row r="68" spans="2:4" ht="12.75">
      <c r="B68" s="47"/>
      <c r="D68" s="252"/>
    </row>
    <row r="69" spans="2:4" ht="12.75">
      <c r="B69" s="47"/>
      <c r="D69" s="252"/>
    </row>
    <row r="70" spans="2:4" ht="12.75">
      <c r="B70" s="47"/>
      <c r="D70" s="252"/>
    </row>
    <row r="71" spans="2:4" ht="12.75">
      <c r="B71" s="47"/>
      <c r="D71" s="252"/>
    </row>
    <row r="72" spans="2:4" ht="12.75">
      <c r="B72" s="47"/>
      <c r="D72" s="252"/>
    </row>
    <row r="73" spans="2:4" ht="12.75">
      <c r="B73" s="47"/>
      <c r="D73" s="252"/>
    </row>
    <row r="74" spans="2:4" ht="12.75">
      <c r="B74" s="47"/>
      <c r="D74" s="252"/>
    </row>
    <row r="75" spans="2:4" ht="12.75">
      <c r="B75" s="47"/>
      <c r="D75" s="252"/>
    </row>
    <row r="76" spans="2:4" ht="12.75">
      <c r="B76" s="47"/>
      <c r="D76" s="252"/>
    </row>
    <row r="77" spans="2:4" ht="12.75">
      <c r="B77" s="47"/>
      <c r="D77" s="252"/>
    </row>
    <row r="78" spans="2:4" ht="12.75">
      <c r="B78" s="47"/>
      <c r="D78" s="252"/>
    </row>
    <row r="79" spans="2:4" ht="12.75">
      <c r="B79" s="47"/>
      <c r="D79" s="252"/>
    </row>
    <row r="80" spans="2:4" ht="12.75">
      <c r="B80" s="47"/>
      <c r="D80" s="252"/>
    </row>
    <row r="81" spans="2:4" ht="12.75">
      <c r="B81" s="47"/>
      <c r="D81" s="252"/>
    </row>
    <row r="82" spans="2:4" ht="12.75">
      <c r="B82" s="47"/>
      <c r="D82" s="252"/>
    </row>
    <row r="83" spans="2:4" ht="12.75">
      <c r="B83" s="47"/>
      <c r="D83" s="252"/>
    </row>
    <row r="84" spans="2:4" ht="12.75">
      <c r="B84" s="47"/>
      <c r="D84" s="252"/>
    </row>
    <row r="85" spans="2:4" ht="12.75">
      <c r="B85" s="47"/>
      <c r="D85" s="252"/>
    </row>
    <row r="86" spans="2:4" ht="12.75">
      <c r="B86" s="47"/>
      <c r="D86" s="252"/>
    </row>
    <row r="87" spans="2:4" ht="12.75">
      <c r="B87" s="47"/>
      <c r="D87" s="252"/>
    </row>
    <row r="88" spans="2:4" ht="12.75">
      <c r="B88" s="47"/>
      <c r="D88" s="252"/>
    </row>
    <row r="89" spans="2:4" ht="12.75">
      <c r="B89" s="47"/>
      <c r="D89" s="252"/>
    </row>
    <row r="90" spans="2:4" ht="12.75">
      <c r="B90" s="47"/>
      <c r="D90" s="252"/>
    </row>
    <row r="91" spans="2:4" ht="12.75">
      <c r="B91" s="47"/>
      <c r="D91" s="252"/>
    </row>
    <row r="92" spans="2:4" ht="12.75">
      <c r="B92" s="47"/>
      <c r="D92" s="252"/>
    </row>
    <row r="93" spans="2:4" ht="12.75">
      <c r="B93" s="47"/>
      <c r="D93" s="252"/>
    </row>
    <row r="94" spans="2:4" ht="12.75">
      <c r="B94" s="47"/>
      <c r="D94" s="252"/>
    </row>
    <row r="95" spans="2:4" ht="12.75">
      <c r="B95" s="47"/>
      <c r="D95" s="252"/>
    </row>
    <row r="96" spans="2:4" ht="12.75">
      <c r="B96" s="47"/>
      <c r="D96" s="252"/>
    </row>
    <row r="97" spans="2:4" ht="12.75">
      <c r="B97" s="47"/>
      <c r="D97" s="252"/>
    </row>
    <row r="98" spans="2:4" ht="12.75">
      <c r="B98" s="47"/>
      <c r="D98" s="252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 horizontalCentered="1"/>
  <pageMargins left="0.9448818897637796" right="0.35433070866141736" top="0.984251968503937" bottom="0.984251968503937" header="0.5118110236220472" footer="0.5118110236220472"/>
  <pageSetup firstPageNumber="15" useFirstPageNumber="1" horizontalDpi="600" verticalDpi="600" orientation="portrait" paperSize="9" scale="94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06"/>
  <sheetViews>
    <sheetView workbookViewId="0" topLeftCell="G1">
      <selection activeCell="A59" sqref="A59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8.28125" style="255" hidden="1" customWidth="1"/>
    <col min="6" max="6" width="17.00390625" style="49" hidden="1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47" customWidth="1"/>
    <col min="11" max="11" width="8.28125" style="257" customWidth="1"/>
    <col min="12" max="12" width="9.8515625" style="49" customWidth="1"/>
  </cols>
  <sheetData>
    <row r="1" spans="6:12" ht="17.25" customHeight="1">
      <c r="F1" s="256" t="s">
        <v>198</v>
      </c>
      <c r="L1" s="256" t="s">
        <v>198</v>
      </c>
    </row>
    <row r="2" spans="1:12" ht="17.25" customHeight="1">
      <c r="A2" s="853" t="s">
        <v>199</v>
      </c>
      <c r="B2" s="853"/>
      <c r="C2" s="853"/>
      <c r="D2" s="853"/>
      <c r="E2" s="853"/>
      <c r="F2" s="853"/>
      <c r="G2" s="854" t="s">
        <v>955</v>
      </c>
      <c r="H2" s="854"/>
      <c r="I2" s="854"/>
      <c r="J2" s="854"/>
      <c r="K2" s="854"/>
      <c r="L2" s="854"/>
    </row>
    <row r="4" spans="1:12" ht="17.25" customHeight="1">
      <c r="A4" s="855" t="s">
        <v>200</v>
      </c>
      <c r="B4" s="855"/>
      <c r="C4" s="855"/>
      <c r="D4" s="855"/>
      <c r="E4" s="855"/>
      <c r="F4" s="855"/>
      <c r="G4" s="826" t="s">
        <v>200</v>
      </c>
      <c r="H4" s="826"/>
      <c r="I4" s="826"/>
      <c r="J4" s="826"/>
      <c r="K4" s="826"/>
      <c r="L4" s="826"/>
    </row>
    <row r="5" spans="1:12" ht="17.25" customHeight="1">
      <c r="A5" s="793" t="s">
        <v>865</v>
      </c>
      <c r="B5" s="793"/>
      <c r="C5" s="793"/>
      <c r="D5" s="793"/>
      <c r="E5" s="793"/>
      <c r="F5" s="793"/>
      <c r="G5" s="794" t="s">
        <v>865</v>
      </c>
      <c r="H5" s="794"/>
      <c r="I5" s="794"/>
      <c r="J5" s="794"/>
      <c r="K5" s="794"/>
      <c r="L5" s="794"/>
    </row>
    <row r="6" spans="1:12" ht="7.5" customHeight="1">
      <c r="A6" s="258"/>
      <c r="B6" s="258"/>
      <c r="C6" s="258"/>
      <c r="D6" s="258"/>
      <c r="E6" s="259"/>
      <c r="F6" s="258"/>
      <c r="G6" s="258"/>
      <c r="H6" s="258"/>
      <c r="I6" s="258"/>
      <c r="J6" s="707"/>
      <c r="K6" s="260"/>
      <c r="L6" s="258"/>
    </row>
    <row r="7" spans="6:12" ht="12.75">
      <c r="F7" s="261" t="s">
        <v>201</v>
      </c>
      <c r="L7" s="261" t="s">
        <v>202</v>
      </c>
    </row>
    <row r="8" spans="1:12" ht="47.25" customHeight="1">
      <c r="A8" s="262" t="s">
        <v>791</v>
      </c>
      <c r="B8" s="262" t="s">
        <v>958</v>
      </c>
      <c r="C8" s="262" t="s">
        <v>203</v>
      </c>
      <c r="D8" s="262" t="s">
        <v>959</v>
      </c>
      <c r="E8" s="263" t="s">
        <v>204</v>
      </c>
      <c r="F8" s="264" t="s">
        <v>123</v>
      </c>
      <c r="G8" s="262" t="s">
        <v>791</v>
      </c>
      <c r="H8" s="262" t="s">
        <v>958</v>
      </c>
      <c r="I8" s="262" t="s">
        <v>203</v>
      </c>
      <c r="J8" s="144" t="s">
        <v>959</v>
      </c>
      <c r="K8" s="265" t="s">
        <v>204</v>
      </c>
      <c r="L8" s="708" t="s">
        <v>850</v>
      </c>
    </row>
    <row r="9" spans="1:12" ht="12.75">
      <c r="A9" s="266">
        <v>1</v>
      </c>
      <c r="B9" s="249">
        <v>2</v>
      </c>
      <c r="C9" s="267">
        <v>3</v>
      </c>
      <c r="D9" s="267">
        <v>4</v>
      </c>
      <c r="E9" s="268">
        <v>5</v>
      </c>
      <c r="F9" s="266">
        <v>6</v>
      </c>
      <c r="G9" s="266">
        <v>1</v>
      </c>
      <c r="H9" s="249">
        <v>2</v>
      </c>
      <c r="I9" s="267">
        <v>3</v>
      </c>
      <c r="J9" s="709">
        <v>4</v>
      </c>
      <c r="K9" s="267">
        <v>5</v>
      </c>
      <c r="L9" s="266">
        <v>6</v>
      </c>
    </row>
    <row r="10" spans="1:12" ht="12.75" customHeight="1">
      <c r="A10" s="242" t="s">
        <v>205</v>
      </c>
      <c r="B10" s="96">
        <f>SUM(B20,B28,B40,B45,B51,B58,B70,B78,B90,B96,B103,B115,B170,B179,B185)</f>
        <v>727134239</v>
      </c>
      <c r="C10" s="96">
        <f>SUM(C20,C28,C40,C45,C51,C58,C70,C78,C90,C96,C103,C115,C170,C179,C185)</f>
        <v>413536687</v>
      </c>
      <c r="D10" s="96">
        <f>SUM(D20,D28,D40,D45,D51,D58,D70,D78,D90,D96,D103,D115,D170,D179,D185)</f>
        <v>404292584</v>
      </c>
      <c r="E10" s="269">
        <f aca="true" t="shared" si="0" ref="E10:E17">D10/B10*100</f>
        <v>55.60081788419263</v>
      </c>
      <c r="F10" s="96">
        <f>SUM(F20,F28,F40,F45,F51,F58,F70,F78,F90,F96,F103,F115,F170,F179,F185)</f>
        <v>61513525</v>
      </c>
      <c r="G10" s="242" t="s">
        <v>205</v>
      </c>
      <c r="H10" s="96">
        <f>SUM(H20,H28,H40,H45,H51,H58,H70,H78,H90,H96,H103,H115,H170,H179,H185)</f>
        <v>727134</v>
      </c>
      <c r="I10" s="96">
        <f>SUM(I20,I28,I40,I45,I51,I58,I70,I78,I90,I96,I103,I115,I170,I179,I185)</f>
        <v>413537</v>
      </c>
      <c r="J10" s="96">
        <f>SUM(J20,J28,J40,J45,J51,J58,J70,J78,J90,J96,J103,J115,J170,J179,J185)</f>
        <v>404292</v>
      </c>
      <c r="K10" s="270">
        <f aca="true" t="shared" si="1" ref="K10:K17">J10/H10*100</f>
        <v>55.60075584417727</v>
      </c>
      <c r="L10" s="96">
        <f>SUM(L20,L28,L40,L45,L51,L58,L70,L78,L90,L96,L103,L115,L170,L179,L185)</f>
        <v>61513</v>
      </c>
    </row>
    <row r="11" spans="1:12" ht="12.75" customHeight="1">
      <c r="A11" s="242" t="s">
        <v>180</v>
      </c>
      <c r="B11" s="96">
        <f>B12+B14</f>
        <v>769845749</v>
      </c>
      <c r="C11" s="96">
        <f>C12+C14</f>
        <v>451403154</v>
      </c>
      <c r="D11" s="96">
        <f>D12+D14</f>
        <v>417895741</v>
      </c>
      <c r="E11" s="269">
        <f t="shared" si="0"/>
        <v>54.28304846040008</v>
      </c>
      <c r="F11" s="96">
        <f>F12+F14</f>
        <v>64713116</v>
      </c>
      <c r="G11" s="32" t="s">
        <v>180</v>
      </c>
      <c r="H11" s="96">
        <f>H12+H14</f>
        <v>769845</v>
      </c>
      <c r="I11" s="96">
        <f>I12+I14</f>
        <v>451403</v>
      </c>
      <c r="J11" s="711">
        <f>J12+J14</f>
        <v>417896</v>
      </c>
      <c r="K11" s="94">
        <f t="shared" si="1"/>
        <v>54.28313491676896</v>
      </c>
      <c r="L11" s="96">
        <f>L12+L14</f>
        <v>64713</v>
      </c>
    </row>
    <row r="12" spans="1:12" ht="12.75" customHeight="1">
      <c r="A12" s="242" t="s">
        <v>206</v>
      </c>
      <c r="B12" s="244">
        <f>SUM(B23,B38,B43,B54,B62,B74,B84,B93,B99,B109,B120,B175,B183,B188)</f>
        <v>736820824</v>
      </c>
      <c r="C12" s="244">
        <f>SUM(C23,C38,C43,C54,C62,C74,C84,C93,C99,C109,C120,C175,C183,C188)</f>
        <v>431849053</v>
      </c>
      <c r="D12" s="244">
        <f>SUM(D23,D38,D43,D54,D62,D74,D84,D93,D99,D109,D120,D175,D183,D188)</f>
        <v>406686643</v>
      </c>
      <c r="E12" s="271">
        <f t="shared" si="0"/>
        <v>55.194781384191714</v>
      </c>
      <c r="F12" s="244">
        <f>SUM(F23,F38,F43,F54,F62,F74,F84,F93,F99,F109,F120,F175,F183,F188)</f>
        <v>62241056</v>
      </c>
      <c r="G12" s="242" t="s">
        <v>206</v>
      </c>
      <c r="H12" s="244">
        <f>SUM(H23,H38,H43,H54,H62,H74,H84,H93,H99,H109,H120,H175,H183,H188)</f>
        <v>736820</v>
      </c>
      <c r="I12" s="244">
        <f>SUM(I23,I38,I43,I54,I62,I74,I84,I93,I99,I109,I120,I175,I183,I188)</f>
        <v>431849</v>
      </c>
      <c r="J12" s="244">
        <f>SUM(J23,J38,J43,J54,J62,J74,J84,J93,J99,J109,J120,J175,J183,J188)</f>
        <v>406687</v>
      </c>
      <c r="K12" s="275">
        <f t="shared" si="1"/>
        <v>55.19489156103254</v>
      </c>
      <c r="L12" s="244">
        <f>SUM(L23,L38,L43,L54,L62,L74,L84,L93,L99,L109,L120,L175,L183,L188)-2</f>
        <v>62241</v>
      </c>
    </row>
    <row r="13" spans="1:12" ht="12.75" customHeight="1">
      <c r="A13" s="276" t="s">
        <v>207</v>
      </c>
      <c r="B13" s="244">
        <f>SUM(B55,B63,B85,B110,B121,B189)</f>
        <v>5690057</v>
      </c>
      <c r="C13" s="244"/>
      <c r="D13" s="244">
        <f>SUM(D24,D55,D63,D85,D110,D189)</f>
        <v>2679580</v>
      </c>
      <c r="E13" s="271">
        <f t="shared" si="0"/>
        <v>47.09232262523908</v>
      </c>
      <c r="F13" s="244">
        <f>SUM(F24,F55,F63,F85,F110,F121,F189)</f>
        <v>2401</v>
      </c>
      <c r="G13" s="276" t="s">
        <v>207</v>
      </c>
      <c r="H13" s="244">
        <f>SUM(H55,H63,H85,H110,H121,H189)</f>
        <v>5690</v>
      </c>
      <c r="I13" s="272">
        <f>ROUND(C13/1000,0)</f>
        <v>0</v>
      </c>
      <c r="J13" s="244">
        <f>SUM(J24,J55,J63,J85,J110,J189)</f>
        <v>2679</v>
      </c>
      <c r="K13" s="275">
        <f t="shared" si="1"/>
        <v>47.08260105448155</v>
      </c>
      <c r="L13" s="272">
        <f>ROUND(F13/1000,0)</f>
        <v>2</v>
      </c>
    </row>
    <row r="14" spans="1:12" ht="12.75" customHeight="1">
      <c r="A14" s="242" t="s">
        <v>208</v>
      </c>
      <c r="B14" s="244">
        <f>SUM(B25,B56,B64,B75,B86,B94,B100,B111,B122,B176,B190)</f>
        <v>33024925</v>
      </c>
      <c r="C14" s="244">
        <f>SUM(C25,C56,C64,C75,C86,C94,C100,C111,C122,C176,C190)</f>
        <v>19554101</v>
      </c>
      <c r="D14" s="244">
        <f>SUM(D25,D56,D64,D75,D86,D94,D100,D111,D122,D176,D190)</f>
        <v>11209098</v>
      </c>
      <c r="E14" s="271">
        <f t="shared" si="0"/>
        <v>33.94132764873803</v>
      </c>
      <c r="F14" s="244">
        <f>SUM(F25,F56,F64,F75,F86,F94,F100,F111,F122,F176,F190)</f>
        <v>2472060</v>
      </c>
      <c r="G14" s="242" t="s">
        <v>208</v>
      </c>
      <c r="H14" s="244">
        <f>SUM(H25,H56,H64,H75,H86,H94,H100,H111,H122,H176,H190)</f>
        <v>33025</v>
      </c>
      <c r="I14" s="244">
        <f>SUM(I25,I56,I64,I75,I86,I94,I100,I111,I122,I176,I190)</f>
        <v>19554</v>
      </c>
      <c r="J14" s="244">
        <f>SUM(J25,J56,J64,J75,J86,J94,J100,J111,J122,J176,J190)</f>
        <v>11209</v>
      </c>
      <c r="K14" s="275">
        <f t="shared" si="1"/>
        <v>33.94095382286147</v>
      </c>
      <c r="L14" s="244">
        <f>SUM(L25,L56,L64,L75,L86,L94,L100,L111,L122,L176,L190)-2</f>
        <v>2472</v>
      </c>
    </row>
    <row r="15" spans="1:12" ht="12.75" customHeight="1">
      <c r="A15" s="242" t="s">
        <v>54</v>
      </c>
      <c r="B15" s="96">
        <f>SUM(B65)</f>
        <v>6370052</v>
      </c>
      <c r="C15" s="96">
        <f>SUM(C65)</f>
        <v>3938277</v>
      </c>
      <c r="D15" s="96">
        <f>SUM(D65)</f>
        <v>3572368</v>
      </c>
      <c r="E15" s="269">
        <f t="shared" si="0"/>
        <v>56.08067249686501</v>
      </c>
      <c r="F15" s="96">
        <f>SUM(F65)</f>
        <v>68514</v>
      </c>
      <c r="G15" s="32" t="s">
        <v>54</v>
      </c>
      <c r="H15" s="96">
        <f>SUM(H65)</f>
        <v>6370</v>
      </c>
      <c r="I15" s="96">
        <f>ROUND(C15/1000,0)</f>
        <v>3938</v>
      </c>
      <c r="J15" s="96">
        <f>SUM(J65)</f>
        <v>3572</v>
      </c>
      <c r="K15" s="94">
        <f t="shared" si="1"/>
        <v>56.07535321821037</v>
      </c>
      <c r="L15" s="96">
        <f>SUM(L65)</f>
        <v>68</v>
      </c>
    </row>
    <row r="16" spans="1:12" ht="12.75" customHeight="1">
      <c r="A16" s="242" t="s">
        <v>55</v>
      </c>
      <c r="B16" s="96">
        <f>B10-B11-B15</f>
        <v>-49081562</v>
      </c>
      <c r="C16" s="96">
        <f>C10-C11-C15</f>
        <v>-41804744</v>
      </c>
      <c r="D16" s="96">
        <f>D10-D11-D15</f>
        <v>-17175525</v>
      </c>
      <c r="E16" s="269">
        <f t="shared" si="0"/>
        <v>34.99384351296725</v>
      </c>
      <c r="F16" s="96">
        <f>F10-F11-F15</f>
        <v>-3268105</v>
      </c>
      <c r="G16" s="32" t="s">
        <v>55</v>
      </c>
      <c r="H16" s="96">
        <f>H10-H11-H15</f>
        <v>-49081</v>
      </c>
      <c r="I16" s="96">
        <f>I10-I11-I15</f>
        <v>-41804</v>
      </c>
      <c r="J16" s="710">
        <f>J10-J11-J15</f>
        <v>-17176</v>
      </c>
      <c r="K16" s="94">
        <f t="shared" si="1"/>
        <v>34.99521199649559</v>
      </c>
      <c r="L16" s="96">
        <f>L10-L11-L15</f>
        <v>-3268</v>
      </c>
    </row>
    <row r="17" spans="1:12" ht="12.75" customHeight="1">
      <c r="A17" s="69" t="s">
        <v>209</v>
      </c>
      <c r="B17" s="96">
        <f>SUM(B67,B88,B113,B124,B192)</f>
        <v>48047657</v>
      </c>
      <c r="C17" s="96">
        <f>SUM(C67,C88,C113,C124,C192)</f>
        <v>41846917</v>
      </c>
      <c r="D17" s="96">
        <f>SUM(D67,D88,D113,D124,D192)</f>
        <v>27153656</v>
      </c>
      <c r="E17" s="269">
        <f t="shared" si="0"/>
        <v>56.514006499838274</v>
      </c>
      <c r="F17" s="96">
        <f>SUM(F67,F88,F113,F124,F192)</f>
        <v>5103944</v>
      </c>
      <c r="G17" s="76" t="s">
        <v>209</v>
      </c>
      <c r="H17" s="96">
        <f>SUM(H67,H88,H113,H124,H192)</f>
        <v>48047</v>
      </c>
      <c r="I17" s="96">
        <f>SUM(I67,I88,I113,I124,I192)</f>
        <v>41847</v>
      </c>
      <c r="J17" s="96">
        <f>SUM(J67,J88,J113,J124,J192)</f>
        <v>27154</v>
      </c>
      <c r="K17" s="94">
        <f t="shared" si="1"/>
        <v>56.51549524424001</v>
      </c>
      <c r="L17" s="96">
        <f>SUM(L67,L88,L113,L124,L192)-1</f>
        <v>5104</v>
      </c>
    </row>
    <row r="18" spans="1:12" ht="20.25" customHeight="1">
      <c r="A18" s="32" t="s">
        <v>68</v>
      </c>
      <c r="B18" s="273"/>
      <c r="C18" s="273"/>
      <c r="D18" s="273"/>
      <c r="E18" s="271"/>
      <c r="F18" s="273"/>
      <c r="G18" s="32" t="s">
        <v>68</v>
      </c>
      <c r="H18" s="273"/>
      <c r="I18" s="273"/>
      <c r="J18" s="713"/>
      <c r="K18" s="275"/>
      <c r="L18" s="273"/>
    </row>
    <row r="19" spans="1:12" ht="12.75" customHeight="1">
      <c r="A19" s="464" t="s">
        <v>210</v>
      </c>
      <c r="B19" s="273"/>
      <c r="C19" s="273"/>
      <c r="D19" s="273"/>
      <c r="E19" s="271"/>
      <c r="F19" s="273"/>
      <c r="G19" s="464" t="s">
        <v>210</v>
      </c>
      <c r="H19" s="273"/>
      <c r="I19" s="273"/>
      <c r="J19" s="713"/>
      <c r="K19" s="275"/>
      <c r="L19" s="273"/>
    </row>
    <row r="20" spans="1:12" ht="12.75" customHeight="1">
      <c r="A20" s="242" t="s">
        <v>211</v>
      </c>
      <c r="B20" s="244">
        <f>B21</f>
        <v>2874300</v>
      </c>
      <c r="C20" s="714">
        <v>1724300</v>
      </c>
      <c r="D20" s="717">
        <f>D21</f>
        <v>1138244</v>
      </c>
      <c r="E20" s="271">
        <f>D20/B20*100</f>
        <v>39.60073757088682</v>
      </c>
      <c r="F20" s="273">
        <f>SUM(F21)</f>
        <v>131935</v>
      </c>
      <c r="G20" s="242" t="s">
        <v>211</v>
      </c>
      <c r="H20" s="244">
        <f>H21</f>
        <v>2874</v>
      </c>
      <c r="I20" s="244">
        <f>ROUND(C20/1000,0)</f>
        <v>1724</v>
      </c>
      <c r="J20" s="714">
        <f>J21</f>
        <v>1138</v>
      </c>
      <c r="K20" s="275">
        <f>J20/H20*100</f>
        <v>39.59638135003479</v>
      </c>
      <c r="L20" s="273">
        <f>SUM(L21)</f>
        <v>132</v>
      </c>
    </row>
    <row r="21" spans="1:12" ht="12.75" customHeight="1">
      <c r="A21" s="242" t="s">
        <v>212</v>
      </c>
      <c r="B21" s="244">
        <v>2874300</v>
      </c>
      <c r="C21" s="714"/>
      <c r="D21" s="714">
        <f>'[8]Jūlijs'!$K$6</f>
        <v>1138244</v>
      </c>
      <c r="E21" s="271">
        <f>D21/B21*100</f>
        <v>39.60073757088682</v>
      </c>
      <c r="F21" s="273">
        <f>D21-'[7]Junijs'!D21</f>
        <v>131935</v>
      </c>
      <c r="G21" s="242" t="s">
        <v>212</v>
      </c>
      <c r="H21" s="244">
        <f>ROUND(B21/1000,0)</f>
        <v>2874</v>
      </c>
      <c r="I21" s="244"/>
      <c r="J21" s="714">
        <f>ROUND(D21/1000,0)</f>
        <v>1138</v>
      </c>
      <c r="K21" s="275">
        <f>J21/H21*100</f>
        <v>39.59638135003479</v>
      </c>
      <c r="L21" s="273">
        <f>J21-'[7]Junijs'!J21</f>
        <v>132</v>
      </c>
    </row>
    <row r="22" spans="1:12" ht="12.75" customHeight="1">
      <c r="A22" s="242" t="s">
        <v>213</v>
      </c>
      <c r="B22" s="273">
        <f>B23+B25</f>
        <v>2874300</v>
      </c>
      <c r="C22" s="712">
        <f>C23+C25</f>
        <v>1724300</v>
      </c>
      <c r="D22" s="712">
        <f>D23+D25</f>
        <v>1010018</v>
      </c>
      <c r="E22" s="271">
        <f>D22/B22*100</f>
        <v>35.13961660230317</v>
      </c>
      <c r="F22" s="273">
        <f>SUM(F23:F25)</f>
        <v>118664</v>
      </c>
      <c r="G22" s="242" t="s">
        <v>213</v>
      </c>
      <c r="H22" s="273">
        <f>H23+H25</f>
        <v>2874</v>
      </c>
      <c r="I22" s="244">
        <f>SUM(I23:I25)</f>
        <v>1724</v>
      </c>
      <c r="J22" s="714">
        <f>SUM(J23+J25)</f>
        <v>1010</v>
      </c>
      <c r="K22" s="275">
        <f>J22/H22*100</f>
        <v>35.142658315935975</v>
      </c>
      <c r="L22" s="273">
        <f>SUM(L23:L25)</f>
        <v>119</v>
      </c>
    </row>
    <row r="23" spans="1:12" ht="12.75" customHeight="1">
      <c r="A23" s="242" t="s">
        <v>214</v>
      </c>
      <c r="B23" s="244">
        <v>2856700</v>
      </c>
      <c r="C23" s="714">
        <v>1706700</v>
      </c>
      <c r="D23" s="714">
        <f>'[8]Jūlijs'!$K$8</f>
        <v>997370</v>
      </c>
      <c r="E23" s="271">
        <f>D23/B23*100</f>
        <v>34.91336157104351</v>
      </c>
      <c r="F23" s="273">
        <f>D23-'[7]Junijs'!D23</f>
        <v>119204</v>
      </c>
      <c r="G23" s="242" t="s">
        <v>214</v>
      </c>
      <c r="H23" s="244">
        <f>ROUND(B23/1000,0)-1</f>
        <v>2856</v>
      </c>
      <c r="I23" s="244">
        <f>ROUND(C23/1000,0)</f>
        <v>1707</v>
      </c>
      <c r="J23" s="714">
        <f>ROUND(D23/1000,0)</f>
        <v>997</v>
      </c>
      <c r="K23" s="275">
        <f>J23/H23*100</f>
        <v>34.90896358543417</v>
      </c>
      <c r="L23" s="273">
        <f>J23-'[7]Junijs'!J23</f>
        <v>119</v>
      </c>
    </row>
    <row r="24" spans="1:12" ht="12.75" customHeight="1" hidden="1">
      <c r="A24" s="276" t="s">
        <v>207</v>
      </c>
      <c r="B24" s="244"/>
      <c r="C24" s="714"/>
      <c r="D24" s="714"/>
      <c r="E24" s="271"/>
      <c r="F24" s="273">
        <f>D24-'[7]Junijs'!D24</f>
        <v>0</v>
      </c>
      <c r="G24" s="276" t="s">
        <v>207</v>
      </c>
      <c r="H24" s="244">
        <f>SUM(H25:H26)</f>
        <v>18</v>
      </c>
      <c r="I24" s="244"/>
      <c r="J24" s="714"/>
      <c r="K24" s="275"/>
      <c r="L24" s="273">
        <f>J24-'[7]Junijs'!J24</f>
        <v>0</v>
      </c>
    </row>
    <row r="25" spans="1:12" ht="12.75" customHeight="1">
      <c r="A25" s="242" t="s">
        <v>208</v>
      </c>
      <c r="B25" s="244">
        <v>17600</v>
      </c>
      <c r="C25" s="714">
        <v>17600</v>
      </c>
      <c r="D25" s="714">
        <f>'[8]Jūlijs'!$K$31</f>
        <v>12648</v>
      </c>
      <c r="E25" s="271">
        <f>D25/B25*100</f>
        <v>71.86363636363636</v>
      </c>
      <c r="F25" s="273">
        <f>D25-'[7]Junijs'!D25</f>
        <v>-540</v>
      </c>
      <c r="G25" s="242" t="s">
        <v>208</v>
      </c>
      <c r="H25" s="244">
        <f>ROUND(B25/1000,0)</f>
        <v>18</v>
      </c>
      <c r="I25" s="244">
        <f>ROUND(C25/1000,0)-1</f>
        <v>17</v>
      </c>
      <c r="J25" s="714">
        <f>ROUND(D25/1000,0)</f>
        <v>13</v>
      </c>
      <c r="K25" s="275">
        <f>J25/H25*100</f>
        <v>72.22222222222221</v>
      </c>
      <c r="L25" s="273">
        <f>J25-'[7]Junijs'!J25</f>
        <v>0</v>
      </c>
    </row>
    <row r="26" spans="1:12" ht="12.75" customHeight="1">
      <c r="A26" s="32" t="s">
        <v>70</v>
      </c>
      <c r="B26" s="273"/>
      <c r="C26" s="712"/>
      <c r="D26" s="712"/>
      <c r="E26" s="271"/>
      <c r="F26" s="273"/>
      <c r="G26" s="32" t="s">
        <v>70</v>
      </c>
      <c r="H26" s="273"/>
      <c r="I26" s="244"/>
      <c r="J26" s="714"/>
      <c r="K26" s="275"/>
      <c r="L26" s="273"/>
    </row>
    <row r="27" spans="1:12" ht="24" customHeight="1">
      <c r="A27" s="92" t="s">
        <v>215</v>
      </c>
      <c r="B27" s="273"/>
      <c r="C27" s="712"/>
      <c r="D27" s="712"/>
      <c r="E27" s="271"/>
      <c r="F27" s="273">
        <f>D27-'[7]Junijs'!D27</f>
        <v>0</v>
      </c>
      <c r="G27" s="128" t="s">
        <v>215</v>
      </c>
      <c r="H27" s="273"/>
      <c r="I27" s="244"/>
      <c r="J27" s="714"/>
      <c r="K27" s="275"/>
      <c r="L27" s="273"/>
    </row>
    <row r="28" spans="1:12" ht="12.75" customHeight="1">
      <c r="A28" s="242" t="s">
        <v>211</v>
      </c>
      <c r="B28" s="273">
        <f>B29+B34+B35+B36</f>
        <v>2890000</v>
      </c>
      <c r="C28" s="713">
        <v>1544100</v>
      </c>
      <c r="D28" s="712">
        <f>D29+D34+D35+D36</f>
        <v>1621958</v>
      </c>
      <c r="E28" s="271">
        <f aca="true" t="shared" si="2" ref="E28:E38">D28/B28*100</f>
        <v>56.12311418685121</v>
      </c>
      <c r="F28" s="273">
        <f>SUM(F29,F34,F35,F36)</f>
        <v>299941</v>
      </c>
      <c r="G28" s="242" t="s">
        <v>211</v>
      </c>
      <c r="H28" s="273">
        <f>H29+H34+H35+H36</f>
        <v>2890</v>
      </c>
      <c r="I28" s="244">
        <f>ROUND(C28/1000,0)</f>
        <v>1544</v>
      </c>
      <c r="J28" s="712">
        <f>J29+J34+J35+J36</f>
        <v>1621</v>
      </c>
      <c r="K28" s="275">
        <f aca="true" t="shared" si="3" ref="K28:K35">J28/H28*100</f>
        <v>56.089965397923876</v>
      </c>
      <c r="L28" s="273">
        <f>SUM(L29,L34,L35,L36)</f>
        <v>300</v>
      </c>
    </row>
    <row r="29" spans="1:12" ht="12.75" customHeight="1">
      <c r="A29" s="69" t="s">
        <v>216</v>
      </c>
      <c r="B29" s="244">
        <f>SUM(B30:B33)</f>
        <v>2555000</v>
      </c>
      <c r="C29" s="274"/>
      <c r="D29" s="244">
        <f>SUM(D30:D33)</f>
        <v>1267647</v>
      </c>
      <c r="E29" s="271">
        <f t="shared" si="2"/>
        <v>49.61436399217221</v>
      </c>
      <c r="F29" s="273">
        <f>SUM(F30:F33)</f>
        <v>269263</v>
      </c>
      <c r="G29" s="69" t="s">
        <v>216</v>
      </c>
      <c r="H29" s="244">
        <f>SUM(H30:H33)</f>
        <v>2555</v>
      </c>
      <c r="I29" s="244"/>
      <c r="J29" s="714">
        <f>SUM(J30:J33)</f>
        <v>1267</v>
      </c>
      <c r="K29" s="275">
        <f t="shared" si="3"/>
        <v>49.589041095890416</v>
      </c>
      <c r="L29" s="273">
        <f>SUM(L30:L33)</f>
        <v>269</v>
      </c>
    </row>
    <row r="30" spans="1:12" ht="51">
      <c r="A30" s="77" t="s">
        <v>217</v>
      </c>
      <c r="B30" s="244">
        <v>2000000</v>
      </c>
      <c r="C30" s="274"/>
      <c r="D30" s="274">
        <v>913346</v>
      </c>
      <c r="E30" s="271">
        <f t="shared" si="2"/>
        <v>45.6673</v>
      </c>
      <c r="F30" s="273">
        <f>D30-'[7]Junijs'!D30</f>
        <v>168775</v>
      </c>
      <c r="G30" s="77" t="s">
        <v>217</v>
      </c>
      <c r="H30" s="244">
        <f aca="true" t="shared" si="4" ref="H30:H36">ROUND(B30/1000,0)</f>
        <v>2000</v>
      </c>
      <c r="I30" s="244"/>
      <c r="J30" s="714">
        <f aca="true" t="shared" si="5" ref="J30:J36">ROUND(D30/1000,0)</f>
        <v>913</v>
      </c>
      <c r="K30" s="275">
        <f t="shared" si="3"/>
        <v>45.65</v>
      </c>
      <c r="L30" s="273">
        <f>J30-'[7]Junijs'!J30+1</f>
        <v>169</v>
      </c>
    </row>
    <row r="31" spans="1:12" ht="38.25">
      <c r="A31" s="77" t="s">
        <v>218</v>
      </c>
      <c r="B31" s="244">
        <v>240000</v>
      </c>
      <c r="C31" s="274"/>
      <c r="D31" s="274">
        <v>160193</v>
      </c>
      <c r="E31" s="271">
        <f t="shared" si="2"/>
        <v>66.74708333333334</v>
      </c>
      <c r="F31" s="273">
        <f>D31-'[7]Junijs'!D31</f>
        <v>55968</v>
      </c>
      <c r="G31" s="77" t="s">
        <v>218</v>
      </c>
      <c r="H31" s="244">
        <f t="shared" si="4"/>
        <v>240</v>
      </c>
      <c r="I31" s="244"/>
      <c r="J31" s="714">
        <f t="shared" si="5"/>
        <v>160</v>
      </c>
      <c r="K31" s="275">
        <f t="shared" si="3"/>
        <v>66.66666666666666</v>
      </c>
      <c r="L31" s="273">
        <f>J31-'[7]Junijs'!J31</f>
        <v>56</v>
      </c>
    </row>
    <row r="32" spans="1:12" ht="25.5" customHeight="1">
      <c r="A32" s="77" t="s">
        <v>219</v>
      </c>
      <c r="B32" s="244">
        <v>145000</v>
      </c>
      <c r="C32" s="274"/>
      <c r="D32" s="274">
        <v>92026</v>
      </c>
      <c r="E32" s="271">
        <f t="shared" si="2"/>
        <v>63.466206896551725</v>
      </c>
      <c r="F32" s="273">
        <f>D32-'[7]Junijs'!D32</f>
        <v>29056</v>
      </c>
      <c r="G32" s="77" t="s">
        <v>219</v>
      </c>
      <c r="H32" s="244">
        <f t="shared" si="4"/>
        <v>145</v>
      </c>
      <c r="I32" s="244"/>
      <c r="J32" s="714">
        <f t="shared" si="5"/>
        <v>92</v>
      </c>
      <c r="K32" s="275">
        <f t="shared" si="3"/>
        <v>63.44827586206897</v>
      </c>
      <c r="L32" s="273">
        <f>J32-'[7]Junijs'!J32</f>
        <v>29</v>
      </c>
    </row>
    <row r="33" spans="1:12" ht="38.25">
      <c r="A33" s="77" t="s">
        <v>220</v>
      </c>
      <c r="B33" s="244">
        <v>170000</v>
      </c>
      <c r="C33" s="274"/>
      <c r="D33" s="274">
        <v>102082</v>
      </c>
      <c r="E33" s="271">
        <f t="shared" si="2"/>
        <v>60.048235294117646</v>
      </c>
      <c r="F33" s="273">
        <f>D33-'[7]Junijs'!D33</f>
        <v>15464</v>
      </c>
      <c r="G33" s="77" t="s">
        <v>220</v>
      </c>
      <c r="H33" s="244">
        <f t="shared" si="4"/>
        <v>170</v>
      </c>
      <c r="I33" s="244"/>
      <c r="J33" s="714">
        <f t="shared" si="5"/>
        <v>102</v>
      </c>
      <c r="K33" s="275">
        <f t="shared" si="3"/>
        <v>60</v>
      </c>
      <c r="L33" s="273">
        <f>J33-'[7]Junijs'!J33</f>
        <v>15</v>
      </c>
    </row>
    <row r="34" spans="1:12" ht="12.75" customHeight="1">
      <c r="A34" s="69" t="s">
        <v>221</v>
      </c>
      <c r="B34" s="244">
        <v>160000</v>
      </c>
      <c r="C34" s="274"/>
      <c r="D34" s="274">
        <v>84231</v>
      </c>
      <c r="E34" s="271">
        <f t="shared" si="2"/>
        <v>52.644375</v>
      </c>
      <c r="F34" s="273">
        <f>D34-'[7]Junijs'!D34</f>
        <v>-8</v>
      </c>
      <c r="G34" s="69" t="s">
        <v>221</v>
      </c>
      <c r="H34" s="244">
        <f t="shared" si="4"/>
        <v>160</v>
      </c>
      <c r="I34" s="244"/>
      <c r="J34" s="714">
        <f t="shared" si="5"/>
        <v>84</v>
      </c>
      <c r="K34" s="275">
        <f t="shared" si="3"/>
        <v>52.5</v>
      </c>
      <c r="L34" s="273">
        <f>J34-'[7]Junijs'!J34</f>
        <v>0</v>
      </c>
    </row>
    <row r="35" spans="1:12" ht="12.75" customHeight="1">
      <c r="A35" s="69" t="s">
        <v>222</v>
      </c>
      <c r="B35" s="244">
        <v>170000</v>
      </c>
      <c r="C35" s="274"/>
      <c r="D35" s="274">
        <v>125477</v>
      </c>
      <c r="E35" s="271">
        <f t="shared" si="2"/>
        <v>73.81</v>
      </c>
      <c r="F35" s="273">
        <f>D35-'[7]Junijs'!D35</f>
        <v>15469</v>
      </c>
      <c r="G35" s="69" t="s">
        <v>222</v>
      </c>
      <c r="H35" s="244">
        <f t="shared" si="4"/>
        <v>170</v>
      </c>
      <c r="I35" s="244"/>
      <c r="J35" s="714">
        <f t="shared" si="5"/>
        <v>125</v>
      </c>
      <c r="K35" s="275">
        <f t="shared" si="3"/>
        <v>73.52941176470588</v>
      </c>
      <c r="L35" s="273">
        <f>J35-'[7]Junijs'!J35</f>
        <v>15</v>
      </c>
    </row>
    <row r="36" spans="1:12" ht="12.75" customHeight="1">
      <c r="A36" s="279" t="s">
        <v>223</v>
      </c>
      <c r="B36" s="244">
        <v>5000</v>
      </c>
      <c r="C36" s="274"/>
      <c r="D36" s="274">
        <f>144603</f>
        <v>144603</v>
      </c>
      <c r="E36" s="271">
        <f t="shared" si="2"/>
        <v>2892.06</v>
      </c>
      <c r="F36" s="273">
        <f>D36-'[7]Junijs'!D36</f>
        <v>15217</v>
      </c>
      <c r="G36" s="279" t="s">
        <v>223</v>
      </c>
      <c r="H36" s="244">
        <f t="shared" si="4"/>
        <v>5</v>
      </c>
      <c r="I36" s="244"/>
      <c r="J36" s="714">
        <f t="shared" si="5"/>
        <v>145</v>
      </c>
      <c r="K36" s="275"/>
      <c r="L36" s="273">
        <f>J36-'[7]Junijs'!J36</f>
        <v>16</v>
      </c>
    </row>
    <row r="37" spans="1:12" ht="12.75" customHeight="1">
      <c r="A37" s="242" t="s">
        <v>213</v>
      </c>
      <c r="B37" s="273">
        <f>B38</f>
        <v>1275000</v>
      </c>
      <c r="C37" s="273">
        <f>C38</f>
        <v>746080</v>
      </c>
      <c r="D37" s="273">
        <f>D38</f>
        <v>432239</v>
      </c>
      <c r="E37" s="271">
        <f t="shared" si="2"/>
        <v>33.90109803921569</v>
      </c>
      <c r="F37" s="273">
        <f>F38</f>
        <v>57891</v>
      </c>
      <c r="G37" s="242" t="s">
        <v>213</v>
      </c>
      <c r="H37" s="273">
        <f>H38</f>
        <v>1275</v>
      </c>
      <c r="I37" s="244">
        <f>ROUND(C37/1000,0)</f>
        <v>746</v>
      </c>
      <c r="J37" s="714">
        <f>SUM(J38)</f>
        <v>432</v>
      </c>
      <c r="K37" s="275">
        <f>J37/H37*100</f>
        <v>33.88235294117647</v>
      </c>
      <c r="L37" s="273">
        <f>L38</f>
        <v>58</v>
      </c>
    </row>
    <row r="38" spans="1:12" ht="12.75" customHeight="1">
      <c r="A38" s="242" t="s">
        <v>214</v>
      </c>
      <c r="B38" s="244">
        <v>1275000</v>
      </c>
      <c r="C38" s="274">
        <v>746080</v>
      </c>
      <c r="D38" s="274">
        <f>'[8]Jūlijs'!$W$8</f>
        <v>432239</v>
      </c>
      <c r="E38" s="271">
        <f t="shared" si="2"/>
        <v>33.90109803921569</v>
      </c>
      <c r="F38" s="273">
        <f>D38-'[7]Junijs'!D38</f>
        <v>57891</v>
      </c>
      <c r="G38" s="242" t="s">
        <v>214</v>
      </c>
      <c r="H38" s="244">
        <f>ROUND(B38/1000,0)</f>
        <v>1275</v>
      </c>
      <c r="I38" s="244">
        <f>ROUND(C38/1000,0)</f>
        <v>746</v>
      </c>
      <c r="J38" s="714">
        <f>ROUND(D38/1000,0)</f>
        <v>432</v>
      </c>
      <c r="K38" s="275">
        <f>J38/H38*100</f>
        <v>33.88235294117647</v>
      </c>
      <c r="L38" s="273">
        <f>J38-'[7]Junijs'!J38</f>
        <v>58</v>
      </c>
    </row>
    <row r="39" spans="1:12" ht="24" customHeight="1">
      <c r="A39" s="92" t="s">
        <v>224</v>
      </c>
      <c r="B39" s="112"/>
      <c r="C39" s="112"/>
      <c r="D39" s="112"/>
      <c r="E39" s="271"/>
      <c r="F39" s="273"/>
      <c r="G39" s="92" t="s">
        <v>224</v>
      </c>
      <c r="H39" s="112"/>
      <c r="I39" s="244"/>
      <c r="J39" s="714"/>
      <c r="K39" s="275"/>
      <c r="L39" s="273"/>
    </row>
    <row r="40" spans="1:12" ht="12.75" customHeight="1">
      <c r="A40" s="242" t="s">
        <v>211</v>
      </c>
      <c r="B40" s="273">
        <f>B41</f>
        <v>500000</v>
      </c>
      <c r="C40" s="277">
        <v>500000</v>
      </c>
      <c r="D40" s="712">
        <f>D41</f>
        <v>1237550</v>
      </c>
      <c r="E40" s="271">
        <f>D40/B40*100</f>
        <v>247.51</v>
      </c>
      <c r="F40" s="273">
        <f>F41</f>
        <v>422085</v>
      </c>
      <c r="G40" s="242" t="s">
        <v>211</v>
      </c>
      <c r="H40" s="273">
        <f>H41</f>
        <v>500</v>
      </c>
      <c r="I40" s="244">
        <f>ROUND(C40/1000,0)</f>
        <v>500</v>
      </c>
      <c r="J40" s="714">
        <f>J41</f>
        <v>1238</v>
      </c>
      <c r="K40" s="275">
        <f>J40/H40*100</f>
        <v>247.6</v>
      </c>
      <c r="L40" s="273">
        <f>L41</f>
        <v>423</v>
      </c>
    </row>
    <row r="41" spans="1:12" ht="12.75" customHeight="1">
      <c r="A41" s="280" t="s">
        <v>225</v>
      </c>
      <c r="B41" s="244">
        <v>500000</v>
      </c>
      <c r="C41" s="274"/>
      <c r="D41" s="714">
        <f>'[8]Jūlijs'!$X$6</f>
        <v>1237550</v>
      </c>
      <c r="E41" s="271">
        <f>D41/B41*100</f>
        <v>247.51</v>
      </c>
      <c r="F41" s="273">
        <f>D41-'[7]Junijs'!D41</f>
        <v>422085</v>
      </c>
      <c r="G41" s="280" t="s">
        <v>225</v>
      </c>
      <c r="H41" s="244">
        <f>ROUND(B41/1000,0)</f>
        <v>500</v>
      </c>
      <c r="I41" s="244"/>
      <c r="J41" s="714">
        <f>ROUND(D41/1000,0)</f>
        <v>1238</v>
      </c>
      <c r="K41" s="275">
        <f>J41/H41*100</f>
        <v>247.6</v>
      </c>
      <c r="L41" s="273">
        <f>J41-'[7]Junijs'!J41</f>
        <v>423</v>
      </c>
    </row>
    <row r="42" spans="1:12" ht="12.75" customHeight="1">
      <c r="A42" s="242" t="s">
        <v>213</v>
      </c>
      <c r="B42" s="273">
        <f>B43</f>
        <v>31300</v>
      </c>
      <c r="C42" s="273">
        <f>C43</f>
        <v>31300</v>
      </c>
      <c r="D42" s="712">
        <f>D43</f>
        <v>29817</v>
      </c>
      <c r="E42" s="271">
        <f>D42/B42*100</f>
        <v>95.26198083067092</v>
      </c>
      <c r="F42" s="273">
        <f>SUM(F43)</f>
        <v>0</v>
      </c>
      <c r="G42" s="242" t="s">
        <v>213</v>
      </c>
      <c r="H42" s="273">
        <f>H43</f>
        <v>31</v>
      </c>
      <c r="I42" s="244">
        <f>ROUND(C42/1000,0)</f>
        <v>31</v>
      </c>
      <c r="J42" s="714">
        <f>J43</f>
        <v>30</v>
      </c>
      <c r="K42" s="275">
        <f>J42/H42*100</f>
        <v>96.7741935483871</v>
      </c>
      <c r="L42" s="273">
        <f>SUM(L43)</f>
        <v>0</v>
      </c>
    </row>
    <row r="43" spans="1:12" ht="12.75" customHeight="1">
      <c r="A43" s="242" t="s">
        <v>226</v>
      </c>
      <c r="B43" s="244">
        <v>31300</v>
      </c>
      <c r="C43" s="274">
        <v>31300</v>
      </c>
      <c r="D43" s="714">
        <f>'[8]Jūlijs'!$X$7</f>
        <v>29817</v>
      </c>
      <c r="E43" s="271">
        <f>D43/B43*100</f>
        <v>95.26198083067092</v>
      </c>
      <c r="F43" s="273">
        <f>D43-'[7]Junijs'!D43</f>
        <v>0</v>
      </c>
      <c r="G43" s="242" t="s">
        <v>226</v>
      </c>
      <c r="H43" s="244">
        <f>ROUND(B43/1000,0)</f>
        <v>31</v>
      </c>
      <c r="I43" s="244">
        <f>ROUND(C43/1000,0)</f>
        <v>31</v>
      </c>
      <c r="J43" s="714">
        <f>ROUND(D43/1000,0)</f>
        <v>30</v>
      </c>
      <c r="K43" s="275">
        <f>J43/H43*100</f>
        <v>96.7741935483871</v>
      </c>
      <c r="L43" s="273">
        <f>J43-'[7]Junijs'!J43</f>
        <v>0</v>
      </c>
    </row>
    <row r="44" spans="1:12" ht="12.75" customHeight="1">
      <c r="A44" s="92" t="s">
        <v>227</v>
      </c>
      <c r="B44" s="244"/>
      <c r="C44" s="244"/>
      <c r="D44" s="717"/>
      <c r="E44" s="271"/>
      <c r="F44" s="273"/>
      <c r="G44" s="92" t="s">
        <v>227</v>
      </c>
      <c r="H44" s="244"/>
      <c r="I44" s="244"/>
      <c r="J44" s="714"/>
      <c r="K44" s="275"/>
      <c r="L44" s="273"/>
    </row>
    <row r="45" spans="1:12" ht="12.75" customHeight="1">
      <c r="A45" s="242" t="s">
        <v>211</v>
      </c>
      <c r="B45" s="244">
        <f>B46</f>
        <v>75000</v>
      </c>
      <c r="C45" s="274">
        <v>75000</v>
      </c>
      <c r="D45" s="717">
        <f>D46</f>
        <v>109721</v>
      </c>
      <c r="E45" s="271">
        <f>D45/B45*100</f>
        <v>146.29466666666667</v>
      </c>
      <c r="F45" s="273">
        <f>F46</f>
        <v>33262</v>
      </c>
      <c r="G45" s="242" t="s">
        <v>211</v>
      </c>
      <c r="H45" s="244">
        <f>H46</f>
        <v>75</v>
      </c>
      <c r="I45" s="244">
        <f>ROUND(C45/1000,0)</f>
        <v>75</v>
      </c>
      <c r="J45" s="714">
        <f>ROUND(D45/1000,0)</f>
        <v>110</v>
      </c>
      <c r="K45" s="275">
        <f>J45/H45*100</f>
        <v>146.66666666666666</v>
      </c>
      <c r="L45" s="273">
        <f>L46</f>
        <v>33</v>
      </c>
    </row>
    <row r="46" spans="1:12" ht="12.75" customHeight="1">
      <c r="A46" s="69" t="s">
        <v>216</v>
      </c>
      <c r="B46" s="244">
        <v>75000</v>
      </c>
      <c r="C46" s="274"/>
      <c r="D46" s="274">
        <f>D47+D48</f>
        <v>109721</v>
      </c>
      <c r="E46" s="271">
        <f>D46/B46*100</f>
        <v>146.29466666666667</v>
      </c>
      <c r="F46" s="273">
        <f>SUM(F47:F48)</f>
        <v>33262</v>
      </c>
      <c r="G46" s="69" t="s">
        <v>216</v>
      </c>
      <c r="H46" s="244">
        <f>SUM(H47:H48)</f>
        <v>75</v>
      </c>
      <c r="I46" s="244"/>
      <c r="J46" s="714">
        <f>ROUND(D46/1000,0)</f>
        <v>110</v>
      </c>
      <c r="K46" s="275">
        <f>J46/H46*100</f>
        <v>146.66666666666666</v>
      </c>
      <c r="L46" s="273">
        <f>SUM(L47:L48)</f>
        <v>33</v>
      </c>
    </row>
    <row r="47" spans="1:12" ht="12.75">
      <c r="A47" s="77" t="s">
        <v>228</v>
      </c>
      <c r="B47" s="244">
        <v>15000</v>
      </c>
      <c r="C47" s="274"/>
      <c r="D47" s="274">
        <v>14137</v>
      </c>
      <c r="E47" s="271">
        <f>D47/B47*100</f>
        <v>94.24666666666667</v>
      </c>
      <c r="F47" s="273">
        <f>D47-'[7]Junijs'!D47</f>
        <v>3456</v>
      </c>
      <c r="G47" s="77" t="s">
        <v>228</v>
      </c>
      <c r="H47" s="244">
        <f>ROUND(B47/1000,0)</f>
        <v>15</v>
      </c>
      <c r="I47" s="244"/>
      <c r="J47" s="714">
        <f>ROUND(D47/1000,0)</f>
        <v>14</v>
      </c>
      <c r="K47" s="275">
        <f>J47/H47*100</f>
        <v>93.33333333333333</v>
      </c>
      <c r="L47" s="273">
        <f>J47-'[7]Junijs'!J47</f>
        <v>3</v>
      </c>
    </row>
    <row r="48" spans="1:12" ht="12.75">
      <c r="A48" s="77" t="s">
        <v>229</v>
      </c>
      <c r="B48" s="244">
        <v>60000</v>
      </c>
      <c r="C48" s="274"/>
      <c r="D48" s="274">
        <v>95584</v>
      </c>
      <c r="E48" s="271">
        <f>D48/B48*100</f>
        <v>159.30666666666667</v>
      </c>
      <c r="F48" s="273">
        <f>D48-'[7]Junijs'!D48</f>
        <v>29806</v>
      </c>
      <c r="G48" s="77" t="s">
        <v>229</v>
      </c>
      <c r="H48" s="244">
        <f>ROUND(B48/1000,0)</f>
        <v>60</v>
      </c>
      <c r="I48" s="244"/>
      <c r="J48" s="714">
        <f>ROUND(D48/1000,0)</f>
        <v>96</v>
      </c>
      <c r="K48" s="275">
        <f>J48/H48*100</f>
        <v>160</v>
      </c>
      <c r="L48" s="273">
        <f>J48-'[7]Junijs'!J48</f>
        <v>30</v>
      </c>
    </row>
    <row r="49" spans="1:12" ht="12.75" customHeight="1">
      <c r="A49" s="32" t="s">
        <v>74</v>
      </c>
      <c r="B49" s="273"/>
      <c r="C49" s="273"/>
      <c r="D49" s="273"/>
      <c r="E49" s="271"/>
      <c r="F49" s="273"/>
      <c r="G49" s="32" t="s">
        <v>74</v>
      </c>
      <c r="H49" s="273"/>
      <c r="I49" s="244"/>
      <c r="J49" s="714"/>
      <c r="K49" s="275"/>
      <c r="L49" s="273"/>
    </row>
    <row r="50" spans="1:12" ht="12.75" customHeight="1">
      <c r="A50" s="236" t="s">
        <v>230</v>
      </c>
      <c r="B50" s="273"/>
      <c r="C50" s="273"/>
      <c r="D50" s="712"/>
      <c r="E50" s="271"/>
      <c r="F50" s="273"/>
      <c r="G50" s="236" t="s">
        <v>230</v>
      </c>
      <c r="H50" s="273"/>
      <c r="I50" s="244"/>
      <c r="J50" s="714"/>
      <c r="K50" s="275"/>
      <c r="L50" s="273"/>
    </row>
    <row r="51" spans="1:12" ht="12.75" customHeight="1">
      <c r="A51" s="242" t="s">
        <v>211</v>
      </c>
      <c r="B51" s="273">
        <f>B52</f>
        <v>1508663</v>
      </c>
      <c r="C51" s="277">
        <v>1047825</v>
      </c>
      <c r="D51" s="712">
        <f>D52</f>
        <v>1047825</v>
      </c>
      <c r="E51" s="271">
        <f aca="true" t="shared" si="6" ref="E51:E56">D51/B51*100</f>
        <v>69.45388068773477</v>
      </c>
      <c r="F51" s="273">
        <f>F52</f>
        <v>56665</v>
      </c>
      <c r="G51" s="242" t="s">
        <v>211</v>
      </c>
      <c r="H51" s="273">
        <f>H52</f>
        <v>1509</v>
      </c>
      <c r="I51" s="244">
        <f>ROUND(C51/1000,0)</f>
        <v>1048</v>
      </c>
      <c r="J51" s="714">
        <f>J52</f>
        <v>1048</v>
      </c>
      <c r="K51" s="275">
        <f aca="true" t="shared" si="7" ref="K51:K56">J51/H51*100</f>
        <v>69.44996686547383</v>
      </c>
      <c r="L51" s="273">
        <f>L52</f>
        <v>57</v>
      </c>
    </row>
    <row r="52" spans="1:12" ht="12.75" customHeight="1">
      <c r="A52" s="69" t="s">
        <v>231</v>
      </c>
      <c r="B52" s="244">
        <v>1508663</v>
      </c>
      <c r="C52" s="274"/>
      <c r="D52" s="714">
        <f>'[8]Jūlijs'!$N$6</f>
        <v>1047825</v>
      </c>
      <c r="E52" s="271">
        <f t="shared" si="6"/>
        <v>69.45388068773477</v>
      </c>
      <c r="F52" s="273">
        <f>D52-'[7]Junijs'!D52</f>
        <v>56665</v>
      </c>
      <c r="G52" s="69" t="s">
        <v>231</v>
      </c>
      <c r="H52" s="244">
        <f>ROUND(B52/1000,0)</f>
        <v>1509</v>
      </c>
      <c r="I52" s="244"/>
      <c r="J52" s="714">
        <f>ROUND(D52/1000,0)</f>
        <v>1048</v>
      </c>
      <c r="K52" s="275">
        <f t="shared" si="7"/>
        <v>69.44996686547383</v>
      </c>
      <c r="L52" s="273">
        <f>J52-'[7]Junijs'!J52</f>
        <v>57</v>
      </c>
    </row>
    <row r="53" spans="1:12" ht="12.75" customHeight="1">
      <c r="A53" s="242" t="s">
        <v>213</v>
      </c>
      <c r="B53" s="273">
        <f>SUM(B54+B56)</f>
        <v>1508663</v>
      </c>
      <c r="C53" s="273">
        <f>SUM(C54+C56)</f>
        <v>1047825</v>
      </c>
      <c r="D53" s="712">
        <f>SUM(D54+D56)</f>
        <v>950217</v>
      </c>
      <c r="E53" s="271">
        <f t="shared" si="6"/>
        <v>62.984046138866</v>
      </c>
      <c r="F53" s="273">
        <f>F54+F56</f>
        <v>92091</v>
      </c>
      <c r="G53" s="242" t="s">
        <v>213</v>
      </c>
      <c r="H53" s="273">
        <f>SUM(H54+H56)</f>
        <v>1508</v>
      </c>
      <c r="I53" s="244">
        <f>SUM(I54,I56)</f>
        <v>1048</v>
      </c>
      <c r="J53" s="714">
        <f>J54+J56</f>
        <v>950</v>
      </c>
      <c r="K53" s="275">
        <f t="shared" si="7"/>
        <v>62.9973474801061</v>
      </c>
      <c r="L53" s="273">
        <f>L54+L56</f>
        <v>91</v>
      </c>
    </row>
    <row r="54" spans="1:12" ht="12.75" customHeight="1">
      <c r="A54" s="242" t="s">
        <v>232</v>
      </c>
      <c r="B54" s="244">
        <v>1333663</v>
      </c>
      <c r="C54" s="274">
        <v>872825</v>
      </c>
      <c r="D54" s="714">
        <f>'[8]Jūlijs'!$N$8</f>
        <v>792851</v>
      </c>
      <c r="E54" s="271">
        <f t="shared" si="6"/>
        <v>59.44912620354618</v>
      </c>
      <c r="F54" s="273">
        <f>D54-'[7]Junijs'!D54</f>
        <v>83227</v>
      </c>
      <c r="G54" s="242" t="s">
        <v>232</v>
      </c>
      <c r="H54" s="244">
        <f>ROUND(B54/1000,0)-1</f>
        <v>1333</v>
      </c>
      <c r="I54" s="244">
        <f>ROUND(C54/1000,0)</f>
        <v>873</v>
      </c>
      <c r="J54" s="714">
        <f>ROUND(D54/1000,0)</f>
        <v>793</v>
      </c>
      <c r="K54" s="275">
        <f t="shared" si="7"/>
        <v>59.489872468117035</v>
      </c>
      <c r="L54" s="273">
        <f>J54-'[7]Junijs'!J54</f>
        <v>83</v>
      </c>
    </row>
    <row r="55" spans="1:12" ht="12.75" customHeight="1">
      <c r="A55" s="276" t="s">
        <v>233</v>
      </c>
      <c r="B55" s="244">
        <v>300000</v>
      </c>
      <c r="C55" s="274"/>
      <c r="D55" s="714">
        <f>'[8]Jūlijs'!$N$15</f>
        <v>200000</v>
      </c>
      <c r="E55" s="271">
        <f t="shared" si="6"/>
        <v>66.66666666666666</v>
      </c>
      <c r="F55" s="273">
        <f>D55-'[7]Junijs'!D55</f>
        <v>0</v>
      </c>
      <c r="G55" s="276" t="s">
        <v>233</v>
      </c>
      <c r="H55" s="244">
        <f>ROUND(B55/1000,0)</f>
        <v>300</v>
      </c>
      <c r="I55" s="244"/>
      <c r="J55" s="714">
        <f>ROUND(D55/1000,0)</f>
        <v>200</v>
      </c>
      <c r="K55" s="275">
        <f t="shared" si="7"/>
        <v>66.66666666666666</v>
      </c>
      <c r="L55" s="273">
        <f>J55-'[7]Junijs'!J55</f>
        <v>0</v>
      </c>
    </row>
    <row r="56" spans="1:12" ht="12.75" customHeight="1">
      <c r="A56" s="242" t="s">
        <v>234</v>
      </c>
      <c r="B56" s="244">
        <v>175000</v>
      </c>
      <c r="C56" s="274">
        <v>175000</v>
      </c>
      <c r="D56" s="714">
        <f>'[8]Jūlijs'!$N$30</f>
        <v>157366</v>
      </c>
      <c r="E56" s="271">
        <f t="shared" si="6"/>
        <v>89.92342857142857</v>
      </c>
      <c r="F56" s="273">
        <f>D56-'[7]Junijs'!D56</f>
        <v>8864</v>
      </c>
      <c r="G56" s="242" t="s">
        <v>234</v>
      </c>
      <c r="H56" s="244">
        <f>ROUND(B56/1000,0)</f>
        <v>175</v>
      </c>
      <c r="I56" s="244">
        <f>ROUND(C56/1000,0)</f>
        <v>175</v>
      </c>
      <c r="J56" s="714">
        <f>ROUND(D56/1000,0)</f>
        <v>157</v>
      </c>
      <c r="K56" s="275">
        <f t="shared" si="7"/>
        <v>89.71428571428571</v>
      </c>
      <c r="L56" s="273">
        <f>J56-'[7]Junijs'!J56</f>
        <v>8</v>
      </c>
    </row>
    <row r="57" spans="1:12" ht="12.75" customHeight="1">
      <c r="A57" s="92" t="s">
        <v>235</v>
      </c>
      <c r="B57" s="273"/>
      <c r="C57" s="273"/>
      <c r="D57" s="712"/>
      <c r="E57" s="271"/>
      <c r="F57" s="273"/>
      <c r="G57" s="92" t="s">
        <v>235</v>
      </c>
      <c r="H57" s="273"/>
      <c r="I57" s="244"/>
      <c r="J57" s="714"/>
      <c r="K57" s="275"/>
      <c r="L57" s="273"/>
    </row>
    <row r="58" spans="1:12" ht="12.75" customHeight="1">
      <c r="A58" s="242" t="s">
        <v>211</v>
      </c>
      <c r="B58" s="273">
        <f>B59</f>
        <v>1424238</v>
      </c>
      <c r="C58" s="277">
        <v>1017795</v>
      </c>
      <c r="D58" s="712">
        <f>D59+D60</f>
        <v>1009805</v>
      </c>
      <c r="E58" s="271">
        <f>D58/B58*100</f>
        <v>70.90142237463121</v>
      </c>
      <c r="F58" s="273">
        <f>F59</f>
        <v>366084</v>
      </c>
      <c r="G58" s="242" t="s">
        <v>211</v>
      </c>
      <c r="H58" s="273">
        <f>H59</f>
        <v>1424</v>
      </c>
      <c r="I58" s="244">
        <f>ROUND(C58/1000,0)</f>
        <v>1018</v>
      </c>
      <c r="J58" s="714">
        <f>J59</f>
        <v>1010</v>
      </c>
      <c r="K58" s="275">
        <f>J58/H58*100</f>
        <v>70.92696629213484</v>
      </c>
      <c r="L58" s="273">
        <f>L59</f>
        <v>366</v>
      </c>
    </row>
    <row r="59" spans="1:12" ht="12" customHeight="1">
      <c r="A59" s="69" t="s">
        <v>231</v>
      </c>
      <c r="B59" s="244">
        <v>1424238</v>
      </c>
      <c r="C59" s="274"/>
      <c r="D59" s="714">
        <f>'[8]Jūlijs'!$O$6</f>
        <v>1009805</v>
      </c>
      <c r="E59" s="271">
        <f>D59/B59*100</f>
        <v>70.90142237463121</v>
      </c>
      <c r="F59" s="273">
        <f>D59-'[7]Junijs'!D59</f>
        <v>366084</v>
      </c>
      <c r="G59" s="69" t="s">
        <v>231</v>
      </c>
      <c r="H59" s="244">
        <f>ROUND(B59/1000,0)</f>
        <v>1424</v>
      </c>
      <c r="I59" s="244"/>
      <c r="J59" s="714">
        <f>ROUND(D59/1000,0)</f>
        <v>1010</v>
      </c>
      <c r="K59" s="275">
        <f>J59/H59*100</f>
        <v>70.92696629213484</v>
      </c>
      <c r="L59" s="273">
        <f>J59-'[7]Junijs'!J59</f>
        <v>366</v>
      </c>
    </row>
    <row r="60" spans="1:12" ht="0.75" customHeight="1" hidden="1">
      <c r="A60" s="69" t="s">
        <v>236</v>
      </c>
      <c r="B60" s="244"/>
      <c r="C60" s="274"/>
      <c r="D60" s="714"/>
      <c r="E60" s="271"/>
      <c r="F60" s="273">
        <f>D60-'[7]Junijs'!D60</f>
        <v>0</v>
      </c>
      <c r="G60" s="69" t="s">
        <v>237</v>
      </c>
      <c r="H60" s="244"/>
      <c r="I60" s="244"/>
      <c r="J60" s="714">
        <f>ROUND(D60/1000,0)</f>
        <v>0</v>
      </c>
      <c r="K60" s="275"/>
      <c r="L60" s="273">
        <f>J60-'[7]Junijs'!J60</f>
        <v>0</v>
      </c>
    </row>
    <row r="61" spans="1:12" ht="12.75" customHeight="1">
      <c r="A61" s="242" t="s">
        <v>213</v>
      </c>
      <c r="B61" s="273">
        <f>B62+B64</f>
        <v>1585878</v>
      </c>
      <c r="C61" s="273">
        <f>C62+C64</f>
        <v>1148118</v>
      </c>
      <c r="D61" s="712">
        <f>D62+D64</f>
        <v>933986</v>
      </c>
      <c r="E61" s="271">
        <f>D61/B61*100</f>
        <v>58.89393761689109</v>
      </c>
      <c r="F61" s="273">
        <f>F62+F64</f>
        <v>344721</v>
      </c>
      <c r="G61" s="242" t="s">
        <v>213</v>
      </c>
      <c r="H61" s="273">
        <f>H62+H64</f>
        <v>1586</v>
      </c>
      <c r="I61" s="244">
        <f>SUM(I62,I64)</f>
        <v>1148</v>
      </c>
      <c r="J61" s="714">
        <f>J62+J64</f>
        <v>934</v>
      </c>
      <c r="K61" s="275">
        <f>J61/H61*100</f>
        <v>58.890290037831015</v>
      </c>
      <c r="L61" s="273">
        <f>L62+L64</f>
        <v>346</v>
      </c>
    </row>
    <row r="62" spans="1:12" ht="12.75" customHeight="1">
      <c r="A62" s="242" t="s">
        <v>232</v>
      </c>
      <c r="B62" s="244">
        <v>1578778</v>
      </c>
      <c r="C62" s="274">
        <v>1144018</v>
      </c>
      <c r="D62" s="274">
        <f>'[8]Jūlijs'!$O$8</f>
        <v>932994</v>
      </c>
      <c r="E62" s="271">
        <f>D62/B62*100</f>
        <v>59.095959026538246</v>
      </c>
      <c r="F62" s="273">
        <f>D62-'[7]Junijs'!D62</f>
        <v>344721</v>
      </c>
      <c r="G62" s="242" t="s">
        <v>232</v>
      </c>
      <c r="H62" s="244">
        <f>ROUND(B62/1000,0)</f>
        <v>1579</v>
      </c>
      <c r="I62" s="244">
        <f>ROUND(C62/1000,0)</f>
        <v>1144</v>
      </c>
      <c r="J62" s="714">
        <f>ROUND(D62/1000,0)</f>
        <v>933</v>
      </c>
      <c r="K62" s="275">
        <f>J62/H62*100</f>
        <v>59.0880303989867</v>
      </c>
      <c r="L62" s="273">
        <f>J62-'[7]Junijs'!J62</f>
        <v>345</v>
      </c>
    </row>
    <row r="63" spans="1:12" ht="12.75" customHeight="1">
      <c r="A63" s="276" t="s">
        <v>233</v>
      </c>
      <c r="B63" s="244">
        <v>233730</v>
      </c>
      <c r="C63" s="274"/>
      <c r="D63" s="274">
        <v>47687</v>
      </c>
      <c r="E63" s="271">
        <f>D63/B63*100</f>
        <v>20.402601292089162</v>
      </c>
      <c r="F63" s="273">
        <f>D63-'[7]Junijs'!D63</f>
        <v>2401</v>
      </c>
      <c r="G63" s="276" t="s">
        <v>233</v>
      </c>
      <c r="H63" s="244">
        <f>ROUND(B63/1000,0)</f>
        <v>234</v>
      </c>
      <c r="I63" s="244"/>
      <c r="J63" s="714">
        <f>ROUND(D63/1000,0)</f>
        <v>48</v>
      </c>
      <c r="K63" s="275">
        <f>J63/H63*100</f>
        <v>20.51282051282051</v>
      </c>
      <c r="L63" s="273">
        <f>J63-'[7]Junijs'!J63</f>
        <v>3</v>
      </c>
    </row>
    <row r="64" spans="1:12" ht="12.75" customHeight="1">
      <c r="A64" s="242" t="s">
        <v>234</v>
      </c>
      <c r="B64" s="244">
        <v>7100</v>
      </c>
      <c r="C64" s="274">
        <v>4100</v>
      </c>
      <c r="D64" s="274">
        <v>992</v>
      </c>
      <c r="E64" s="271"/>
      <c r="F64" s="273">
        <f>D64-'[7]Junijs'!D64</f>
        <v>0</v>
      </c>
      <c r="G64" s="242" t="s">
        <v>234</v>
      </c>
      <c r="H64" s="244">
        <f>ROUND(B64/1000,0)</f>
        <v>7</v>
      </c>
      <c r="I64" s="244">
        <f>ROUND(C64/1000,0)</f>
        <v>4</v>
      </c>
      <c r="J64" s="714">
        <v>1</v>
      </c>
      <c r="K64" s="275"/>
      <c r="L64" s="273">
        <f>J64-'[7]Junijs'!J64</f>
        <v>1</v>
      </c>
    </row>
    <row r="65" spans="1:12" ht="12.75" customHeight="1">
      <c r="A65" s="242" t="s">
        <v>54</v>
      </c>
      <c r="B65" s="244">
        <v>6370052</v>
      </c>
      <c r="C65" s="274">
        <f>4068600-130323</f>
        <v>3938277</v>
      </c>
      <c r="D65" s="274">
        <f>'[8]Jūlijs'!$O$33</f>
        <v>3572368</v>
      </c>
      <c r="E65" s="271">
        <f>D65/B65*100</f>
        <v>56.08067249686501</v>
      </c>
      <c r="F65" s="273">
        <f>D65-'[7]Junijs'!D65</f>
        <v>68514</v>
      </c>
      <c r="G65" s="242" t="s">
        <v>54</v>
      </c>
      <c r="H65" s="244">
        <f>ROUND(B65/1000,0)</f>
        <v>6370</v>
      </c>
      <c r="I65" s="244">
        <f>ROUND(C65/1000,0)</f>
        <v>3938</v>
      </c>
      <c r="J65" s="714">
        <f>ROUND(D65/1000,0)</f>
        <v>3572</v>
      </c>
      <c r="K65" s="275">
        <f>J65/H65*100</f>
        <v>56.07535321821037</v>
      </c>
      <c r="L65" s="273">
        <f>J65-'[7]Junijs'!J65</f>
        <v>68</v>
      </c>
    </row>
    <row r="66" spans="1:12" ht="12.75" customHeight="1">
      <c r="A66" s="242" t="s">
        <v>55</v>
      </c>
      <c r="B66" s="244">
        <f>B58-B61-B65</f>
        <v>-6531692</v>
      </c>
      <c r="C66" s="274">
        <f>C58-C61</f>
        <v>-130323</v>
      </c>
      <c r="D66" s="244">
        <f>D58-D61-D65</f>
        <v>-3496549</v>
      </c>
      <c r="E66" s="271">
        <f>D66/B66*100</f>
        <v>53.53205570623967</v>
      </c>
      <c r="F66" s="273">
        <f>F58-F61-F65</f>
        <v>-47151</v>
      </c>
      <c r="G66" s="242" t="s">
        <v>55</v>
      </c>
      <c r="H66" s="244">
        <f>H58-H61-H65</f>
        <v>-6532</v>
      </c>
      <c r="I66" s="244"/>
      <c r="J66" s="714">
        <f>J58-J61-J65</f>
        <v>-3496</v>
      </c>
      <c r="K66" s="275">
        <f>J66/H66*100</f>
        <v>53.52112676056338</v>
      </c>
      <c r="L66" s="273">
        <f>L58-L61-L65</f>
        <v>-48</v>
      </c>
    </row>
    <row r="67" spans="1:12" ht="12.75" customHeight="1">
      <c r="A67" s="242" t="s">
        <v>238</v>
      </c>
      <c r="B67" s="244">
        <v>6531692</v>
      </c>
      <c r="C67" s="274">
        <f>538100+848100+1058100+628100+428100+428100+140000</f>
        <v>4068600</v>
      </c>
      <c r="D67" s="274">
        <f>'[8]Jūlijs'!$O$43</f>
        <v>3687545</v>
      </c>
      <c r="E67" s="271">
        <f>D67/B67*100</f>
        <v>56.45619848578286</v>
      </c>
      <c r="F67" s="273">
        <f>D67-'[7]Junijs'!D67</f>
        <v>64819</v>
      </c>
      <c r="G67" s="242" t="s">
        <v>238</v>
      </c>
      <c r="H67" s="244">
        <f>ROUND(B67/1000,0)</f>
        <v>6532</v>
      </c>
      <c r="I67" s="244">
        <f>ROUND(C67/1000,0)</f>
        <v>4069</v>
      </c>
      <c r="J67" s="714">
        <f>ROUND(D67/1000,0)</f>
        <v>3688</v>
      </c>
      <c r="K67" s="275">
        <f>J67/H67*100</f>
        <v>56.460502143294555</v>
      </c>
      <c r="L67" s="273">
        <f>J67-'[7]Junijs'!J67</f>
        <v>65</v>
      </c>
    </row>
    <row r="68" spans="1:12" ht="12.75" customHeight="1">
      <c r="A68" s="76" t="s">
        <v>76</v>
      </c>
      <c r="B68" s="273"/>
      <c r="C68" s="273"/>
      <c r="D68" s="273"/>
      <c r="E68" s="271"/>
      <c r="F68" s="273"/>
      <c r="G68" s="76" t="s">
        <v>76</v>
      </c>
      <c r="H68" s="273"/>
      <c r="I68" s="244"/>
      <c r="J68" s="714"/>
      <c r="K68" s="275"/>
      <c r="L68" s="273"/>
    </row>
    <row r="69" spans="1:12" ht="12.75" customHeight="1">
      <c r="A69" s="236" t="s">
        <v>239</v>
      </c>
      <c r="B69" s="273"/>
      <c r="C69" s="273"/>
      <c r="D69" s="273"/>
      <c r="E69" s="271"/>
      <c r="F69" s="273"/>
      <c r="G69" s="236" t="s">
        <v>239</v>
      </c>
      <c r="H69" s="273"/>
      <c r="I69" s="244"/>
      <c r="J69" s="714"/>
      <c r="K69" s="275"/>
      <c r="L69" s="273"/>
    </row>
    <row r="70" spans="1:12" ht="12.75" customHeight="1">
      <c r="A70" s="242" t="s">
        <v>211</v>
      </c>
      <c r="B70" s="273">
        <f>SUM(B71:B72)</f>
        <v>500000</v>
      </c>
      <c r="C70" s="277">
        <v>379000</v>
      </c>
      <c r="D70" s="273">
        <f>SUM(D71:D72)</f>
        <v>382341</v>
      </c>
      <c r="E70" s="271">
        <f>D70/B70*100</f>
        <v>76.4682</v>
      </c>
      <c r="F70" s="273">
        <f>SUM(F71:F72)</f>
        <v>40118</v>
      </c>
      <c r="G70" s="242" t="s">
        <v>211</v>
      </c>
      <c r="H70" s="273">
        <f>SUM(H71:H72)</f>
        <v>500</v>
      </c>
      <c r="I70" s="244">
        <f>ROUND(C70/1000,0)</f>
        <v>379</v>
      </c>
      <c r="J70" s="714">
        <f>SUM(J71:J72)</f>
        <v>382</v>
      </c>
      <c r="K70" s="275">
        <f aca="true" t="shared" si="8" ref="K70:K75">J70/H70*100</f>
        <v>76.4</v>
      </c>
      <c r="L70" s="273">
        <f>SUM(L71:L72)</f>
        <v>40</v>
      </c>
    </row>
    <row r="71" spans="1:12" ht="12.75" customHeight="1">
      <c r="A71" s="69" t="s">
        <v>240</v>
      </c>
      <c r="B71" s="244">
        <v>300000</v>
      </c>
      <c r="C71" s="274"/>
      <c r="D71" s="274">
        <v>245399</v>
      </c>
      <c r="E71" s="271">
        <f>D71/B71*100</f>
        <v>81.79966666666667</v>
      </c>
      <c r="F71" s="273">
        <f>D71-'[7]Junijs'!D71</f>
        <v>37445</v>
      </c>
      <c r="G71" s="69" t="s">
        <v>240</v>
      </c>
      <c r="H71" s="244">
        <f>ROUND(B71/1000,0)</f>
        <v>300</v>
      </c>
      <c r="I71" s="244"/>
      <c r="J71" s="714">
        <f>ROUND(D71/1000,0)</f>
        <v>245</v>
      </c>
      <c r="K71" s="275">
        <f t="shared" si="8"/>
        <v>81.66666666666667</v>
      </c>
      <c r="L71" s="273">
        <f>J71-'[7]Junijs'!J71</f>
        <v>37</v>
      </c>
    </row>
    <row r="72" spans="1:12" ht="12.75" customHeight="1">
      <c r="A72" s="69" t="s">
        <v>241</v>
      </c>
      <c r="B72" s="244">
        <f>65000+135000</f>
        <v>200000</v>
      </c>
      <c r="C72" s="274"/>
      <c r="D72" s="274">
        <f>7+25109+111825+1</f>
        <v>136942</v>
      </c>
      <c r="E72" s="271">
        <f>D72/B72*100</f>
        <v>68.471</v>
      </c>
      <c r="F72" s="273">
        <f>D72-'[7]Junijs'!D72</f>
        <v>2673</v>
      </c>
      <c r="G72" s="69" t="s">
        <v>241</v>
      </c>
      <c r="H72" s="244">
        <f>ROUND(B72/1000,0)</f>
        <v>200</v>
      </c>
      <c r="I72" s="244"/>
      <c r="J72" s="714">
        <f>ROUND(D72/1000,0)</f>
        <v>137</v>
      </c>
      <c r="K72" s="275">
        <f t="shared" si="8"/>
        <v>68.5</v>
      </c>
      <c r="L72" s="273">
        <f>J72-'[7]Junijs'!J72</f>
        <v>3</v>
      </c>
    </row>
    <row r="73" spans="1:12" ht="12.75" customHeight="1">
      <c r="A73" s="242" t="s">
        <v>213</v>
      </c>
      <c r="B73" s="273">
        <f>SUM(B74:B75)</f>
        <v>500000</v>
      </c>
      <c r="C73" s="273">
        <f>SUM(C74:C75)</f>
        <v>379000</v>
      </c>
      <c r="D73" s="273">
        <f>SUM(D74:D75)</f>
        <v>330371</v>
      </c>
      <c r="E73" s="271">
        <f>D73/B73*100</f>
        <v>66.0742</v>
      </c>
      <c r="F73" s="273">
        <f>SUM(F74:F75)</f>
        <v>65056</v>
      </c>
      <c r="G73" s="242" t="s">
        <v>213</v>
      </c>
      <c r="H73" s="273">
        <f>SUM(H74:H75)</f>
        <v>500</v>
      </c>
      <c r="I73" s="244">
        <f>SUM(I74:I75)</f>
        <v>379</v>
      </c>
      <c r="J73" s="714">
        <f>SUM(J74:J75)</f>
        <v>330</v>
      </c>
      <c r="K73" s="275">
        <f t="shared" si="8"/>
        <v>66</v>
      </c>
      <c r="L73" s="273">
        <f>SUM(L74:L75)</f>
        <v>65</v>
      </c>
    </row>
    <row r="74" spans="1:12" ht="12.75" customHeight="1">
      <c r="A74" s="242" t="s">
        <v>214</v>
      </c>
      <c r="B74" s="244">
        <v>421000</v>
      </c>
      <c r="C74" s="274">
        <v>304000</v>
      </c>
      <c r="D74" s="274">
        <f>'[8]Jūlijs'!$L$8</f>
        <v>263371</v>
      </c>
      <c r="E74" s="271">
        <f>D74/B74*100</f>
        <v>62.558432304038</v>
      </c>
      <c r="F74" s="273">
        <f>D74-'[7]Junijs'!D74</f>
        <v>51055</v>
      </c>
      <c r="G74" s="242" t="s">
        <v>214</v>
      </c>
      <c r="H74" s="244">
        <f aca="true" t="shared" si="9" ref="H74:J75">ROUND(B74/1000,0)</f>
        <v>421</v>
      </c>
      <c r="I74" s="244">
        <f t="shared" si="9"/>
        <v>304</v>
      </c>
      <c r="J74" s="714">
        <f t="shared" si="9"/>
        <v>263</v>
      </c>
      <c r="K74" s="275">
        <f t="shared" si="8"/>
        <v>62.47030878859857</v>
      </c>
      <c r="L74" s="273">
        <f>J74-'[7]Junijs'!J74</f>
        <v>51</v>
      </c>
    </row>
    <row r="75" spans="1:12" ht="12.75" customHeight="1">
      <c r="A75" s="242" t="s">
        <v>208</v>
      </c>
      <c r="B75" s="244">
        <v>79000</v>
      </c>
      <c r="C75" s="274">
        <v>75000</v>
      </c>
      <c r="D75" s="274">
        <f>'[8]Jūlijs'!$L$30</f>
        <v>67000</v>
      </c>
      <c r="E75" s="271"/>
      <c r="F75" s="273">
        <f>D75-'[7]Junijs'!D75</f>
        <v>14001</v>
      </c>
      <c r="G75" s="242" t="s">
        <v>208</v>
      </c>
      <c r="H75" s="244">
        <f t="shared" si="9"/>
        <v>79</v>
      </c>
      <c r="I75" s="244">
        <f t="shared" si="9"/>
        <v>75</v>
      </c>
      <c r="J75" s="714">
        <f t="shared" si="9"/>
        <v>67</v>
      </c>
      <c r="K75" s="275">
        <f t="shared" si="8"/>
        <v>84.81012658227847</v>
      </c>
      <c r="L75" s="273">
        <f>J75-'[7]Junijs'!J75</f>
        <v>14</v>
      </c>
    </row>
    <row r="76" spans="1:12" ht="12.75" customHeight="1">
      <c r="A76" s="32" t="s">
        <v>78</v>
      </c>
      <c r="B76" s="244"/>
      <c r="C76" s="244"/>
      <c r="D76" s="244"/>
      <c r="E76" s="271"/>
      <c r="F76" s="273"/>
      <c r="G76" s="32" t="s">
        <v>78</v>
      </c>
      <c r="H76" s="244"/>
      <c r="I76" s="244"/>
      <c r="J76" s="714"/>
      <c r="K76" s="275"/>
      <c r="L76" s="273"/>
    </row>
    <row r="77" spans="1:12" ht="12.75" customHeight="1">
      <c r="A77" s="236" t="s">
        <v>242</v>
      </c>
      <c r="B77" s="273"/>
      <c r="C77" s="273"/>
      <c r="D77" s="273"/>
      <c r="E77" s="271"/>
      <c r="F77" s="273"/>
      <c r="G77" s="236" t="s">
        <v>242</v>
      </c>
      <c r="H77" s="273"/>
      <c r="I77" s="244"/>
      <c r="J77" s="714"/>
      <c r="K77" s="275"/>
      <c r="L77" s="273"/>
    </row>
    <row r="78" spans="1:12" ht="12.75" customHeight="1">
      <c r="A78" s="242" t="s">
        <v>211</v>
      </c>
      <c r="B78" s="273">
        <f>SUM(B79:B82)</f>
        <v>59956438</v>
      </c>
      <c r="C78" s="277">
        <v>35593438</v>
      </c>
      <c r="D78" s="273">
        <f>SUM(D79:D82)</f>
        <v>29772532</v>
      </c>
      <c r="E78" s="271">
        <f aca="true" t="shared" si="10" ref="E78:E84">D78/B78*100</f>
        <v>49.656939259800595</v>
      </c>
      <c r="F78" s="273">
        <f>SUM(F79:F82)</f>
        <v>5211148</v>
      </c>
      <c r="G78" s="242" t="s">
        <v>211</v>
      </c>
      <c r="H78" s="273">
        <f>SUM(H79:H82)</f>
        <v>59956</v>
      </c>
      <c r="I78" s="244">
        <f>ROUND(C78/1000,0)</f>
        <v>35593</v>
      </c>
      <c r="J78" s="714">
        <f>SUM(J79:J82)</f>
        <v>29773</v>
      </c>
      <c r="K78" s="275">
        <f aca="true" t="shared" si="11" ref="K78:K88">J78/H78*100</f>
        <v>49.6580825939022</v>
      </c>
      <c r="L78" s="273">
        <f>SUM(L79:L82)</f>
        <v>5211</v>
      </c>
    </row>
    <row r="79" spans="1:12" ht="12.75" customHeight="1">
      <c r="A79" s="242" t="s">
        <v>243</v>
      </c>
      <c r="B79" s="244">
        <v>8300000</v>
      </c>
      <c r="C79" s="274"/>
      <c r="D79" s="274">
        <f>4140095+1500000</f>
        <v>5640095</v>
      </c>
      <c r="E79" s="271">
        <f t="shared" si="10"/>
        <v>67.95295180722891</v>
      </c>
      <c r="F79" s="273">
        <f>D79-'[7]Junijs'!D79</f>
        <v>753052</v>
      </c>
      <c r="G79" s="242" t="s">
        <v>243</v>
      </c>
      <c r="H79" s="244">
        <f>ROUND(B79/1000,0)</f>
        <v>8300</v>
      </c>
      <c r="I79" s="244"/>
      <c r="J79" s="714">
        <f>ROUND(D79/1000,0)</f>
        <v>5640</v>
      </c>
      <c r="K79" s="275">
        <f t="shared" si="11"/>
        <v>67.95180722891565</v>
      </c>
      <c r="L79" s="273">
        <f>J79-'[7]Junijs'!J79</f>
        <v>753</v>
      </c>
    </row>
    <row r="80" spans="1:12" ht="12.75" customHeight="1">
      <c r="A80" s="242" t="s">
        <v>244</v>
      </c>
      <c r="B80" s="244">
        <v>49067000</v>
      </c>
      <c r="C80" s="274"/>
      <c r="D80" s="274">
        <v>22618784</v>
      </c>
      <c r="E80" s="271">
        <f t="shared" si="10"/>
        <v>46.097752053314856</v>
      </c>
      <c r="F80" s="273">
        <f>D80-'[7]Junijs'!D80</f>
        <v>4018216</v>
      </c>
      <c r="G80" s="242" t="s">
        <v>244</v>
      </c>
      <c r="H80" s="244">
        <f>ROUND(B80/1000,0)</f>
        <v>49067</v>
      </c>
      <c r="I80" s="244"/>
      <c r="J80" s="714">
        <f>ROUND(D80/1000,0)</f>
        <v>22619</v>
      </c>
      <c r="K80" s="275">
        <f t="shared" si="11"/>
        <v>46.09819226771557</v>
      </c>
      <c r="L80" s="273">
        <f>J80-'[7]Junijs'!J80</f>
        <v>4018</v>
      </c>
    </row>
    <row r="81" spans="1:12" ht="12.75" customHeight="1">
      <c r="A81" s="125" t="s">
        <v>128</v>
      </c>
      <c r="B81" s="244">
        <v>50000</v>
      </c>
      <c r="C81" s="274"/>
      <c r="D81" s="274">
        <v>53010</v>
      </c>
      <c r="E81" s="271">
        <f t="shared" si="10"/>
        <v>106.02000000000001</v>
      </c>
      <c r="F81" s="273">
        <f>D81-'[7]Junijs'!D81</f>
        <v>12866</v>
      </c>
      <c r="G81" s="125" t="s">
        <v>128</v>
      </c>
      <c r="H81" s="244">
        <f>ROUND(B81/1000,0)</f>
        <v>50</v>
      </c>
      <c r="I81" s="244"/>
      <c r="J81" s="714">
        <f>ROUND(D81/1000,0)</f>
        <v>53</v>
      </c>
      <c r="K81" s="275">
        <f t="shared" si="11"/>
        <v>106</v>
      </c>
      <c r="L81" s="273">
        <f>J81-'[7]Junijs'!J81</f>
        <v>13</v>
      </c>
    </row>
    <row r="82" spans="1:12" ht="12.75" customHeight="1">
      <c r="A82" s="242" t="s">
        <v>129</v>
      </c>
      <c r="B82" s="244">
        <v>2539438</v>
      </c>
      <c r="C82" s="274"/>
      <c r="D82" s="274">
        <v>1460643</v>
      </c>
      <c r="E82" s="271">
        <f t="shared" si="10"/>
        <v>57.51835642374415</v>
      </c>
      <c r="F82" s="273">
        <f>D82-'[7]Junijs'!D82</f>
        <v>427014</v>
      </c>
      <c r="G82" s="242" t="s">
        <v>129</v>
      </c>
      <c r="H82" s="244">
        <f>ROUND(B82/1000,0)</f>
        <v>2539</v>
      </c>
      <c r="I82" s="244"/>
      <c r="J82" s="714">
        <f>ROUND(D82/1000,0)</f>
        <v>1461</v>
      </c>
      <c r="K82" s="275">
        <f t="shared" si="11"/>
        <v>57.54233950374164</v>
      </c>
      <c r="L82" s="273">
        <f>J82-'[7]Junijs'!J82</f>
        <v>427</v>
      </c>
    </row>
    <row r="83" spans="1:12" ht="12.75" customHeight="1">
      <c r="A83" s="242" t="s">
        <v>213</v>
      </c>
      <c r="B83" s="273">
        <f>B84+B86</f>
        <v>70841479</v>
      </c>
      <c r="C83" s="273">
        <f>C84+C86</f>
        <v>43215455</v>
      </c>
      <c r="D83" s="273">
        <f>D84+D86</f>
        <v>35595653</v>
      </c>
      <c r="E83" s="271">
        <f t="shared" si="10"/>
        <v>50.246908312007434</v>
      </c>
      <c r="F83" s="273">
        <f>F84+F86</f>
        <v>5049630</v>
      </c>
      <c r="G83" s="242" t="s">
        <v>213</v>
      </c>
      <c r="H83" s="273">
        <f>H84+H86</f>
        <v>70841</v>
      </c>
      <c r="I83" s="244">
        <f>SUM(I84,I86)</f>
        <v>43215</v>
      </c>
      <c r="J83" s="714">
        <f>J84+J86</f>
        <v>35596</v>
      </c>
      <c r="K83" s="275">
        <f t="shared" si="11"/>
        <v>50.24773789189876</v>
      </c>
      <c r="L83" s="273">
        <f>L84+L86</f>
        <v>5050</v>
      </c>
    </row>
    <row r="84" spans="1:12" ht="13.5" customHeight="1">
      <c r="A84" s="242" t="s">
        <v>214</v>
      </c>
      <c r="B84" s="244">
        <v>49455387</v>
      </c>
      <c r="C84" s="274">
        <v>30768577</v>
      </c>
      <c r="D84" s="274">
        <f>'[8]Jūlijs'!$I$8</f>
        <v>27182495</v>
      </c>
      <c r="E84" s="271">
        <f t="shared" si="10"/>
        <v>54.963668568603055</v>
      </c>
      <c r="F84" s="273">
        <f>D84-'[7]Junijs'!D84</f>
        <v>3205289</v>
      </c>
      <c r="G84" s="242" t="s">
        <v>214</v>
      </c>
      <c r="H84" s="244">
        <f>ROUND(B84/1000,0)</f>
        <v>49455</v>
      </c>
      <c r="I84" s="244">
        <f>ROUND(C84/1000,0)-1</f>
        <v>30768</v>
      </c>
      <c r="J84" s="714">
        <f>ROUND(D84/1000,0)+1</f>
        <v>27183</v>
      </c>
      <c r="K84" s="275">
        <f t="shared" si="11"/>
        <v>54.965119805884136</v>
      </c>
      <c r="L84" s="273">
        <f>J84-'[7]Junijs'!J84</f>
        <v>3206</v>
      </c>
    </row>
    <row r="85" spans="1:12" ht="12.75" customHeight="1">
      <c r="A85" s="276" t="s">
        <v>245</v>
      </c>
      <c r="B85" s="244">
        <v>3842150</v>
      </c>
      <c r="C85" s="274"/>
      <c r="D85" s="274">
        <f>'[8]Jūlijs'!$I$15</f>
        <v>1801363</v>
      </c>
      <c r="E85" s="271"/>
      <c r="F85" s="273">
        <f>D85-'[7]Junijs'!D85</f>
        <v>0</v>
      </c>
      <c r="G85" s="276" t="s">
        <v>245</v>
      </c>
      <c r="H85" s="244">
        <f>ROUND(B85/1000,0)</f>
        <v>3842</v>
      </c>
      <c r="I85" s="112"/>
      <c r="J85" s="714">
        <f>ROUND(D85/1000,0)</f>
        <v>1801</v>
      </c>
      <c r="K85" s="275">
        <f t="shared" si="11"/>
        <v>46.87662675689745</v>
      </c>
      <c r="L85" s="273">
        <f>J85-'[7]Junijs'!J85</f>
        <v>0</v>
      </c>
    </row>
    <row r="86" spans="1:12" ht="12.75" customHeight="1">
      <c r="A86" s="242" t="s">
        <v>208</v>
      </c>
      <c r="B86" s="244">
        <v>21386092</v>
      </c>
      <c r="C86" s="274">
        <v>12446878</v>
      </c>
      <c r="D86" s="274">
        <f>'[8]Jūlijs'!$I$30</f>
        <v>8413158</v>
      </c>
      <c r="E86" s="271">
        <f>D86/B86*100</f>
        <v>39.33938935640977</v>
      </c>
      <c r="F86" s="273">
        <f>D86-'[7]Junijs'!D86</f>
        <v>1844341</v>
      </c>
      <c r="G86" s="242" t="s">
        <v>208</v>
      </c>
      <c r="H86" s="244">
        <f>ROUND(B86/1000,0)</f>
        <v>21386</v>
      </c>
      <c r="I86" s="244">
        <f>ROUND(C86/1000,0)</f>
        <v>12447</v>
      </c>
      <c r="J86" s="714">
        <f>ROUND(D86/1000,0)</f>
        <v>8413</v>
      </c>
      <c r="K86" s="275">
        <f t="shared" si="11"/>
        <v>39.33881978864678</v>
      </c>
      <c r="L86" s="273">
        <f>J86-'[7]Junijs'!J86</f>
        <v>1844</v>
      </c>
    </row>
    <row r="87" spans="1:12" ht="12.75" customHeight="1">
      <c r="A87" s="242" t="s">
        <v>55</v>
      </c>
      <c r="B87" s="273">
        <f>B78-B83</f>
        <v>-10885041</v>
      </c>
      <c r="C87" s="277">
        <f>C78-C83</f>
        <v>-7622017</v>
      </c>
      <c r="D87" s="273">
        <f>D78-D83</f>
        <v>-5823121</v>
      </c>
      <c r="E87" s="271">
        <f>D87/B87*100</f>
        <v>53.49654631525963</v>
      </c>
      <c r="F87" s="273">
        <f>F78-F83</f>
        <v>161518</v>
      </c>
      <c r="G87" s="242" t="s">
        <v>55</v>
      </c>
      <c r="H87" s="273">
        <f>H78-H83</f>
        <v>-10885</v>
      </c>
      <c r="I87" s="244">
        <f>ROUND(C87/1000,0)</f>
        <v>-7622</v>
      </c>
      <c r="J87" s="714">
        <f>J78-J83</f>
        <v>-5823</v>
      </c>
      <c r="K87" s="275">
        <f t="shared" si="11"/>
        <v>53.49563619660083</v>
      </c>
      <c r="L87" s="273">
        <f>L78-L83</f>
        <v>161</v>
      </c>
    </row>
    <row r="88" spans="1:12" ht="12.75" customHeight="1">
      <c r="A88" s="69" t="s">
        <v>209</v>
      </c>
      <c r="B88" s="244">
        <v>10000000</v>
      </c>
      <c r="C88" s="274">
        <f>2365000+745067+659000+1601933+271000+921000+903139</f>
        <v>7466139</v>
      </c>
      <c r="D88" s="274">
        <f>'[8]Jūlijs'!$I$43</f>
        <v>7318463</v>
      </c>
      <c r="E88" s="271">
        <f>D88/B88*100</f>
        <v>73.18463</v>
      </c>
      <c r="F88" s="273">
        <f>D88-'[7]Junijs'!D88</f>
        <v>1252397</v>
      </c>
      <c r="G88" s="69" t="s">
        <v>754</v>
      </c>
      <c r="H88" s="244">
        <f>ROUND(B88/1000,0)</f>
        <v>10000</v>
      </c>
      <c r="I88" s="244">
        <f>ROUND(C88/1000,0)</f>
        <v>7466</v>
      </c>
      <c r="J88" s="714">
        <f>ROUND(D88/1000,0)+1</f>
        <v>7319</v>
      </c>
      <c r="K88" s="275">
        <f t="shared" si="11"/>
        <v>73.19</v>
      </c>
      <c r="L88" s="273">
        <f>J88-'[7]Junijs'!J88</f>
        <v>1253</v>
      </c>
    </row>
    <row r="89" spans="1:12" ht="12.75" customHeight="1">
      <c r="A89" s="236" t="s">
        <v>246</v>
      </c>
      <c r="B89" s="273"/>
      <c r="C89" s="273"/>
      <c r="D89" s="273"/>
      <c r="E89" s="271"/>
      <c r="F89" s="273"/>
      <c r="G89" s="236" t="s">
        <v>246</v>
      </c>
      <c r="H89" s="273"/>
      <c r="I89" s="244"/>
      <c r="J89" s="714"/>
      <c r="K89" s="275"/>
      <c r="L89" s="273"/>
    </row>
    <row r="90" spans="1:12" ht="12.75" customHeight="1">
      <c r="A90" s="242" t="s">
        <v>211</v>
      </c>
      <c r="B90" s="273">
        <f>B91</f>
        <v>822000</v>
      </c>
      <c r="C90" s="277">
        <v>379000</v>
      </c>
      <c r="D90" s="273">
        <f>D91</f>
        <v>489150</v>
      </c>
      <c r="E90" s="271">
        <f>D90/B90*100</f>
        <v>59.50729927007299</v>
      </c>
      <c r="F90" s="273">
        <f>F91</f>
        <v>68482</v>
      </c>
      <c r="G90" s="242" t="s">
        <v>211</v>
      </c>
      <c r="H90" s="273">
        <f>H91</f>
        <v>822</v>
      </c>
      <c r="I90" s="244">
        <f>ROUND(C90/1000,0)</f>
        <v>379</v>
      </c>
      <c r="J90" s="714">
        <f>J91</f>
        <v>489</v>
      </c>
      <c r="K90" s="275">
        <f>J90/H90*100</f>
        <v>59.48905109489051</v>
      </c>
      <c r="L90" s="273">
        <f>L91</f>
        <v>68</v>
      </c>
    </row>
    <row r="91" spans="1:12" ht="12.75" customHeight="1">
      <c r="A91" s="242" t="s">
        <v>876</v>
      </c>
      <c r="B91" s="244">
        <v>822000</v>
      </c>
      <c r="C91" s="274"/>
      <c r="D91" s="274">
        <f>'[8]Jūlijs'!$F$6</f>
        <v>489150</v>
      </c>
      <c r="E91" s="271">
        <f>D91/B91*100</f>
        <v>59.50729927007299</v>
      </c>
      <c r="F91" s="273">
        <f>D91-'[7]Junijs'!D91</f>
        <v>68482</v>
      </c>
      <c r="G91" s="242" t="s">
        <v>876</v>
      </c>
      <c r="H91" s="244">
        <f>ROUND(B91/1000,0)</f>
        <v>822</v>
      </c>
      <c r="I91" s="244"/>
      <c r="J91" s="714">
        <f>ROUND(D91/1000,0)</f>
        <v>489</v>
      </c>
      <c r="K91" s="275">
        <f>J91/H91*100</f>
        <v>59.48905109489051</v>
      </c>
      <c r="L91" s="273">
        <f>J91-'[7]Junijs'!J91</f>
        <v>68</v>
      </c>
    </row>
    <row r="92" spans="1:12" ht="12.75" customHeight="1">
      <c r="A92" s="242" t="s">
        <v>213</v>
      </c>
      <c r="B92" s="273">
        <f>SUM(B93:B94)</f>
        <v>822000</v>
      </c>
      <c r="C92" s="273">
        <f>SUM(C93:C94)</f>
        <v>379000</v>
      </c>
      <c r="D92" s="273">
        <f>SUM(D93:D94)</f>
        <v>273370</v>
      </c>
      <c r="E92" s="271">
        <f>D92/B92*100</f>
        <v>33.25669099756691</v>
      </c>
      <c r="F92" s="273">
        <f>SUM(F93:F94)</f>
        <v>173846</v>
      </c>
      <c r="G92" s="242" t="s">
        <v>213</v>
      </c>
      <c r="H92" s="273">
        <f>SUM(H93:H94)</f>
        <v>822</v>
      </c>
      <c r="I92" s="244">
        <f>SUM(I93:I94)</f>
        <v>379</v>
      </c>
      <c r="J92" s="714">
        <f>SUM(J93:J94)</f>
        <v>274</v>
      </c>
      <c r="K92" s="275">
        <f>J92/H92*100</f>
        <v>33.33333333333333</v>
      </c>
      <c r="L92" s="273">
        <f>SUM(L93:L94)</f>
        <v>175</v>
      </c>
    </row>
    <row r="93" spans="1:12" ht="12.75" customHeight="1">
      <c r="A93" s="242" t="s">
        <v>214</v>
      </c>
      <c r="B93" s="244">
        <v>820000</v>
      </c>
      <c r="C93" s="274">
        <v>377000</v>
      </c>
      <c r="D93" s="274">
        <f>'[8]Jūlijs'!$F$8</f>
        <v>271911</v>
      </c>
      <c r="E93" s="271">
        <f>D93/B93*100</f>
        <v>33.15987804878049</v>
      </c>
      <c r="F93" s="273">
        <f>D93-'[7]Junijs'!D93</f>
        <v>173846</v>
      </c>
      <c r="G93" s="242" t="s">
        <v>214</v>
      </c>
      <c r="H93" s="244">
        <f>ROUND(B93/1000,0)</f>
        <v>820</v>
      </c>
      <c r="I93" s="244">
        <f>ROUND(C93/1000,0)</f>
        <v>377</v>
      </c>
      <c r="J93" s="714">
        <f>ROUND(D93/1000,0)</f>
        <v>272</v>
      </c>
      <c r="K93" s="275">
        <f>J93/H93*100</f>
        <v>33.170731707317074</v>
      </c>
      <c r="L93" s="273">
        <f>J93-'[7]Junijs'!J93</f>
        <v>174</v>
      </c>
    </row>
    <row r="94" spans="1:12" ht="12.75" customHeight="1">
      <c r="A94" s="242" t="s">
        <v>208</v>
      </c>
      <c r="B94" s="244">
        <v>2000</v>
      </c>
      <c r="C94" s="274">
        <v>2000</v>
      </c>
      <c r="D94" s="274">
        <f>'[8]Jūlijs'!$F$30</f>
        <v>1459</v>
      </c>
      <c r="E94" s="271"/>
      <c r="F94" s="273">
        <f>D94-'[7]Junijs'!D94</f>
        <v>0</v>
      </c>
      <c r="G94" s="242" t="s">
        <v>208</v>
      </c>
      <c r="H94" s="244">
        <f>ROUND(B94/1000,0)</f>
        <v>2</v>
      </c>
      <c r="I94" s="244">
        <f>ROUND(C94/1000,0)</f>
        <v>2</v>
      </c>
      <c r="J94" s="714">
        <f>ROUND(D94/1000,0)+1</f>
        <v>2</v>
      </c>
      <c r="K94" s="275">
        <f>J94/H94*100</f>
        <v>100</v>
      </c>
      <c r="L94" s="273">
        <f>J94-'[7]Junijs'!J94</f>
        <v>1</v>
      </c>
    </row>
    <row r="95" spans="1:12" ht="12.75" customHeight="1">
      <c r="A95" s="92" t="s">
        <v>247</v>
      </c>
      <c r="B95" s="273"/>
      <c r="C95" s="273"/>
      <c r="D95" s="273"/>
      <c r="E95" s="271"/>
      <c r="F95" s="273"/>
      <c r="G95" s="92" t="s">
        <v>247</v>
      </c>
      <c r="H95" s="273"/>
      <c r="I95" s="244"/>
      <c r="J95" s="714"/>
      <c r="K95" s="275"/>
      <c r="L95" s="273"/>
    </row>
    <row r="96" spans="1:12" ht="12.75" customHeight="1">
      <c r="A96" s="242" t="s">
        <v>211</v>
      </c>
      <c r="B96" s="244">
        <f>B97</f>
        <v>2100000</v>
      </c>
      <c r="C96" s="274">
        <v>591500</v>
      </c>
      <c r="D96" s="244">
        <f>D97</f>
        <v>1230535</v>
      </c>
      <c r="E96" s="271">
        <f>D96/B96*100</f>
        <v>58.59690476190477</v>
      </c>
      <c r="F96" s="273">
        <f>F97</f>
        <v>211735</v>
      </c>
      <c r="G96" s="242" t="s">
        <v>211</v>
      </c>
      <c r="H96" s="244">
        <f>H97</f>
        <v>2100</v>
      </c>
      <c r="I96" s="244">
        <f>ROUND(C96/1000,0)</f>
        <v>592</v>
      </c>
      <c r="J96" s="714">
        <f>J97</f>
        <v>1231</v>
      </c>
      <c r="K96" s="275">
        <f>J96/H96*100</f>
        <v>58.61904761904761</v>
      </c>
      <c r="L96" s="273">
        <f>L97</f>
        <v>212</v>
      </c>
    </row>
    <row r="97" spans="1:12" ht="12.75" customHeight="1">
      <c r="A97" s="242" t="s">
        <v>248</v>
      </c>
      <c r="B97" s="244">
        <v>2100000</v>
      </c>
      <c r="C97" s="274"/>
      <c r="D97" s="274">
        <f>'[8]Jūlijs'!$G$6</f>
        <v>1230535</v>
      </c>
      <c r="E97" s="271">
        <f>D97/B97*100</f>
        <v>58.59690476190477</v>
      </c>
      <c r="F97" s="273">
        <f>D97-'[7]Junijs'!D97</f>
        <v>211735</v>
      </c>
      <c r="G97" s="242" t="s">
        <v>248</v>
      </c>
      <c r="H97" s="244">
        <f>ROUND(B97/1000,0)</f>
        <v>2100</v>
      </c>
      <c r="I97" s="244"/>
      <c r="J97" s="714">
        <f>ROUND(D97/1000,0)</f>
        <v>1231</v>
      </c>
      <c r="K97" s="275">
        <f>J97/H97*100</f>
        <v>58.61904761904761</v>
      </c>
      <c r="L97" s="273">
        <f>J97-'[7]Junijs'!J97</f>
        <v>212</v>
      </c>
    </row>
    <row r="98" spans="1:12" ht="12.75" customHeight="1">
      <c r="A98" s="242" t="s">
        <v>213</v>
      </c>
      <c r="B98" s="273">
        <f>SUM(B99:B100)</f>
        <v>2198392</v>
      </c>
      <c r="C98" s="273">
        <f>SUM(C99:C100)</f>
        <v>591500</v>
      </c>
      <c r="D98" s="273">
        <f>SUM(D99:D100)</f>
        <v>506186</v>
      </c>
      <c r="E98" s="271">
        <f>D98/B98*100</f>
        <v>23.025283934803255</v>
      </c>
      <c r="F98" s="273">
        <f>SUM(F99:F100)</f>
        <v>434791</v>
      </c>
      <c r="G98" s="242" t="s">
        <v>213</v>
      </c>
      <c r="H98" s="273">
        <f>SUM(H99:H100)</f>
        <v>2198</v>
      </c>
      <c r="I98" s="274">
        <f>SUM(I99:I100)</f>
        <v>592</v>
      </c>
      <c r="J98" s="714">
        <f>SUM(J99:J100)</f>
        <v>506</v>
      </c>
      <c r="K98" s="275">
        <f>J98/H98*100</f>
        <v>23.02092811646952</v>
      </c>
      <c r="L98" s="273">
        <f>SUM(L99:L100)</f>
        <v>435</v>
      </c>
    </row>
    <row r="99" spans="1:12" ht="12.75" customHeight="1">
      <c r="A99" s="242" t="s">
        <v>214</v>
      </c>
      <c r="B99" s="244">
        <v>1500000</v>
      </c>
      <c r="C99" s="274">
        <v>447000</v>
      </c>
      <c r="D99" s="274">
        <f>'[8]Jūlijs'!$G$8</f>
        <v>425000</v>
      </c>
      <c r="E99" s="271">
        <f>D99/B99*100</f>
        <v>28.333333333333332</v>
      </c>
      <c r="F99" s="273">
        <f>D99-'[7]Junijs'!D99</f>
        <v>425000</v>
      </c>
      <c r="G99" s="242" t="s">
        <v>214</v>
      </c>
      <c r="H99" s="244">
        <f aca="true" t="shared" si="12" ref="H99:J100">ROUND(B99/1000,0)</f>
        <v>1500</v>
      </c>
      <c r="I99" s="244">
        <f t="shared" si="12"/>
        <v>447</v>
      </c>
      <c r="J99" s="714">
        <f t="shared" si="12"/>
        <v>425</v>
      </c>
      <c r="K99" s="275">
        <f>J99/H99*100</f>
        <v>28.333333333333332</v>
      </c>
      <c r="L99" s="273">
        <f>J99-'[7]Junijs'!J99</f>
        <v>425</v>
      </c>
    </row>
    <row r="100" spans="1:13" ht="12.75" customHeight="1">
      <c r="A100" s="242" t="s">
        <v>208</v>
      </c>
      <c r="B100" s="244">
        <v>698392</v>
      </c>
      <c r="C100" s="274">
        <v>144500</v>
      </c>
      <c r="D100" s="274">
        <f>'[8]Jūlijs'!$G$30</f>
        <v>81186</v>
      </c>
      <c r="E100" s="271">
        <f>D100/B100*100</f>
        <v>11.62470360485229</v>
      </c>
      <c r="F100" s="273">
        <f>D100-'[7]Junijs'!D100</f>
        <v>9791</v>
      </c>
      <c r="G100" s="242" t="s">
        <v>208</v>
      </c>
      <c r="H100" s="244">
        <f t="shared" si="12"/>
        <v>698</v>
      </c>
      <c r="I100" s="244">
        <f t="shared" si="12"/>
        <v>145</v>
      </c>
      <c r="J100" s="714">
        <f t="shared" si="12"/>
        <v>81</v>
      </c>
      <c r="K100" s="275">
        <f>J100/H100*100</f>
        <v>11.60458452722063</v>
      </c>
      <c r="L100" s="273">
        <f>J100-'[7]Junijs'!J100</f>
        <v>10</v>
      </c>
      <c r="M100" s="135"/>
    </row>
    <row r="101" spans="1:13" ht="12.75" customHeight="1">
      <c r="A101" s="32" t="s">
        <v>80</v>
      </c>
      <c r="B101" s="273"/>
      <c r="C101" s="273"/>
      <c r="D101" s="242"/>
      <c r="E101" s="271"/>
      <c r="F101" s="273"/>
      <c r="G101" s="32" t="s">
        <v>80</v>
      </c>
      <c r="H101" s="273"/>
      <c r="I101" s="242"/>
      <c r="J101" s="715"/>
      <c r="K101" s="275"/>
      <c r="L101" s="273"/>
      <c r="M101" s="84"/>
    </row>
    <row r="102" spans="1:13" ht="12.75" customHeight="1">
      <c r="A102" s="278" t="s">
        <v>249</v>
      </c>
      <c r="B102" s="273"/>
      <c r="C102" s="273"/>
      <c r="D102" s="242"/>
      <c r="E102" s="271"/>
      <c r="F102" s="273"/>
      <c r="G102" s="32" t="s">
        <v>249</v>
      </c>
      <c r="H102" s="273"/>
      <c r="I102" s="242"/>
      <c r="J102" s="715"/>
      <c r="K102" s="275"/>
      <c r="L102" s="273"/>
      <c r="M102" s="84"/>
    </row>
    <row r="103" spans="1:12" ht="12.75" customHeight="1">
      <c r="A103" s="242" t="s">
        <v>211</v>
      </c>
      <c r="B103" s="273">
        <f>SUM(B104:B107)</f>
        <v>139410705</v>
      </c>
      <c r="C103" s="277">
        <v>81093532</v>
      </c>
      <c r="D103" s="273">
        <f>SUM(D104:D107)</f>
        <v>80231695</v>
      </c>
      <c r="E103" s="271">
        <f aca="true" t="shared" si="13" ref="E103:E113">D103/B103*100</f>
        <v>57.55059842786105</v>
      </c>
      <c r="F103" s="273">
        <f>SUM(F104:F107)</f>
        <v>11745079</v>
      </c>
      <c r="G103" s="242" t="s">
        <v>211</v>
      </c>
      <c r="H103" s="273">
        <f>SUM(H104:H107)</f>
        <v>139411</v>
      </c>
      <c r="I103" s="244">
        <f>ROUND(C103/1000,0)</f>
        <v>81094</v>
      </c>
      <c r="J103" s="714">
        <f>SUM(J104:J107)</f>
        <v>80232</v>
      </c>
      <c r="K103" s="275">
        <f aca="true" t="shared" si="14" ref="K103:K113">J103/H103*100</f>
        <v>57.55069542575551</v>
      </c>
      <c r="L103" s="273">
        <f>SUM(L104:L107)</f>
        <v>11745</v>
      </c>
    </row>
    <row r="104" spans="1:12" ht="12.75" customHeight="1">
      <c r="A104" s="242" t="s">
        <v>250</v>
      </c>
      <c r="B104" s="273">
        <v>81519197</v>
      </c>
      <c r="C104" s="277"/>
      <c r="D104" s="277">
        <v>45019704</v>
      </c>
      <c r="E104" s="271">
        <f t="shared" si="13"/>
        <v>55.22589237477401</v>
      </c>
      <c r="F104" s="273">
        <f>D104-'[7]Junijs'!D104</f>
        <v>6955353</v>
      </c>
      <c r="G104" s="242" t="s">
        <v>250</v>
      </c>
      <c r="H104" s="244">
        <f>ROUND(B104/1000,0)</f>
        <v>81519</v>
      </c>
      <c r="I104" s="244"/>
      <c r="J104" s="714">
        <f>ROUND(D104/1000,0)</f>
        <v>45020</v>
      </c>
      <c r="K104" s="275">
        <f t="shared" si="14"/>
        <v>55.22638894000171</v>
      </c>
      <c r="L104" s="273">
        <f>J104-'[7]Junijs'!J104</f>
        <v>6956</v>
      </c>
    </row>
    <row r="105" spans="1:12" ht="12.75" customHeight="1">
      <c r="A105" s="242" t="s">
        <v>251</v>
      </c>
      <c r="B105" s="273">
        <v>54613594</v>
      </c>
      <c r="C105" s="277"/>
      <c r="D105" s="277">
        <f>34517205-899239</f>
        <v>33617966</v>
      </c>
      <c r="E105" s="271">
        <f t="shared" si="13"/>
        <v>61.55604042466057</v>
      </c>
      <c r="F105" s="273">
        <f>D105-'[7]Junijs'!D105</f>
        <v>4659135</v>
      </c>
      <c r="G105" s="242" t="s">
        <v>251</v>
      </c>
      <c r="H105" s="244">
        <f>ROUND(B105/1000,0)</f>
        <v>54614</v>
      </c>
      <c r="I105" s="244"/>
      <c r="J105" s="714">
        <f>ROUND(D105/1000,0)</f>
        <v>33618</v>
      </c>
      <c r="K105" s="275">
        <f t="shared" si="14"/>
        <v>61.55564507269199</v>
      </c>
      <c r="L105" s="273">
        <f>J105-'[7]Junijs'!J105</f>
        <v>4659</v>
      </c>
    </row>
    <row r="106" spans="1:12" ht="12.75" customHeight="1">
      <c r="A106" s="282" t="s">
        <v>128</v>
      </c>
      <c r="B106" s="273">
        <v>3212246</v>
      </c>
      <c r="C106" s="277"/>
      <c r="D106" s="277">
        <v>1594025</v>
      </c>
      <c r="E106" s="271">
        <f t="shared" si="13"/>
        <v>49.623378782322405</v>
      </c>
      <c r="F106" s="273">
        <f>D106-'[7]Junijs'!D106</f>
        <v>130591</v>
      </c>
      <c r="G106" s="125" t="s">
        <v>128</v>
      </c>
      <c r="H106" s="244">
        <f>ROUND(B106/1000,0)</f>
        <v>3212</v>
      </c>
      <c r="I106" s="244"/>
      <c r="J106" s="714">
        <f>ROUND(D106/1000,0)</f>
        <v>1594</v>
      </c>
      <c r="K106" s="275">
        <f t="shared" si="14"/>
        <v>49.62640099626401</v>
      </c>
      <c r="L106" s="273">
        <f>J106-'[7]Junijs'!J106</f>
        <v>130</v>
      </c>
    </row>
    <row r="107" spans="1:12" ht="12.75" customHeight="1">
      <c r="A107" s="242" t="s">
        <v>129</v>
      </c>
      <c r="B107" s="273">
        <v>65668</v>
      </c>
      <c r="C107" s="277"/>
      <c r="D107" s="277"/>
      <c r="E107" s="271">
        <f t="shared" si="13"/>
        <v>0</v>
      </c>
      <c r="F107" s="273">
        <f>D107-'[7]Junijs'!D107</f>
        <v>0</v>
      </c>
      <c r="G107" s="242" t="s">
        <v>129</v>
      </c>
      <c r="H107" s="244">
        <f>ROUND(B107/1000,0)</f>
        <v>66</v>
      </c>
      <c r="I107" s="244"/>
      <c r="J107" s="714">
        <f>ROUND(D107/1000,0)</f>
        <v>0</v>
      </c>
      <c r="K107" s="275">
        <f t="shared" si="14"/>
        <v>0</v>
      </c>
      <c r="L107" s="273">
        <f>J107-'[7]Junijs'!J107</f>
        <v>0</v>
      </c>
    </row>
    <row r="108" spans="1:12" ht="12.75" customHeight="1">
      <c r="A108" s="242" t="s">
        <v>213</v>
      </c>
      <c r="B108" s="273">
        <f>B109+B111</f>
        <v>144348387</v>
      </c>
      <c r="C108" s="273">
        <f>C109+C111</f>
        <v>85956214</v>
      </c>
      <c r="D108" s="273">
        <f>D109+D111</f>
        <v>81663817</v>
      </c>
      <c r="E108" s="271">
        <f t="shared" si="13"/>
        <v>56.57411121608169</v>
      </c>
      <c r="F108" s="273">
        <f>F109+F111</f>
        <v>11482073</v>
      </c>
      <c r="G108" s="242" t="s">
        <v>213</v>
      </c>
      <c r="H108" s="273">
        <f>H109+H111</f>
        <v>144349</v>
      </c>
      <c r="I108" s="274">
        <f>SUM(I109,I111)</f>
        <v>85956</v>
      </c>
      <c r="J108" s="714">
        <f>SUM(J109,J111)</f>
        <v>81664</v>
      </c>
      <c r="K108" s="275">
        <f t="shared" si="14"/>
        <v>56.573997741584634</v>
      </c>
      <c r="L108" s="273">
        <f>L109+L111</f>
        <v>11483</v>
      </c>
    </row>
    <row r="109" spans="1:12" ht="12.75" customHeight="1">
      <c r="A109" s="242" t="s">
        <v>214</v>
      </c>
      <c r="B109" s="273">
        <v>139939766</v>
      </c>
      <c r="C109" s="274">
        <v>82090511</v>
      </c>
      <c r="D109" s="277">
        <f>'[8]Jūlijs'!$D$8</f>
        <v>80198483</v>
      </c>
      <c r="E109" s="271">
        <f t="shared" si="13"/>
        <v>57.309287625934715</v>
      </c>
      <c r="F109" s="273">
        <f>D109-'[7]Junijs'!D109</f>
        <v>11305015</v>
      </c>
      <c r="G109" s="242" t="s">
        <v>214</v>
      </c>
      <c r="H109" s="244">
        <f>ROUND(B109/1000,0)</f>
        <v>139940</v>
      </c>
      <c r="I109" s="244">
        <f>ROUND(C109/1000,0)-1</f>
        <v>82090</v>
      </c>
      <c r="J109" s="714">
        <f>ROUND(D109/1000,0)+1</f>
        <v>80199</v>
      </c>
      <c r="K109" s="275">
        <f t="shared" si="14"/>
        <v>57.30956124053166</v>
      </c>
      <c r="L109" s="273">
        <f>J109-'[7]Junijs'!J109</f>
        <v>11306</v>
      </c>
    </row>
    <row r="110" spans="1:12" ht="12.75" customHeight="1">
      <c r="A110" s="276" t="s">
        <v>245</v>
      </c>
      <c r="B110" s="273">
        <v>1288396</v>
      </c>
      <c r="C110" s="277"/>
      <c r="D110" s="713">
        <v>625081</v>
      </c>
      <c r="E110" s="271">
        <f t="shared" si="13"/>
        <v>48.51621706369781</v>
      </c>
      <c r="F110" s="273">
        <f>D110-'[7]Junijs'!D110</f>
        <v>0</v>
      </c>
      <c r="G110" s="276" t="s">
        <v>245</v>
      </c>
      <c r="H110" s="244">
        <f>ROUND(B110/1000,0)</f>
        <v>1288</v>
      </c>
      <c r="I110" s="244"/>
      <c r="J110" s="714">
        <f>ROUND(D110/1000,0)</f>
        <v>625</v>
      </c>
      <c r="K110" s="275">
        <f t="shared" si="14"/>
        <v>48.524844720496894</v>
      </c>
      <c r="L110" s="273">
        <f>J110-'[7]Junijs'!J110</f>
        <v>0</v>
      </c>
    </row>
    <row r="111" spans="1:12" ht="12.75" customHeight="1">
      <c r="A111" s="242" t="s">
        <v>208</v>
      </c>
      <c r="B111" s="273">
        <v>4408621</v>
      </c>
      <c r="C111" s="274">
        <v>3865703</v>
      </c>
      <c r="D111" s="277">
        <f>'[8]Jūlijs'!$D$30</f>
        <v>1465334</v>
      </c>
      <c r="E111" s="271">
        <f t="shared" si="13"/>
        <v>33.23792179005635</v>
      </c>
      <c r="F111" s="273">
        <f>D111-'[7]Junijs'!D111</f>
        <v>177058</v>
      </c>
      <c r="G111" s="242" t="s">
        <v>208</v>
      </c>
      <c r="H111" s="244">
        <f>ROUND(B111/1000,0)</f>
        <v>4409</v>
      </c>
      <c r="I111" s="244">
        <f>ROUND(C111/1000,0)</f>
        <v>3866</v>
      </c>
      <c r="J111" s="714">
        <f>ROUND(D111/1000,0)</f>
        <v>1465</v>
      </c>
      <c r="K111" s="275">
        <f t="shared" si="14"/>
        <v>33.227489226581994</v>
      </c>
      <c r="L111" s="273">
        <f>J111-'[7]Junijs'!J111</f>
        <v>177</v>
      </c>
    </row>
    <row r="112" spans="1:12" ht="12.75" customHeight="1">
      <c r="A112" s="242" t="s">
        <v>55</v>
      </c>
      <c r="B112" s="273">
        <f>B103-B108</f>
        <v>-4937682</v>
      </c>
      <c r="C112" s="273">
        <f>C103-C108</f>
        <v>-4862682</v>
      </c>
      <c r="D112" s="273">
        <f>D103-D108</f>
        <v>-1432122</v>
      </c>
      <c r="E112" s="271">
        <f t="shared" si="13"/>
        <v>29.003933424631235</v>
      </c>
      <c r="F112" s="273">
        <f>F103-F108</f>
        <v>263006</v>
      </c>
      <c r="G112" s="242" t="s">
        <v>55</v>
      </c>
      <c r="H112" s="273">
        <f>H103-H108</f>
        <v>-4938</v>
      </c>
      <c r="I112" s="244">
        <f>ROUND(C112/1000,0)</f>
        <v>-4863</v>
      </c>
      <c r="J112" s="714">
        <f>J103-J108</f>
        <v>-1432</v>
      </c>
      <c r="K112" s="275">
        <f t="shared" si="14"/>
        <v>28.999594977723774</v>
      </c>
      <c r="L112" s="273">
        <f>L103-L108</f>
        <v>262</v>
      </c>
    </row>
    <row r="113" spans="1:12" ht="12.75" customHeight="1">
      <c r="A113" s="282" t="s">
        <v>238</v>
      </c>
      <c r="B113" s="273">
        <v>3177098</v>
      </c>
      <c r="C113" s="277">
        <f>2200000+80000+383300+157298+90000+96500+95000</f>
        <v>3102098</v>
      </c>
      <c r="D113" s="277">
        <f>'[8]Jūlijs'!$D$43</f>
        <v>899239</v>
      </c>
      <c r="E113" s="271">
        <f t="shared" si="13"/>
        <v>28.30378540416443</v>
      </c>
      <c r="F113" s="273">
        <f>D113-'[7]Junijs'!D113</f>
        <v>69031</v>
      </c>
      <c r="G113" s="242" t="s">
        <v>238</v>
      </c>
      <c r="H113" s="244">
        <f>ROUND(B113/1000,0)</f>
        <v>3177</v>
      </c>
      <c r="I113" s="244">
        <f>ROUND(C113/1000,0)</f>
        <v>3102</v>
      </c>
      <c r="J113" s="714">
        <f>ROUND(D113/1000,0)</f>
        <v>899</v>
      </c>
      <c r="K113" s="275">
        <f t="shared" si="14"/>
        <v>28.297135662574757</v>
      </c>
      <c r="L113" s="273">
        <f>J113-'[7]Junijs'!J113</f>
        <v>69</v>
      </c>
    </row>
    <row r="114" spans="1:12" ht="12.75" customHeight="1">
      <c r="A114" s="236" t="s">
        <v>252</v>
      </c>
      <c r="B114" s="273"/>
      <c r="C114" s="273"/>
      <c r="D114" s="273"/>
      <c r="E114" s="271"/>
      <c r="F114" s="273"/>
      <c r="G114" s="236" t="s">
        <v>252</v>
      </c>
      <c r="H114" s="273"/>
      <c r="I114" s="244"/>
      <c r="J114" s="714"/>
      <c r="K114" s="275"/>
      <c r="L114" s="273"/>
    </row>
    <row r="115" spans="1:12" ht="12.75" customHeight="1">
      <c r="A115" s="242" t="s">
        <v>211</v>
      </c>
      <c r="B115" s="273">
        <f>SUM(B116:B118)</f>
        <v>503151370</v>
      </c>
      <c r="C115" s="277">
        <f>37020270+37889203+39825423+40449323+42619883+42381558+43325703</f>
        <v>283511363</v>
      </c>
      <c r="D115" s="273">
        <f>SUM(D116:D118)</f>
        <v>280583715</v>
      </c>
      <c r="E115" s="271">
        <f aca="true" t="shared" si="15" ref="E115:E120">D115/B115*100</f>
        <v>55.76526900840994</v>
      </c>
      <c r="F115" s="273">
        <f>SUM(F116:F118)</f>
        <v>42249107</v>
      </c>
      <c r="G115" s="242" t="s">
        <v>211</v>
      </c>
      <c r="H115" s="273">
        <f>SUM(H116:H118)</f>
        <v>503151</v>
      </c>
      <c r="I115" s="244">
        <f>ROUND(C115/1000,0)</f>
        <v>283511</v>
      </c>
      <c r="J115" s="714">
        <f>SUM(J116:J118)</f>
        <v>280584</v>
      </c>
      <c r="K115" s="275">
        <f aca="true" t="shared" si="16" ref="K115:K120">J115/H115*100</f>
        <v>55.76536665931301</v>
      </c>
      <c r="L115" s="273">
        <f>SUM(L116:L118)</f>
        <v>42249</v>
      </c>
    </row>
    <row r="116" spans="1:12" ht="12.75" customHeight="1">
      <c r="A116" s="242" t="s">
        <v>253</v>
      </c>
      <c r="B116" s="244">
        <v>495585390</v>
      </c>
      <c r="C116" s="274"/>
      <c r="D116" s="274">
        <v>275604671</v>
      </c>
      <c r="E116" s="271">
        <f t="shared" si="15"/>
        <v>55.611944290770964</v>
      </c>
      <c r="F116" s="273">
        <f>D116-'[7]Junijs'!D116</f>
        <v>41525177</v>
      </c>
      <c r="G116" s="242" t="s">
        <v>253</v>
      </c>
      <c r="H116" s="244">
        <f>ROUND(B116/1000,0)</f>
        <v>495585</v>
      </c>
      <c r="I116" s="244"/>
      <c r="J116" s="714">
        <f>ROUND(D116/1000,0)</f>
        <v>275605</v>
      </c>
      <c r="K116" s="275">
        <f t="shared" si="16"/>
        <v>55.612054440711475</v>
      </c>
      <c r="L116" s="273">
        <f>J116-'[7]Junijs'!J116</f>
        <v>41525</v>
      </c>
    </row>
    <row r="117" spans="1:12" ht="12.75" customHeight="1">
      <c r="A117" s="242" t="s">
        <v>254</v>
      </c>
      <c r="B117" s="244">
        <f>300000+1890000+26000+4402694</f>
        <v>6618694</v>
      </c>
      <c r="C117" s="274"/>
      <c r="D117" s="274">
        <v>3725629</v>
      </c>
      <c r="E117" s="271">
        <f t="shared" si="15"/>
        <v>56.28948853051674</v>
      </c>
      <c r="F117" s="273">
        <f>D117-'[7]Junijs'!D117</f>
        <v>551433</v>
      </c>
      <c r="G117" s="242" t="s">
        <v>254</v>
      </c>
      <c r="H117" s="244">
        <f>ROUND(B117/1000,0)</f>
        <v>6619</v>
      </c>
      <c r="I117" s="244"/>
      <c r="J117" s="714">
        <f>ROUND(D117/1000,0)</f>
        <v>3726</v>
      </c>
      <c r="K117" s="275">
        <f t="shared" si="16"/>
        <v>56.29249131288714</v>
      </c>
      <c r="L117" s="273">
        <f>J117-'[7]Junijs'!J117</f>
        <v>552</v>
      </c>
    </row>
    <row r="118" spans="1:12" ht="12.75" customHeight="1">
      <c r="A118" s="242" t="s">
        <v>255</v>
      </c>
      <c r="B118" s="244">
        <f>7565980-B117</f>
        <v>947286</v>
      </c>
      <c r="C118" s="274"/>
      <c r="D118" s="274">
        <f>4979044-D117</f>
        <v>1253415</v>
      </c>
      <c r="E118" s="271">
        <f t="shared" si="15"/>
        <v>132.3164281959197</v>
      </c>
      <c r="F118" s="273">
        <f>D118-'[7]Junijs'!D118</f>
        <v>172497</v>
      </c>
      <c r="G118" s="242" t="s">
        <v>255</v>
      </c>
      <c r="H118" s="244">
        <f>ROUND(B118/1000,0)</f>
        <v>947</v>
      </c>
      <c r="I118" s="244"/>
      <c r="J118" s="714">
        <f>ROUND(D118/1000,0)</f>
        <v>1253</v>
      </c>
      <c r="K118" s="275">
        <f t="shared" si="16"/>
        <v>132.31256599788807</v>
      </c>
      <c r="L118" s="273">
        <f>J118-'[7]Junijs'!J118</f>
        <v>172</v>
      </c>
    </row>
    <row r="119" spans="1:12" ht="12.75" customHeight="1">
      <c r="A119" s="242" t="s">
        <v>256</v>
      </c>
      <c r="B119" s="273">
        <f>B120+B122</f>
        <v>531459579</v>
      </c>
      <c r="C119" s="273">
        <f>C120+C122</f>
        <v>309982829</v>
      </c>
      <c r="D119" s="273">
        <f>D120+D122</f>
        <v>292618318</v>
      </c>
      <c r="E119" s="271">
        <f t="shared" si="15"/>
        <v>55.05937413915725</v>
      </c>
      <c r="F119" s="273">
        <f>D119-'[7]Junijs'!D119</f>
        <v>45934077</v>
      </c>
      <c r="G119" s="242" t="s">
        <v>755</v>
      </c>
      <c r="H119" s="273">
        <f>H120+H122</f>
        <v>531460</v>
      </c>
      <c r="I119" s="274">
        <f>I120+I122</f>
        <v>309983</v>
      </c>
      <c r="J119" s="714">
        <f>J120+J122</f>
        <v>292618</v>
      </c>
      <c r="K119" s="275">
        <f t="shared" si="16"/>
        <v>55.05927068829263</v>
      </c>
      <c r="L119" s="273">
        <f>J119-'[7]Junijs'!J119</f>
        <v>45934</v>
      </c>
    </row>
    <row r="120" spans="1:12" ht="12.75" customHeight="1">
      <c r="A120" s="242" t="s">
        <v>214</v>
      </c>
      <c r="B120" s="244">
        <v>528034579</v>
      </c>
      <c r="C120" s="274">
        <f>45260560+43818270+42609997+44770545+44388715+42191312+45429430</f>
        <v>308468829</v>
      </c>
      <c r="D120" s="274">
        <f>'[8]Jūlijs'!$C$8</f>
        <v>291789231</v>
      </c>
      <c r="E120" s="271">
        <f t="shared" si="15"/>
        <v>55.25949295832007</v>
      </c>
      <c r="F120" s="273">
        <f>D120-'[7]Junijs'!D120</f>
        <v>45599457</v>
      </c>
      <c r="G120" s="242" t="s">
        <v>214</v>
      </c>
      <c r="H120" s="244">
        <f>ROUND(B120/1000,0)</f>
        <v>528035</v>
      </c>
      <c r="I120" s="244">
        <f>ROUND(C120/1000,0)</f>
        <v>308469</v>
      </c>
      <c r="J120" s="714">
        <f>ROUND(D120/1000,0)</f>
        <v>291789</v>
      </c>
      <c r="K120" s="275">
        <f t="shared" si="16"/>
        <v>55.25940515306751</v>
      </c>
      <c r="L120" s="273">
        <f>J120-'[7]Junijs'!J120</f>
        <v>45599</v>
      </c>
    </row>
    <row r="121" spans="1:12" ht="12.75" customHeight="1">
      <c r="A121" s="276" t="s">
        <v>245</v>
      </c>
      <c r="B121" s="244">
        <v>10782</v>
      </c>
      <c r="C121" s="274"/>
      <c r="D121" s="274">
        <f>'[8]Jūlijs'!$C$15</f>
        <v>0</v>
      </c>
      <c r="E121" s="271"/>
      <c r="F121" s="273">
        <f>D121-'[7]Junijs'!D121</f>
        <v>0</v>
      </c>
      <c r="G121" s="276" t="s">
        <v>245</v>
      </c>
      <c r="H121" s="244">
        <f>ROUND(B121/1000,0)</f>
        <v>11</v>
      </c>
      <c r="I121" s="244"/>
      <c r="J121" s="714"/>
      <c r="K121" s="275"/>
      <c r="L121" s="273">
        <f>J121-'[7]Junijs'!J121</f>
        <v>0</v>
      </c>
    </row>
    <row r="122" spans="1:12" ht="12.75" customHeight="1">
      <c r="A122" s="242" t="s">
        <v>208</v>
      </c>
      <c r="B122" s="244">
        <v>3425000</v>
      </c>
      <c r="C122" s="274">
        <f>234780+215420+194320+168470+222820+478190</f>
        <v>1514000</v>
      </c>
      <c r="D122" s="274">
        <f>'[8]Jūlijs'!$C$30</f>
        <v>829087</v>
      </c>
      <c r="E122" s="271">
        <f>D122/B122*100</f>
        <v>24.206919708029197</v>
      </c>
      <c r="F122" s="273">
        <f>D122-'[7]Junijs'!D122</f>
        <v>334620</v>
      </c>
      <c r="G122" s="242" t="s">
        <v>208</v>
      </c>
      <c r="H122" s="244">
        <f>ROUND(B122/1000,0)</f>
        <v>3425</v>
      </c>
      <c r="I122" s="244">
        <f>ROUND(C122/1000,0)</f>
        <v>1514</v>
      </c>
      <c r="J122" s="714">
        <f>ROUND(D122/1000,0)</f>
        <v>829</v>
      </c>
      <c r="K122" s="275">
        <f>J122/H122*100</f>
        <v>24.204379562043794</v>
      </c>
      <c r="L122" s="273">
        <f>J122-'[7]Junijs'!J122</f>
        <v>335</v>
      </c>
    </row>
    <row r="123" spans="1:12" ht="12.75" customHeight="1">
      <c r="A123" s="242" t="s">
        <v>55</v>
      </c>
      <c r="B123" s="244">
        <f>B115-B119</f>
        <v>-28308209</v>
      </c>
      <c r="C123" s="244">
        <f>C115-C119</f>
        <v>-26471466</v>
      </c>
      <c r="D123" s="244">
        <f>D115-D119</f>
        <v>-12034603</v>
      </c>
      <c r="E123" s="271">
        <f>D123/B123*100</f>
        <v>42.51276723299591</v>
      </c>
      <c r="F123" s="273">
        <f>D123-'[7]Junijs'!D123</f>
        <v>-3684970</v>
      </c>
      <c r="G123" s="242" t="s">
        <v>55</v>
      </c>
      <c r="H123" s="244">
        <f>H115-H119</f>
        <v>-28309</v>
      </c>
      <c r="I123" s="244">
        <f>ROUND(C123/1000,0)</f>
        <v>-26471</v>
      </c>
      <c r="J123" s="714">
        <f>J115-J119</f>
        <v>-12034</v>
      </c>
      <c r="K123" s="275"/>
      <c r="L123" s="273">
        <f>J123-'[7]Junijs'!J123</f>
        <v>-3685</v>
      </c>
    </row>
    <row r="124" spans="1:12" ht="12.75" customHeight="1">
      <c r="A124" s="242" t="s">
        <v>238</v>
      </c>
      <c r="B124" s="244">
        <v>27710492</v>
      </c>
      <c r="C124" s="274">
        <f>C133+C142+C157+C167</f>
        <v>26581705</v>
      </c>
      <c r="D124" s="274">
        <f>'[8]Jūlijs'!$C$39+'[8]Jūlijs'!$C$43</f>
        <v>15220974</v>
      </c>
      <c r="E124" s="271">
        <f>D124/B124*100</f>
        <v>54.9285591897827</v>
      </c>
      <c r="F124" s="273">
        <f>D124-'[7]Junijs'!D124</f>
        <v>3717697</v>
      </c>
      <c r="G124" s="242" t="s">
        <v>238</v>
      </c>
      <c r="H124" s="244">
        <f>ROUND(B124/1000,0)</f>
        <v>27710</v>
      </c>
      <c r="I124" s="244">
        <f>ROUND(C124/1000,0)</f>
        <v>26582</v>
      </c>
      <c r="J124" s="714">
        <f>ROUND(D124/1000,0)</f>
        <v>15221</v>
      </c>
      <c r="K124" s="275">
        <f>J124/H124*100</f>
        <v>54.929628293035</v>
      </c>
      <c r="L124" s="273">
        <f>J124-'[7]Junijs'!J124</f>
        <v>3718</v>
      </c>
    </row>
    <row r="125" spans="1:12" ht="12.75" customHeight="1">
      <c r="A125" s="236" t="s">
        <v>257</v>
      </c>
      <c r="B125" s="273"/>
      <c r="C125" s="273"/>
      <c r="D125" s="273"/>
      <c r="E125" s="271"/>
      <c r="F125" s="273"/>
      <c r="G125" s="236" t="s">
        <v>257</v>
      </c>
      <c r="H125" s="273"/>
      <c r="I125" s="244"/>
      <c r="J125" s="714"/>
      <c r="K125" s="275"/>
      <c r="L125" s="273"/>
    </row>
    <row r="126" spans="1:12" ht="12.75" customHeight="1">
      <c r="A126" s="242" t="s">
        <v>211</v>
      </c>
      <c r="B126" s="273">
        <f>SUM(B127:B129)</f>
        <v>404005990</v>
      </c>
      <c r="C126" s="277">
        <f>29912540+30602264+32086097+32550828+34175954+33983068+34733804</f>
        <v>228044555</v>
      </c>
      <c r="D126" s="273">
        <f>SUM(D127:D129)</f>
        <v>226535098</v>
      </c>
      <c r="E126" s="271">
        <f aca="true" t="shared" si="17" ref="E126:E133">D126/B126*100</f>
        <v>56.07221269169796</v>
      </c>
      <c r="F126" s="273">
        <f>SUM(F127:F129)</f>
        <v>33993949</v>
      </c>
      <c r="G126" s="242" t="s">
        <v>211</v>
      </c>
      <c r="H126" s="273">
        <f>SUM(H127:H129)</f>
        <v>404006</v>
      </c>
      <c r="I126" s="244">
        <f>ROUND(C126/1000,0)</f>
        <v>228045</v>
      </c>
      <c r="J126" s="714">
        <f>SUM(J127:J129)</f>
        <v>226535</v>
      </c>
      <c r="K126" s="275">
        <f aca="true" t="shared" si="18" ref="K126:K131">J126/H126*100</f>
        <v>56.07218704672703</v>
      </c>
      <c r="L126" s="273">
        <f>SUM(L127:L129)</f>
        <v>33994</v>
      </c>
    </row>
    <row r="127" spans="1:12" ht="12.75" customHeight="1">
      <c r="A127" s="276" t="s">
        <v>253</v>
      </c>
      <c r="B127" s="283">
        <v>381116067</v>
      </c>
      <c r="C127" s="284"/>
      <c r="D127" s="284">
        <v>212661083</v>
      </c>
      <c r="E127" s="271">
        <f t="shared" si="17"/>
        <v>55.799558563349684</v>
      </c>
      <c r="F127" s="273">
        <f>D127-'[7]Junijs'!D127</f>
        <v>32040856</v>
      </c>
      <c r="G127" s="276" t="s">
        <v>253</v>
      </c>
      <c r="H127" s="244">
        <f>ROUND(B127/1000,0)</f>
        <v>381116</v>
      </c>
      <c r="I127" s="244"/>
      <c r="J127" s="714">
        <f>ROUND(D127/1000,0)</f>
        <v>212661</v>
      </c>
      <c r="K127" s="275">
        <f t="shared" si="18"/>
        <v>55.799546594737556</v>
      </c>
      <c r="L127" s="273">
        <f>J127-'[7]Junijs'!J127</f>
        <v>32041</v>
      </c>
    </row>
    <row r="128" spans="1:12" ht="12.75" customHeight="1">
      <c r="A128" s="276" t="s">
        <v>254</v>
      </c>
      <c r="B128" s="283">
        <v>3958763</v>
      </c>
      <c r="C128" s="284"/>
      <c r="D128" s="284">
        <v>181590</v>
      </c>
      <c r="E128" s="271">
        <f t="shared" si="17"/>
        <v>4.587038931100447</v>
      </c>
      <c r="F128" s="273">
        <f>D128-'[7]Junijs'!D128</f>
        <v>-1692373</v>
      </c>
      <c r="G128" s="276" t="s">
        <v>254</v>
      </c>
      <c r="H128" s="244">
        <f>ROUND(B128/1000,0)</f>
        <v>3959</v>
      </c>
      <c r="I128" s="244"/>
      <c r="J128" s="714">
        <f>ROUND(D128/1000,0)</f>
        <v>182</v>
      </c>
      <c r="K128" s="275">
        <f t="shared" si="18"/>
        <v>4.597120484970952</v>
      </c>
      <c r="L128" s="273">
        <f>J128-'[7]Junijs'!J128</f>
        <v>-1692</v>
      </c>
    </row>
    <row r="129" spans="1:12" ht="12.75" customHeight="1">
      <c r="A129" s="276" t="s">
        <v>255</v>
      </c>
      <c r="B129" s="283">
        <f>22889923-B128</f>
        <v>18931160</v>
      </c>
      <c r="C129" s="284"/>
      <c r="D129" s="284">
        <f>13874015-D128</f>
        <v>13692425</v>
      </c>
      <c r="E129" s="271">
        <f t="shared" si="17"/>
        <v>72.32744850289153</v>
      </c>
      <c r="F129" s="273">
        <f>D129-'[7]Junijs'!D129</f>
        <v>3645466</v>
      </c>
      <c r="G129" s="276" t="s">
        <v>255</v>
      </c>
      <c r="H129" s="244">
        <f>ROUND(B129/1000,0)</f>
        <v>18931</v>
      </c>
      <c r="I129" s="244"/>
      <c r="J129" s="714">
        <f>ROUND(D129/1000,0)</f>
        <v>13692</v>
      </c>
      <c r="K129" s="275">
        <f t="shared" si="18"/>
        <v>72.32581480111986</v>
      </c>
      <c r="L129" s="273">
        <f>J129-'[7]Junijs'!J129</f>
        <v>3645</v>
      </c>
    </row>
    <row r="130" spans="1:12" ht="12.75" customHeight="1">
      <c r="A130" s="242" t="s">
        <v>213</v>
      </c>
      <c r="B130" s="273">
        <f>B131</f>
        <v>420646538</v>
      </c>
      <c r="C130" s="273">
        <f>C131</f>
        <v>246382177</v>
      </c>
      <c r="D130" s="273">
        <f>D131</f>
        <v>235465147</v>
      </c>
      <c r="E130" s="271">
        <f t="shared" si="17"/>
        <v>55.97696063767438</v>
      </c>
      <c r="F130" s="274">
        <f>F131</f>
        <v>36271025</v>
      </c>
      <c r="G130" s="242" t="s">
        <v>213</v>
      </c>
      <c r="H130" s="273">
        <f>H131</f>
        <v>420647</v>
      </c>
      <c r="I130" s="274">
        <f>I131</f>
        <v>246382</v>
      </c>
      <c r="J130" s="714">
        <f>J131</f>
        <v>235465</v>
      </c>
      <c r="K130" s="275">
        <f t="shared" si="18"/>
        <v>55.97686421155981</v>
      </c>
      <c r="L130" s="274">
        <f>L131</f>
        <v>36271</v>
      </c>
    </row>
    <row r="131" spans="1:12" ht="12.75" customHeight="1">
      <c r="A131" s="276" t="s">
        <v>258</v>
      </c>
      <c r="B131" s="283">
        <v>420646538</v>
      </c>
      <c r="C131" s="284">
        <f>37274115+35396966+33400791+35356641+35354519+33315640+36283505</f>
        <v>246382177</v>
      </c>
      <c r="D131" s="284">
        <v>235465147</v>
      </c>
      <c r="E131" s="271">
        <f t="shared" si="17"/>
        <v>55.97696063767438</v>
      </c>
      <c r="F131" s="273">
        <f>D131-'[7]Junijs'!D131</f>
        <v>36271025</v>
      </c>
      <c r="G131" s="276" t="s">
        <v>258</v>
      </c>
      <c r="H131" s="244">
        <f>ROUND(B131/1000,0)</f>
        <v>420647</v>
      </c>
      <c r="I131" s="244">
        <f>ROUND(C131/1000,0)</f>
        <v>246382</v>
      </c>
      <c r="J131" s="714">
        <f>ROUND(D131/1000,0)</f>
        <v>235465</v>
      </c>
      <c r="K131" s="275">
        <f t="shared" si="18"/>
        <v>55.97686421155981</v>
      </c>
      <c r="L131" s="273">
        <f>J131-'[7]Junijs'!J131</f>
        <v>36271</v>
      </c>
    </row>
    <row r="132" spans="1:12" ht="12.75" customHeight="1">
      <c r="A132" s="242" t="s">
        <v>55</v>
      </c>
      <c r="B132" s="244">
        <f>B126-B130</f>
        <v>-16640548</v>
      </c>
      <c r="C132" s="244">
        <f>C126-C130</f>
        <v>-18337622</v>
      </c>
      <c r="D132" s="244">
        <f>D126-D130</f>
        <v>-8930049</v>
      </c>
      <c r="E132" s="271">
        <f t="shared" si="17"/>
        <v>53.664392542841746</v>
      </c>
      <c r="F132" s="273">
        <f>F126-F130</f>
        <v>-2277076</v>
      </c>
      <c r="G132" s="242" t="s">
        <v>55</v>
      </c>
      <c r="H132" s="244">
        <f>H126-H130</f>
        <v>-16641</v>
      </c>
      <c r="I132" s="244">
        <f>ROUND(C132/1000,0)</f>
        <v>-18338</v>
      </c>
      <c r="J132" s="714">
        <f>J126-J130</f>
        <v>-8930</v>
      </c>
      <c r="K132" s="275"/>
      <c r="L132" s="273">
        <f>L126-L130</f>
        <v>-2277</v>
      </c>
    </row>
    <row r="133" spans="1:12" ht="12.75" customHeight="1">
      <c r="A133" s="242" t="s">
        <v>238</v>
      </c>
      <c r="B133" s="244">
        <v>16640548</v>
      </c>
      <c r="C133" s="274">
        <f>7361575+4794702+1314694+2805813+1178565-667428+1549701</f>
        <v>18337622</v>
      </c>
      <c r="D133" s="274">
        <v>8933661</v>
      </c>
      <c r="E133" s="271">
        <f t="shared" si="17"/>
        <v>53.68609855877342</v>
      </c>
      <c r="F133" s="273">
        <f>D133-'[7]Junijs'!D133</f>
        <v>2276492</v>
      </c>
      <c r="G133" s="242" t="s">
        <v>238</v>
      </c>
      <c r="H133" s="244">
        <f>ROUND(B133/1000,0)</f>
        <v>16641</v>
      </c>
      <c r="I133" s="244">
        <f>ROUND(C133/1000,0)</f>
        <v>18338</v>
      </c>
      <c r="J133" s="714">
        <f>ROUND(D133/1000,0)</f>
        <v>8934</v>
      </c>
      <c r="K133" s="275">
        <f>J133/H133*100</f>
        <v>53.68667748332432</v>
      </c>
      <c r="L133" s="273">
        <f>J133-'[7]Junijs'!J133</f>
        <v>2277</v>
      </c>
    </row>
    <row r="134" spans="1:12" ht="12.75" customHeight="1">
      <c r="A134" s="236" t="s">
        <v>259</v>
      </c>
      <c r="B134" s="273"/>
      <c r="C134" s="273"/>
      <c r="D134" s="273"/>
      <c r="E134" s="271"/>
      <c r="F134" s="273"/>
      <c r="G134" s="236" t="s">
        <v>259</v>
      </c>
      <c r="H134" s="273"/>
      <c r="I134" s="244"/>
      <c r="J134" s="714"/>
      <c r="K134" s="275"/>
      <c r="L134" s="273"/>
    </row>
    <row r="135" spans="1:12" ht="12.75" customHeight="1">
      <c r="A135" s="242" t="s">
        <v>211</v>
      </c>
      <c r="B135" s="273">
        <f>SUM(B136:B138)</f>
        <v>33701584</v>
      </c>
      <c r="C135" s="277">
        <f>3339472+3396859+2514169+2553669+2682912+2666825+2726758</f>
        <v>19880664</v>
      </c>
      <c r="D135" s="273">
        <f>SUM(D136:D138)</f>
        <v>19432682</v>
      </c>
      <c r="E135" s="271">
        <f aca="true" t="shared" si="19" ref="E135:E141">D135/B135*100</f>
        <v>57.661034567395994</v>
      </c>
      <c r="F135" s="273">
        <f>SUM(F136:F138)</f>
        <v>2637594</v>
      </c>
      <c r="G135" s="242" t="s">
        <v>211</v>
      </c>
      <c r="H135" s="273">
        <f>SUM(H136:H138)</f>
        <v>33701</v>
      </c>
      <c r="I135" s="244">
        <f>ROUND(C135/1000,0)</f>
        <v>19881</v>
      </c>
      <c r="J135" s="714">
        <f>SUM(J136:J138)</f>
        <v>19433</v>
      </c>
      <c r="K135" s="275">
        <f aca="true" t="shared" si="20" ref="K135:K140">J135/H135*100</f>
        <v>57.66297735972227</v>
      </c>
      <c r="L135" s="273">
        <f>SUM(L136:L138)</f>
        <v>2638</v>
      </c>
    </row>
    <row r="136" spans="1:12" ht="12.75" customHeight="1">
      <c r="A136" s="276" t="s">
        <v>253</v>
      </c>
      <c r="B136" s="283">
        <v>30619372</v>
      </c>
      <c r="C136" s="284"/>
      <c r="D136" s="284">
        <v>16838236</v>
      </c>
      <c r="E136" s="271">
        <f t="shared" si="19"/>
        <v>54.99210107901625</v>
      </c>
      <c r="F136" s="273">
        <f>D136-'[7]Junijs'!D136</f>
        <v>2537180</v>
      </c>
      <c r="G136" s="276" t="s">
        <v>253</v>
      </c>
      <c r="H136" s="244">
        <f>ROUND(B136/1000,0)</f>
        <v>30619</v>
      </c>
      <c r="I136" s="244"/>
      <c r="J136" s="714">
        <f>ROUND(D136/1000,0)</f>
        <v>16838</v>
      </c>
      <c r="K136" s="275">
        <f t="shared" si="20"/>
        <v>54.99199843234594</v>
      </c>
      <c r="L136" s="273">
        <f>J136-'[7]Junijs'!J136</f>
        <v>2537</v>
      </c>
    </row>
    <row r="137" spans="1:12" ht="12.75" customHeight="1">
      <c r="A137" s="276" t="s">
        <v>254</v>
      </c>
      <c r="B137" s="283">
        <v>443931</v>
      </c>
      <c r="C137" s="284"/>
      <c r="D137" s="284">
        <v>241368</v>
      </c>
      <c r="E137" s="271">
        <f t="shared" si="19"/>
        <v>54.37061164910764</v>
      </c>
      <c r="F137" s="273">
        <f>D137-'[7]Junijs'!D137</f>
        <v>38935</v>
      </c>
      <c r="G137" s="276" t="s">
        <v>254</v>
      </c>
      <c r="H137" s="244">
        <f>ROUND(B137/1000,0)</f>
        <v>444</v>
      </c>
      <c r="I137" s="244"/>
      <c r="J137" s="714">
        <f>ROUND(D137/1000,0)</f>
        <v>241</v>
      </c>
      <c r="K137" s="275">
        <f t="shared" si="20"/>
        <v>54.27927927927928</v>
      </c>
      <c r="L137" s="273">
        <f>J137-'[7]Junijs'!J137</f>
        <v>39</v>
      </c>
    </row>
    <row r="138" spans="1:12" ht="12.75" customHeight="1">
      <c r="A138" s="276" t="s">
        <v>255</v>
      </c>
      <c r="B138" s="283">
        <f>3082212-B137</f>
        <v>2638281</v>
      </c>
      <c r="C138" s="284"/>
      <c r="D138" s="284">
        <f>2594446-D137</f>
        <v>2353078</v>
      </c>
      <c r="E138" s="271">
        <f t="shared" si="19"/>
        <v>89.18981715745973</v>
      </c>
      <c r="F138" s="273">
        <f>D138-'[7]Junijs'!D138</f>
        <v>61479</v>
      </c>
      <c r="G138" s="276" t="s">
        <v>255</v>
      </c>
      <c r="H138" s="244">
        <f>ROUND(B138/1000,0)</f>
        <v>2638</v>
      </c>
      <c r="I138" s="244"/>
      <c r="J138" s="714">
        <f>ROUND(D138/1000,0)+1</f>
        <v>2354</v>
      </c>
      <c r="K138" s="275">
        <f t="shared" si="20"/>
        <v>89.23426838514025</v>
      </c>
      <c r="L138" s="273">
        <f>J138-'[7]Junijs'!J138</f>
        <v>62</v>
      </c>
    </row>
    <row r="139" spans="1:12" ht="12.75" customHeight="1">
      <c r="A139" s="242" t="s">
        <v>213</v>
      </c>
      <c r="B139" s="273">
        <f>B140</f>
        <v>34362196</v>
      </c>
      <c r="C139" s="273">
        <f>C140</f>
        <v>19967270</v>
      </c>
      <c r="D139" s="273">
        <f>D140</f>
        <v>16806568</v>
      </c>
      <c r="E139" s="271">
        <f t="shared" si="19"/>
        <v>48.91005219806092</v>
      </c>
      <c r="F139" s="273">
        <f>D139-'[7]Junijs'!D139</f>
        <v>2519921</v>
      </c>
      <c r="G139" s="242" t="s">
        <v>213</v>
      </c>
      <c r="H139" s="273">
        <f>H140</f>
        <v>34362</v>
      </c>
      <c r="I139" s="244">
        <f>ROUND(C139/1000,0)</f>
        <v>19967</v>
      </c>
      <c r="J139" s="714">
        <f>J140</f>
        <v>16807</v>
      </c>
      <c r="K139" s="275">
        <f t="shared" si="20"/>
        <v>48.91158838251557</v>
      </c>
      <c r="L139" s="273">
        <f>J139-'[7]Junijs'!J139</f>
        <v>2520</v>
      </c>
    </row>
    <row r="140" spans="1:12" ht="12.75" customHeight="1">
      <c r="A140" s="276" t="s">
        <v>258</v>
      </c>
      <c r="B140" s="283">
        <v>34362196</v>
      </c>
      <c r="C140" s="284">
        <f>2584412+2945732+2933079+2871294+2887008+2872571+2873174</f>
        <v>19967270</v>
      </c>
      <c r="D140" s="284">
        <v>16806568</v>
      </c>
      <c r="E140" s="271">
        <f t="shared" si="19"/>
        <v>48.91005219806092</v>
      </c>
      <c r="F140" s="273">
        <f>D140-'[7]Junijs'!D140</f>
        <v>2519921</v>
      </c>
      <c r="G140" s="276" t="s">
        <v>258</v>
      </c>
      <c r="H140" s="244">
        <f>ROUND(B140/1000,0)</f>
        <v>34362</v>
      </c>
      <c r="I140" s="244">
        <f>ROUND(C140/1000,0)</f>
        <v>19967</v>
      </c>
      <c r="J140" s="714">
        <f>ROUND(D140/1000,0)</f>
        <v>16807</v>
      </c>
      <c r="K140" s="275">
        <f t="shared" si="20"/>
        <v>48.91158838251557</v>
      </c>
      <c r="L140" s="273">
        <f>J140-'[7]Junijs'!J140</f>
        <v>2520</v>
      </c>
    </row>
    <row r="141" spans="1:12" ht="12.75" customHeight="1">
      <c r="A141" s="242" t="s">
        <v>55</v>
      </c>
      <c r="B141" s="273">
        <f>B135-B139</f>
        <v>-660612</v>
      </c>
      <c r="C141" s="273">
        <f>C135-C139</f>
        <v>-86606</v>
      </c>
      <c r="D141" s="273">
        <f>D135-D139</f>
        <v>2626114</v>
      </c>
      <c r="E141" s="271">
        <f t="shared" si="19"/>
        <v>-397.52744424866637</v>
      </c>
      <c r="F141" s="273">
        <f>D141-'[7]Junijs'!D141</f>
        <v>117673</v>
      </c>
      <c r="G141" s="242" t="s">
        <v>55</v>
      </c>
      <c r="H141" s="273">
        <f>H135-H139</f>
        <v>-661</v>
      </c>
      <c r="I141" s="244">
        <f>ROUND(C141/1000,0)</f>
        <v>-87</v>
      </c>
      <c r="J141" s="714">
        <f>J135-J139</f>
        <v>2626</v>
      </c>
      <c r="K141" s="275"/>
      <c r="L141" s="273">
        <f>J141-'[7]Junijs'!J141</f>
        <v>118</v>
      </c>
    </row>
    <row r="142" spans="1:12" s="719" customFormat="1" ht="12.75" customHeight="1" hidden="1">
      <c r="A142" s="125" t="s">
        <v>238</v>
      </c>
      <c r="B142" s="712"/>
      <c r="C142" s="713">
        <v>86606</v>
      </c>
      <c r="D142" s="713"/>
      <c r="E142" s="716"/>
      <c r="F142" s="712">
        <v>146416</v>
      </c>
      <c r="G142" s="125" t="s">
        <v>238</v>
      </c>
      <c r="H142" s="717">
        <f>ROUND(B142/1000,0)</f>
        <v>0</v>
      </c>
      <c r="I142" s="717">
        <f>ROUND(C142/1000,0)</f>
        <v>87</v>
      </c>
      <c r="J142" s="714">
        <f>ROUND(D142/1000,0)</f>
        <v>0</v>
      </c>
      <c r="K142" s="718"/>
      <c r="L142" s="712">
        <v>146</v>
      </c>
    </row>
    <row r="143" spans="1:12" ht="12.75" customHeight="1">
      <c r="A143" s="236" t="s">
        <v>260</v>
      </c>
      <c r="B143" s="273"/>
      <c r="C143" s="273"/>
      <c r="D143" s="273"/>
      <c r="E143" s="271"/>
      <c r="F143" s="273"/>
      <c r="G143" s="236" t="s">
        <v>260</v>
      </c>
      <c r="H143" s="273"/>
      <c r="I143" s="244"/>
      <c r="J143" s="714"/>
      <c r="K143" s="275"/>
      <c r="L143" s="273"/>
    </row>
    <row r="144" spans="1:12" ht="12.75" customHeight="1">
      <c r="A144" s="242" t="s">
        <v>211</v>
      </c>
      <c r="B144" s="273">
        <f>SUM(B145:B146)</f>
        <v>1323732</v>
      </c>
      <c r="C144" s="277">
        <f>97688+99893+105015+106335+112018+111373+113973</f>
        <v>746295</v>
      </c>
      <c r="D144" s="273">
        <f>SUM(D145:D146)</f>
        <v>724367</v>
      </c>
      <c r="E144" s="271">
        <f aca="true" t="shared" si="21" ref="E144:E149">D144/B144*100</f>
        <v>54.72157506202162</v>
      </c>
      <c r="F144" s="273">
        <f>D144-'[7]Junijs'!D144</f>
        <v>109394</v>
      </c>
      <c r="G144" s="242" t="s">
        <v>211</v>
      </c>
      <c r="H144" s="273">
        <f>SUM(H145:H146)</f>
        <v>1324</v>
      </c>
      <c r="I144" s="244">
        <f>ROUND(C144/1000,0)</f>
        <v>746</v>
      </c>
      <c r="J144" s="714">
        <f>SUM(J145:J146)</f>
        <v>724</v>
      </c>
      <c r="K144" s="275">
        <f>J144/H144*100</f>
        <v>54.68277945619335</v>
      </c>
      <c r="L144" s="273">
        <f>J144-'[7]Junijs'!J144</f>
        <v>109</v>
      </c>
    </row>
    <row r="145" spans="1:12" ht="12.75" customHeight="1">
      <c r="A145" s="276" t="s">
        <v>253</v>
      </c>
      <c r="B145" s="283">
        <v>1302952</v>
      </c>
      <c r="C145" s="284"/>
      <c r="D145" s="284">
        <v>716521</v>
      </c>
      <c r="E145" s="271">
        <f t="shared" si="21"/>
        <v>54.99212557331352</v>
      </c>
      <c r="F145" s="273">
        <f>D145-'[7]Junijs'!D145</f>
        <v>107965</v>
      </c>
      <c r="G145" s="276" t="s">
        <v>253</v>
      </c>
      <c r="H145" s="244">
        <f>ROUND(B145/1000,0)</f>
        <v>1303</v>
      </c>
      <c r="I145" s="244"/>
      <c r="J145" s="714">
        <f>ROUND(D145/1000,0)-1</f>
        <v>716</v>
      </c>
      <c r="K145" s="275">
        <f>J145/H145*100</f>
        <v>54.950115118956255</v>
      </c>
      <c r="L145" s="273">
        <f>J145-'[7]Junijs'!J145</f>
        <v>107</v>
      </c>
    </row>
    <row r="146" spans="1:12" ht="12.75" customHeight="1">
      <c r="A146" s="276" t="s">
        <v>255</v>
      </c>
      <c r="B146" s="283">
        <v>20780</v>
      </c>
      <c r="C146" s="284"/>
      <c r="D146" s="284">
        <v>7846</v>
      </c>
      <c r="E146" s="271">
        <f t="shared" si="21"/>
        <v>37.75745909528393</v>
      </c>
      <c r="F146" s="273">
        <f>D146-'[7]Junijs'!D146</f>
        <v>1429</v>
      </c>
      <c r="G146" s="276" t="s">
        <v>255</v>
      </c>
      <c r="H146" s="244">
        <f>ROUND(B146/1000,0)</f>
        <v>21</v>
      </c>
      <c r="I146" s="244"/>
      <c r="J146" s="714">
        <f>ROUND(D146/1000,0)</f>
        <v>8</v>
      </c>
      <c r="K146" s="275">
        <f>J146/H146*100</f>
        <v>38.095238095238095</v>
      </c>
      <c r="L146" s="273">
        <f>J146-'[7]Junijs'!J146</f>
        <v>2</v>
      </c>
    </row>
    <row r="147" spans="1:12" ht="12.75" customHeight="1">
      <c r="A147" s="242" t="s">
        <v>213</v>
      </c>
      <c r="B147" s="273">
        <f>B148</f>
        <v>1260837</v>
      </c>
      <c r="C147" s="273">
        <f>C148</f>
        <v>636056</v>
      </c>
      <c r="D147" s="273">
        <f>D148</f>
        <v>560242</v>
      </c>
      <c r="E147" s="271">
        <f t="shared" si="21"/>
        <v>44.43413383331866</v>
      </c>
      <c r="F147" s="273">
        <f>D147-'[7]Junijs'!D147</f>
        <v>102281</v>
      </c>
      <c r="G147" s="242" t="s">
        <v>213</v>
      </c>
      <c r="H147" s="273">
        <f>H148</f>
        <v>1261</v>
      </c>
      <c r="I147" s="274">
        <f>I148</f>
        <v>636</v>
      </c>
      <c r="J147" s="714">
        <f>J148</f>
        <v>560</v>
      </c>
      <c r="K147" s="275">
        <f>J147/H147*100</f>
        <v>44.409199048374305</v>
      </c>
      <c r="L147" s="273">
        <f>J147-'[7]Junijs'!J147</f>
        <v>102</v>
      </c>
    </row>
    <row r="148" spans="1:12" ht="12.75" customHeight="1">
      <c r="A148" s="276" t="s">
        <v>258</v>
      </c>
      <c r="B148" s="283">
        <v>1260837</v>
      </c>
      <c r="C148" s="284">
        <f>93302+96381+85502+85729+91309+92697+91136</f>
        <v>636056</v>
      </c>
      <c r="D148" s="284">
        <v>560242</v>
      </c>
      <c r="E148" s="271">
        <f t="shared" si="21"/>
        <v>44.43413383331866</v>
      </c>
      <c r="F148" s="273">
        <f>D148-'[7]Junijs'!D148</f>
        <v>102281</v>
      </c>
      <c r="G148" s="276" t="s">
        <v>258</v>
      </c>
      <c r="H148" s="244">
        <f>ROUND(B148/1000,0)</f>
        <v>1261</v>
      </c>
      <c r="I148" s="244">
        <f>ROUND(C148/1000,0)</f>
        <v>636</v>
      </c>
      <c r="J148" s="714">
        <f>ROUND(D148/1000,0)</f>
        <v>560</v>
      </c>
      <c r="K148" s="275">
        <f>J148/H148*100</f>
        <v>44.409199048374305</v>
      </c>
      <c r="L148" s="273">
        <f>J148-'[7]Junijs'!J148</f>
        <v>102</v>
      </c>
    </row>
    <row r="149" spans="1:12" ht="12.75" customHeight="1">
      <c r="A149" s="242" t="s">
        <v>55</v>
      </c>
      <c r="B149" s="273">
        <f>B144-B147</f>
        <v>62895</v>
      </c>
      <c r="C149" s="273">
        <f>C144-C147</f>
        <v>110239</v>
      </c>
      <c r="D149" s="273">
        <f>D144-D147</f>
        <v>164125</v>
      </c>
      <c r="E149" s="271">
        <f t="shared" si="21"/>
        <v>260.95079100087446</v>
      </c>
      <c r="F149" s="273">
        <f>D149-'[7]Junijs'!D149</f>
        <v>7113</v>
      </c>
      <c r="G149" s="242" t="s">
        <v>55</v>
      </c>
      <c r="H149" s="273">
        <f>H144-H147</f>
        <v>63</v>
      </c>
      <c r="I149" s="244">
        <f>ROUND(C149/1000,0)</f>
        <v>110</v>
      </c>
      <c r="J149" s="714">
        <f>J144-J147</f>
        <v>164</v>
      </c>
      <c r="K149" s="275"/>
      <c r="L149" s="273">
        <f>J149-'[7]Junijs'!J149</f>
        <v>7</v>
      </c>
    </row>
    <row r="150" spans="1:12" ht="25.5">
      <c r="A150" s="92" t="s">
        <v>261</v>
      </c>
      <c r="B150" s="273"/>
      <c r="C150" s="273"/>
      <c r="D150" s="273"/>
      <c r="E150" s="271"/>
      <c r="F150" s="273"/>
      <c r="G150" s="92" t="s">
        <v>261</v>
      </c>
      <c r="H150" s="273"/>
      <c r="I150" s="244"/>
      <c r="J150" s="714"/>
      <c r="K150" s="275"/>
      <c r="L150" s="273"/>
    </row>
    <row r="151" spans="1:12" ht="12.75" customHeight="1">
      <c r="A151" s="242" t="s">
        <v>211</v>
      </c>
      <c r="B151" s="273">
        <f>SUM(B152:B153)</f>
        <v>82726409</v>
      </c>
      <c r="C151" s="277">
        <f>6094293+6233924+6558403+6641974+7002035+6961149+7125853</f>
        <v>46617631</v>
      </c>
      <c r="D151" s="273">
        <f>SUM(D152:D153)</f>
        <v>45669350</v>
      </c>
      <c r="E151" s="271">
        <f aca="true" t="shared" si="22" ref="E151:E157">D151/B151*100</f>
        <v>55.20528517078507</v>
      </c>
      <c r="F151" s="273">
        <f>D151-'[7]Junijs'!D151</f>
        <v>6882855</v>
      </c>
      <c r="G151" s="242" t="s">
        <v>211</v>
      </c>
      <c r="H151" s="273">
        <f>SUM(H152:H153)</f>
        <v>82726</v>
      </c>
      <c r="I151" s="244">
        <f>ROUND(C151/1000,0)</f>
        <v>46618</v>
      </c>
      <c r="J151" s="714">
        <f>SUM(J152:J153)</f>
        <v>45670</v>
      </c>
      <c r="K151" s="275">
        <f aca="true" t="shared" si="23" ref="K151:K157">J151/H151*100</f>
        <v>55.20634383386118</v>
      </c>
      <c r="L151" s="273">
        <f>J151-'[7]Junijs'!J151</f>
        <v>6883</v>
      </c>
    </row>
    <row r="152" spans="1:12" ht="12.75" customHeight="1">
      <c r="A152" s="276" t="s">
        <v>253</v>
      </c>
      <c r="B152" s="283">
        <v>82546999</v>
      </c>
      <c r="C152" s="284"/>
      <c r="D152" s="284">
        <v>45388831</v>
      </c>
      <c r="E152" s="271">
        <f t="shared" si="22"/>
        <v>54.98544047615832</v>
      </c>
      <c r="F152" s="273">
        <f>D152-'[7]Junijs'!D152</f>
        <v>6839176</v>
      </c>
      <c r="G152" s="276" t="s">
        <v>253</v>
      </c>
      <c r="H152" s="244">
        <f>ROUND(B152/1000,0)</f>
        <v>82547</v>
      </c>
      <c r="I152" s="244"/>
      <c r="J152" s="714">
        <f>ROUND(D152/1000,0)</f>
        <v>45389</v>
      </c>
      <c r="K152" s="275">
        <f t="shared" si="23"/>
        <v>54.98564454189734</v>
      </c>
      <c r="L152" s="273">
        <f>J152-'[7]Junijs'!J152</f>
        <v>6839</v>
      </c>
    </row>
    <row r="153" spans="1:12" ht="12.75" customHeight="1">
      <c r="A153" s="276" t="s">
        <v>255</v>
      </c>
      <c r="B153" s="283">
        <v>179410</v>
      </c>
      <c r="C153" s="284"/>
      <c r="D153" s="284">
        <v>280519</v>
      </c>
      <c r="E153" s="271">
        <f t="shared" si="22"/>
        <v>156.35639039072515</v>
      </c>
      <c r="F153" s="273">
        <f>D153-'[7]Junijs'!D153</f>
        <v>43679</v>
      </c>
      <c r="G153" s="276" t="s">
        <v>255</v>
      </c>
      <c r="H153" s="244">
        <f>ROUND(B153/1000,0)</f>
        <v>179</v>
      </c>
      <c r="I153" s="244"/>
      <c r="J153" s="714">
        <f>ROUND(D153/1000,0)</f>
        <v>281</v>
      </c>
      <c r="K153" s="275">
        <f t="shared" si="23"/>
        <v>156.9832402234637</v>
      </c>
      <c r="L153" s="273">
        <f>J153-'[7]Junijs'!J153</f>
        <v>44</v>
      </c>
    </row>
    <row r="154" spans="1:12" ht="12.75" customHeight="1">
      <c r="A154" s="242" t="s">
        <v>213</v>
      </c>
      <c r="B154" s="273">
        <f>B155</f>
        <v>91531353</v>
      </c>
      <c r="C154" s="273">
        <f>C155</f>
        <v>53983738</v>
      </c>
      <c r="D154" s="273">
        <f>D155</f>
        <v>51497037</v>
      </c>
      <c r="E154" s="271">
        <f t="shared" si="22"/>
        <v>56.26163638157955</v>
      </c>
      <c r="F154" s="273">
        <f>D154-'[7]Junijs'!D154</f>
        <v>8064327</v>
      </c>
      <c r="G154" s="242" t="s">
        <v>213</v>
      </c>
      <c r="H154" s="273">
        <f>H155</f>
        <v>91531</v>
      </c>
      <c r="I154" s="244">
        <f>ROUND(C154/1000,0)</f>
        <v>53984</v>
      </c>
      <c r="J154" s="714">
        <f>J155</f>
        <v>51497</v>
      </c>
      <c r="K154" s="275">
        <f t="shared" si="23"/>
        <v>56.26181293769324</v>
      </c>
      <c r="L154" s="273">
        <f>J154-'[7]Junijs'!J154</f>
        <v>8064</v>
      </c>
    </row>
    <row r="155" spans="1:12" ht="12.75" customHeight="1">
      <c r="A155" s="276" t="s">
        <v>258</v>
      </c>
      <c r="B155" s="283">
        <v>91531353</v>
      </c>
      <c r="C155" s="284">
        <f>7788524+7918298+7754776+7945134+7521575+7499131+7556300</f>
        <v>53983738</v>
      </c>
      <c r="D155" s="284">
        <v>51497037</v>
      </c>
      <c r="E155" s="271">
        <f t="shared" si="22"/>
        <v>56.26163638157955</v>
      </c>
      <c r="F155" s="273">
        <f>D155-'[7]Junijs'!D155</f>
        <v>8064327</v>
      </c>
      <c r="G155" s="276" t="s">
        <v>258</v>
      </c>
      <c r="H155" s="244">
        <f>ROUND(B155/1000,0)</f>
        <v>91531</v>
      </c>
      <c r="I155" s="244">
        <f>ROUND(C155/1000,0)</f>
        <v>53984</v>
      </c>
      <c r="J155" s="714">
        <f>ROUND(D155/1000,0)</f>
        <v>51497</v>
      </c>
      <c r="K155" s="275">
        <f t="shared" si="23"/>
        <v>56.26181293769324</v>
      </c>
      <c r="L155" s="273">
        <f>J155-'[7]Junijs'!J155</f>
        <v>8064</v>
      </c>
    </row>
    <row r="156" spans="1:12" ht="12.75" customHeight="1">
      <c r="A156" s="242" t="s">
        <v>55</v>
      </c>
      <c r="B156" s="273">
        <f>B151-B154</f>
        <v>-8804944</v>
      </c>
      <c r="C156" s="273">
        <f>C151-C154</f>
        <v>-7366107</v>
      </c>
      <c r="D156" s="273">
        <f>D151-D154</f>
        <v>-5827687</v>
      </c>
      <c r="E156" s="271">
        <f t="shared" si="22"/>
        <v>66.18653111252041</v>
      </c>
      <c r="F156" s="273">
        <f>D156-'[7]Junijs'!D156</f>
        <v>-1181472</v>
      </c>
      <c r="G156" s="242" t="s">
        <v>55</v>
      </c>
      <c r="H156" s="273">
        <f>H151-H154</f>
        <v>-8805</v>
      </c>
      <c r="I156" s="244">
        <f>ROUND(C156/1000,0)</f>
        <v>-7366</v>
      </c>
      <c r="J156" s="714">
        <f>J151-J154</f>
        <v>-5827</v>
      </c>
      <c r="K156" s="275">
        <f t="shared" si="23"/>
        <v>66.17830777967065</v>
      </c>
      <c r="L156" s="273">
        <f>J156-'[7]Junijs'!J156</f>
        <v>-1181</v>
      </c>
    </row>
    <row r="157" spans="1:12" ht="12.75" customHeight="1">
      <c r="A157" s="242" t="s">
        <v>238</v>
      </c>
      <c r="B157" s="244">
        <v>8804944</v>
      </c>
      <c r="C157" s="274">
        <f>1694231+1684374+1196373+1303160+519540+537982+430447</f>
        <v>7366107</v>
      </c>
      <c r="D157" s="274">
        <v>5827996</v>
      </c>
      <c r="E157" s="271">
        <f t="shared" si="22"/>
        <v>66.19004050451656</v>
      </c>
      <c r="F157" s="273">
        <f>D157-'[7]Junijs'!D157</f>
        <v>1181579</v>
      </c>
      <c r="G157" s="242" t="s">
        <v>238</v>
      </c>
      <c r="H157" s="244">
        <f>ROUND(B157/1000,0)</f>
        <v>8805</v>
      </c>
      <c r="I157" s="244">
        <f>ROUND(C157/1000,0)</f>
        <v>7366</v>
      </c>
      <c r="J157" s="714">
        <f>ROUND(D157/1000,0)</f>
        <v>5828</v>
      </c>
      <c r="K157" s="275">
        <f t="shared" si="23"/>
        <v>66.18966496308916</v>
      </c>
      <c r="L157" s="273">
        <f>J157-'[7]Junijs'!J157</f>
        <v>1182</v>
      </c>
    </row>
    <row r="158" spans="1:12" ht="25.5">
      <c r="A158" s="128" t="s">
        <v>262</v>
      </c>
      <c r="B158" s="273"/>
      <c r="C158" s="273"/>
      <c r="D158" s="273"/>
      <c r="E158" s="271"/>
      <c r="F158" s="273"/>
      <c r="G158" s="92" t="s">
        <v>262</v>
      </c>
      <c r="H158" s="273"/>
      <c r="I158" s="244"/>
      <c r="J158" s="714"/>
      <c r="K158" s="275"/>
      <c r="L158" s="273"/>
    </row>
    <row r="159" spans="1:12" ht="12.75" customHeight="1">
      <c r="A159" s="242" t="s">
        <v>211</v>
      </c>
      <c r="B159" s="273">
        <f>SUM(B160:B161)</f>
        <v>10029047</v>
      </c>
      <c r="C159" s="277">
        <f>591852+775370+827390+788270+939160+955370+857500</f>
        <v>5734912</v>
      </c>
      <c r="D159" s="273">
        <f>SUM(D160:D161)</f>
        <v>5734912</v>
      </c>
      <c r="E159" s="271">
        <f aca="true" t="shared" si="24" ref="E159:E167">D159/B159*100</f>
        <v>57.18302048041055</v>
      </c>
      <c r="F159" s="273">
        <f>D159-'[7]Junijs'!D159</f>
        <v>857500</v>
      </c>
      <c r="G159" s="242" t="s">
        <v>211</v>
      </c>
      <c r="H159" s="273">
        <f>SUM(H160:H161)</f>
        <v>10029</v>
      </c>
      <c r="I159" s="244">
        <f>ROUND(C159/1000,0)</f>
        <v>5735</v>
      </c>
      <c r="J159" s="714">
        <f>SUM(J160:J161)</f>
        <v>5735</v>
      </c>
      <c r="K159" s="275">
        <f>J159/H159*100</f>
        <v>57.184165918835376</v>
      </c>
      <c r="L159" s="273">
        <f>J159-'[7]Junijs'!J159</f>
        <v>857</v>
      </c>
    </row>
    <row r="160" spans="1:12" ht="12.75" customHeight="1">
      <c r="A160" s="276" t="s">
        <v>254</v>
      </c>
      <c r="B160" s="283">
        <f>300000+1890000+26000</f>
        <v>2216000</v>
      </c>
      <c r="C160" s="284"/>
      <c r="D160" s="284">
        <v>1264120</v>
      </c>
      <c r="E160" s="271">
        <f t="shared" si="24"/>
        <v>57.04512635379061</v>
      </c>
      <c r="F160" s="273">
        <f>D160-'[7]Junijs'!D160-1</f>
        <v>166319</v>
      </c>
      <c r="G160" s="276" t="s">
        <v>254</v>
      </c>
      <c r="H160" s="244">
        <f>ROUND(B160/1000,0)</f>
        <v>2216</v>
      </c>
      <c r="I160" s="244"/>
      <c r="J160" s="714">
        <f>ROUND(D160/1000,0)</f>
        <v>1264</v>
      </c>
      <c r="K160" s="275">
        <f>J160/H160*100</f>
        <v>57.03971119133574</v>
      </c>
      <c r="L160" s="273">
        <f>J160-'[7]Junijs'!J160-1</f>
        <v>165</v>
      </c>
    </row>
    <row r="161" spans="1:12" ht="12.75" customHeight="1">
      <c r="A161" s="276" t="s">
        <v>255</v>
      </c>
      <c r="B161" s="283">
        <f>10029047-B160</f>
        <v>7813047</v>
      </c>
      <c r="C161" s="284"/>
      <c r="D161" s="284">
        <f>5734912-D160</f>
        <v>4470792</v>
      </c>
      <c r="E161" s="271">
        <f t="shared" si="24"/>
        <v>57.22213113526643</v>
      </c>
      <c r="F161" s="273">
        <f>D161-'[7]Junijs'!D161</f>
        <v>691180</v>
      </c>
      <c r="G161" s="276" t="s">
        <v>255</v>
      </c>
      <c r="H161" s="244">
        <f>ROUND(B161/1000,0)</f>
        <v>7813</v>
      </c>
      <c r="I161" s="244"/>
      <c r="J161" s="714">
        <f>ROUND(D161/1000,0)</f>
        <v>4471</v>
      </c>
      <c r="K161" s="275">
        <f>J161/H161*100</f>
        <v>57.22513759119416</v>
      </c>
      <c r="L161" s="273">
        <f>J161-'[7]Junijs'!J161</f>
        <v>691</v>
      </c>
    </row>
    <row r="162" spans="1:12" ht="12.75" customHeight="1">
      <c r="A162" s="242" t="s">
        <v>213</v>
      </c>
      <c r="B162" s="273">
        <f>B163+B165</f>
        <v>12294047</v>
      </c>
      <c r="C162" s="273">
        <f>C163+C165</f>
        <v>6526282</v>
      </c>
      <c r="D162" s="273">
        <f>D163+D165</f>
        <v>5802018</v>
      </c>
      <c r="E162" s="271">
        <f t="shared" si="24"/>
        <v>47.193719041418994</v>
      </c>
      <c r="F162" s="273">
        <f>D162-'[7]Junijs'!D162</f>
        <v>1208707</v>
      </c>
      <c r="G162" s="242" t="s">
        <v>213</v>
      </c>
      <c r="H162" s="273">
        <f>H163+H165</f>
        <v>12294</v>
      </c>
      <c r="I162" s="274">
        <f>I163+I165</f>
        <v>6526</v>
      </c>
      <c r="J162" s="714">
        <f>J163+J165</f>
        <v>5802</v>
      </c>
      <c r="K162" s="275">
        <f>J162/H162*100</f>
        <v>47.19375305026842</v>
      </c>
      <c r="L162" s="273">
        <f>J162-'[7]Junijs'!J162</f>
        <v>1209</v>
      </c>
    </row>
    <row r="163" spans="1:12" ht="12.75" customHeight="1">
      <c r="A163" s="77" t="s">
        <v>258</v>
      </c>
      <c r="B163" s="283">
        <v>8869047</v>
      </c>
      <c r="C163" s="284">
        <f>535782+680000+701500+703500+826500+707500+857500</f>
        <v>5012282</v>
      </c>
      <c r="D163" s="284">
        <v>4972931</v>
      </c>
      <c r="E163" s="271">
        <f t="shared" si="24"/>
        <v>56.07063532305106</v>
      </c>
      <c r="F163" s="273">
        <f>D163-'[7]Junijs'!D163</f>
        <v>874087</v>
      </c>
      <c r="G163" s="77" t="s">
        <v>258</v>
      </c>
      <c r="H163" s="244">
        <f>ROUND(B163/1000,0)</f>
        <v>8869</v>
      </c>
      <c r="I163" s="244">
        <f>ROUND(C163/1000,0)</f>
        <v>5012</v>
      </c>
      <c r="J163" s="714">
        <f>ROUND(D163/1000,0)</f>
        <v>4973</v>
      </c>
      <c r="K163" s="275">
        <f>J163/H163*100</f>
        <v>56.07171045213666</v>
      </c>
      <c r="L163" s="273">
        <f>J163-'[7]Junijs'!J163</f>
        <v>874</v>
      </c>
    </row>
    <row r="164" spans="1:12" ht="12.75" customHeight="1">
      <c r="A164" s="276" t="s">
        <v>245</v>
      </c>
      <c r="B164" s="283">
        <v>10782</v>
      </c>
      <c r="C164" s="284"/>
      <c r="D164" s="284"/>
      <c r="E164" s="271">
        <f t="shared" si="24"/>
        <v>0</v>
      </c>
      <c r="F164" s="273"/>
      <c r="G164" s="276" t="s">
        <v>245</v>
      </c>
      <c r="H164" s="244">
        <f>ROUND(B164/1000,0)</f>
        <v>11</v>
      </c>
      <c r="I164" s="244"/>
      <c r="J164" s="714"/>
      <c r="K164" s="275"/>
      <c r="L164" s="273"/>
    </row>
    <row r="165" spans="1:12" ht="12.75" customHeight="1">
      <c r="A165" s="77" t="s">
        <v>263</v>
      </c>
      <c r="B165" s="283">
        <v>3425000</v>
      </c>
      <c r="C165" s="284">
        <f>234780+215420+194320+168470+222820+478190</f>
        <v>1514000</v>
      </c>
      <c r="D165" s="284">
        <v>829087</v>
      </c>
      <c r="E165" s="271">
        <f t="shared" si="24"/>
        <v>24.206919708029197</v>
      </c>
      <c r="F165" s="273">
        <f>D165-'[7]Junijs'!D165</f>
        <v>334620</v>
      </c>
      <c r="G165" s="77" t="s">
        <v>263</v>
      </c>
      <c r="H165" s="244">
        <f>ROUND(B165/1000,0)</f>
        <v>3425</v>
      </c>
      <c r="I165" s="244">
        <f>ROUND(C165/1000,0)</f>
        <v>1514</v>
      </c>
      <c r="J165" s="714">
        <f>ROUND(D165/1000,0)</f>
        <v>829</v>
      </c>
      <c r="K165" s="275">
        <f>J165/H165*100</f>
        <v>24.204379562043794</v>
      </c>
      <c r="L165" s="273">
        <f>J165-'[7]Junijs'!J165</f>
        <v>335</v>
      </c>
    </row>
    <row r="166" spans="1:12" ht="12.75" customHeight="1">
      <c r="A166" s="242" t="s">
        <v>55</v>
      </c>
      <c r="B166" s="273">
        <f>B159-B162</f>
        <v>-2265000</v>
      </c>
      <c r="C166" s="273">
        <f>C159-C162</f>
        <v>-791370</v>
      </c>
      <c r="D166" s="273">
        <f>D159-D162</f>
        <v>-67106</v>
      </c>
      <c r="E166" s="271">
        <f t="shared" si="24"/>
        <v>2.962737306843267</v>
      </c>
      <c r="F166" s="273">
        <f>D166-'[7]Junijs'!D166</f>
        <v>-351207</v>
      </c>
      <c r="G166" s="242" t="s">
        <v>55</v>
      </c>
      <c r="H166" s="273">
        <f>H159-H162</f>
        <v>-2265</v>
      </c>
      <c r="I166" s="244">
        <f>ROUND(C166/1000,0)</f>
        <v>-791</v>
      </c>
      <c r="J166" s="714">
        <f>J159-J162</f>
        <v>-67</v>
      </c>
      <c r="K166" s="275"/>
      <c r="L166" s="273">
        <f>J166-'[7]Junijs'!J166</f>
        <v>-352</v>
      </c>
    </row>
    <row r="167" spans="1:12" ht="12.75" customHeight="1">
      <c r="A167" s="242" t="s">
        <v>238</v>
      </c>
      <c r="B167" s="244">
        <v>2265000</v>
      </c>
      <c r="C167" s="274">
        <f>178710+120050+68430+83700+110160+230320</f>
        <v>791370</v>
      </c>
      <c r="D167" s="274">
        <v>459317</v>
      </c>
      <c r="E167" s="271">
        <f t="shared" si="24"/>
        <v>20.278896247240617</v>
      </c>
      <c r="F167" s="273">
        <f>D167-'[7]Junijs'!D167</f>
        <v>259626</v>
      </c>
      <c r="G167" s="242" t="s">
        <v>238</v>
      </c>
      <c r="H167" s="244">
        <f>ROUND(B167/1000,0)</f>
        <v>2265</v>
      </c>
      <c r="I167" s="244">
        <f>ROUND(C167/1000,0)</f>
        <v>791</v>
      </c>
      <c r="J167" s="714">
        <f>ROUND(D167/1000,0)</f>
        <v>459</v>
      </c>
      <c r="K167" s="275">
        <f>J167/H167*100</f>
        <v>20.264900662251655</v>
      </c>
      <c r="L167" s="273">
        <f>J167-'[7]Junijs'!J167</f>
        <v>259</v>
      </c>
    </row>
    <row r="168" spans="1:12" ht="24" customHeight="1">
      <c r="A168" s="76" t="s">
        <v>84</v>
      </c>
      <c r="B168" s="273"/>
      <c r="C168" s="273"/>
      <c r="D168" s="273"/>
      <c r="E168" s="271"/>
      <c r="F168" s="273"/>
      <c r="G168" s="76" t="s">
        <v>84</v>
      </c>
      <c r="H168" s="273"/>
      <c r="I168" s="244"/>
      <c r="J168" s="714"/>
      <c r="K168" s="275"/>
      <c r="L168" s="273"/>
    </row>
    <row r="169" spans="1:12" ht="12.75" customHeight="1">
      <c r="A169" s="236" t="s">
        <v>264</v>
      </c>
      <c r="B169" s="273"/>
      <c r="C169" s="273"/>
      <c r="D169" s="273"/>
      <c r="E169" s="271"/>
      <c r="F169" s="273"/>
      <c r="G169" s="236" t="s">
        <v>264</v>
      </c>
      <c r="H169" s="273"/>
      <c r="I169" s="244"/>
      <c r="J169" s="714"/>
      <c r="K169" s="275"/>
      <c r="L169" s="273"/>
    </row>
    <row r="170" spans="1:12" ht="12.75" customHeight="1">
      <c r="A170" s="242" t="s">
        <v>211</v>
      </c>
      <c r="B170" s="273">
        <f>SUM(B171:B173)</f>
        <v>9519100</v>
      </c>
      <c r="C170" s="277">
        <v>4704670</v>
      </c>
      <c r="D170" s="273">
        <f>SUM(D171:D173)</f>
        <v>4388738</v>
      </c>
      <c r="E170" s="271">
        <f aca="true" t="shared" si="25" ref="E170:E176">D170/B170*100</f>
        <v>46.104547698837074</v>
      </c>
      <c r="F170" s="273">
        <f>D170-'[7]Junijs'!D170</f>
        <v>597286</v>
      </c>
      <c r="G170" s="242" t="s">
        <v>211</v>
      </c>
      <c r="H170" s="273">
        <f>SUM(H171:H173)</f>
        <v>9519</v>
      </c>
      <c r="I170" s="244">
        <f>ROUND(C170/1000,0)</f>
        <v>4705</v>
      </c>
      <c r="J170" s="714">
        <f>SUM(J171:J173)</f>
        <v>4388</v>
      </c>
      <c r="K170" s="275">
        <f aca="true" t="shared" si="26" ref="K170:K176">J170/H170*100</f>
        <v>46.09727912595861</v>
      </c>
      <c r="L170" s="273">
        <f>J170-'[7]Junijs'!J170</f>
        <v>597</v>
      </c>
    </row>
    <row r="171" spans="1:12" ht="12.75" customHeight="1">
      <c r="A171" s="242" t="s">
        <v>265</v>
      </c>
      <c r="B171" s="244">
        <v>8951000</v>
      </c>
      <c r="C171" s="274"/>
      <c r="D171" s="274">
        <f>79952+3236928+106356+651143+19500</f>
        <v>4093879</v>
      </c>
      <c r="E171" s="271">
        <f t="shared" si="25"/>
        <v>45.736554574907835</v>
      </c>
      <c r="F171" s="273">
        <f>D171-'[7]Junijs'!D171</f>
        <v>557642</v>
      </c>
      <c r="G171" s="242" t="s">
        <v>265</v>
      </c>
      <c r="H171" s="244">
        <f>ROUND(B171/1000,0)</f>
        <v>8951</v>
      </c>
      <c r="I171" s="244"/>
      <c r="J171" s="714">
        <f>ROUND(D171/1000,0)</f>
        <v>4094</v>
      </c>
      <c r="K171" s="275">
        <f t="shared" si="26"/>
        <v>45.73790637917551</v>
      </c>
      <c r="L171" s="273">
        <f>J171-'[7]Junijs'!J171</f>
        <v>558</v>
      </c>
    </row>
    <row r="172" spans="1:12" ht="24.75" customHeight="1">
      <c r="A172" s="69" t="s">
        <v>266</v>
      </c>
      <c r="B172" s="244">
        <v>350000</v>
      </c>
      <c r="C172" s="274"/>
      <c r="D172" s="274">
        <v>214390</v>
      </c>
      <c r="E172" s="271">
        <f t="shared" si="25"/>
        <v>61.254285714285714</v>
      </c>
      <c r="F172" s="273">
        <f>D172-'[7]Junijs'!D172</f>
        <v>23463</v>
      </c>
      <c r="G172" s="69" t="s">
        <v>266</v>
      </c>
      <c r="H172" s="244">
        <f>ROUND(B172/1000,0)</f>
        <v>350</v>
      </c>
      <c r="I172" s="244"/>
      <c r="J172" s="714">
        <f>ROUND(D172/1000,0)</f>
        <v>214</v>
      </c>
      <c r="K172" s="275">
        <f t="shared" si="26"/>
        <v>61.142857142857146</v>
      </c>
      <c r="L172" s="273">
        <f>J172-'[7]Junijs'!J172</f>
        <v>23</v>
      </c>
    </row>
    <row r="173" spans="1:12" ht="12.75" customHeight="1">
      <c r="A173" s="282" t="s">
        <v>128</v>
      </c>
      <c r="B173" s="244">
        <f>150000+68100</f>
        <v>218100</v>
      </c>
      <c r="C173" s="274"/>
      <c r="D173" s="274">
        <f>330+37980+306+1810+19708+20333+2</f>
        <v>80469</v>
      </c>
      <c r="E173" s="271">
        <f t="shared" si="25"/>
        <v>36.895460797799174</v>
      </c>
      <c r="F173" s="273">
        <f>D173-'[7]Junijs'!D173</f>
        <v>16181</v>
      </c>
      <c r="G173" s="125" t="s">
        <v>128</v>
      </c>
      <c r="H173" s="244">
        <f>ROUND(B173/1000,0)</f>
        <v>218</v>
      </c>
      <c r="I173" s="244"/>
      <c r="J173" s="714">
        <f>ROUND(D173/1000,0)</f>
        <v>80</v>
      </c>
      <c r="K173" s="275">
        <f t="shared" si="26"/>
        <v>36.69724770642202</v>
      </c>
      <c r="L173" s="273">
        <f>J173-'[7]Junijs'!J173</f>
        <v>16</v>
      </c>
    </row>
    <row r="174" spans="1:12" ht="12.75" customHeight="1">
      <c r="A174" s="242" t="s">
        <v>213</v>
      </c>
      <c r="B174" s="273">
        <f>SUM(B175:B176)</f>
        <v>9370924</v>
      </c>
      <c r="C174" s="273">
        <f>SUM(C175:C176)</f>
        <v>4697994</v>
      </c>
      <c r="D174" s="273">
        <f>SUM(D175:D176)</f>
        <v>2418993</v>
      </c>
      <c r="E174" s="271">
        <f t="shared" si="25"/>
        <v>25.813815158462493</v>
      </c>
      <c r="F174" s="273">
        <f>D174-'[7]Junijs'!D174</f>
        <v>804002</v>
      </c>
      <c r="G174" s="242" t="s">
        <v>213</v>
      </c>
      <c r="H174" s="273">
        <f>SUM(H175:H176)</f>
        <v>9371</v>
      </c>
      <c r="I174" s="274">
        <f>SUM(I175:I176)</f>
        <v>4698</v>
      </c>
      <c r="J174" s="714">
        <f>SUM(J175:J176)</f>
        <v>2419</v>
      </c>
      <c r="K174" s="275">
        <f t="shared" si="26"/>
        <v>25.813680503681567</v>
      </c>
      <c r="L174" s="273">
        <f>J174-'[7]Junijs'!J174</f>
        <v>804</v>
      </c>
    </row>
    <row r="175" spans="1:12" ht="12.75" customHeight="1">
      <c r="A175" s="242" t="s">
        <v>214</v>
      </c>
      <c r="B175" s="244">
        <v>6547804</v>
      </c>
      <c r="C175" s="274">
        <v>3391674</v>
      </c>
      <c r="D175" s="274">
        <f>'[8]Jūlijs'!$E$8</f>
        <v>2238295</v>
      </c>
      <c r="E175" s="271">
        <f t="shared" si="25"/>
        <v>34.18390348886436</v>
      </c>
      <c r="F175" s="273">
        <f>D175-'[7]Junijs'!D175</f>
        <v>720077</v>
      </c>
      <c r="G175" s="242" t="s">
        <v>214</v>
      </c>
      <c r="H175" s="244">
        <f aca="true" t="shared" si="27" ref="H175:J176">ROUND(B175/1000,0)</f>
        <v>6548</v>
      </c>
      <c r="I175" s="244">
        <f t="shared" si="27"/>
        <v>3392</v>
      </c>
      <c r="J175" s="714">
        <f t="shared" si="27"/>
        <v>2238</v>
      </c>
      <c r="K175" s="275">
        <f t="shared" si="26"/>
        <v>34.17837507635919</v>
      </c>
      <c r="L175" s="273">
        <f>J175-'[7]Junijs'!J175</f>
        <v>720</v>
      </c>
    </row>
    <row r="176" spans="1:12" ht="12.75" customHeight="1">
      <c r="A176" s="242" t="s">
        <v>208</v>
      </c>
      <c r="B176" s="244">
        <v>2823120</v>
      </c>
      <c r="C176" s="274">
        <v>1306320</v>
      </c>
      <c r="D176" s="274">
        <f>'[8]Jūlijs'!$E$30</f>
        <v>180698</v>
      </c>
      <c r="E176" s="271">
        <f t="shared" si="25"/>
        <v>6.4006489274278096</v>
      </c>
      <c r="F176" s="273">
        <f>D176-'[7]Junijs'!D176</f>
        <v>83925</v>
      </c>
      <c r="G176" s="242" t="s">
        <v>208</v>
      </c>
      <c r="H176" s="244">
        <f t="shared" si="27"/>
        <v>2823</v>
      </c>
      <c r="I176" s="244">
        <f t="shared" si="27"/>
        <v>1306</v>
      </c>
      <c r="J176" s="714">
        <f t="shared" si="27"/>
        <v>181</v>
      </c>
      <c r="K176" s="275">
        <f t="shared" si="26"/>
        <v>6.411618845200142</v>
      </c>
      <c r="L176" s="273">
        <f>J176-'[7]Junijs'!J176</f>
        <v>84</v>
      </c>
    </row>
    <row r="177" spans="1:12" ht="12.75" customHeight="1">
      <c r="A177" s="32" t="s">
        <v>86</v>
      </c>
      <c r="B177" s="273"/>
      <c r="C177" s="273"/>
      <c r="D177" s="273"/>
      <c r="E177" s="271"/>
      <c r="F177" s="273"/>
      <c r="G177" s="32" t="s">
        <v>86</v>
      </c>
      <c r="H177" s="273"/>
      <c r="I177" s="244"/>
      <c r="J177" s="714"/>
      <c r="K177" s="275"/>
      <c r="L177" s="273"/>
    </row>
    <row r="178" spans="1:12" ht="12.75" customHeight="1">
      <c r="A178" s="236" t="s">
        <v>267</v>
      </c>
      <c r="B178" s="273"/>
      <c r="C178" s="273"/>
      <c r="D178" s="273"/>
      <c r="E178" s="271"/>
      <c r="F178" s="273"/>
      <c r="G178" s="236" t="s">
        <v>267</v>
      </c>
      <c r="H178" s="273"/>
      <c r="I178" s="244"/>
      <c r="J178" s="714"/>
      <c r="K178" s="275"/>
      <c r="L178" s="273"/>
    </row>
    <row r="179" spans="1:12" ht="12.75" customHeight="1">
      <c r="A179" s="242" t="s">
        <v>211</v>
      </c>
      <c r="B179" s="273">
        <f>SUM(B180:B181)</f>
        <v>2272860</v>
      </c>
      <c r="C179" s="277">
        <v>1298000</v>
      </c>
      <c r="D179" s="273">
        <f>SUM(D180:D181)</f>
        <v>1058782</v>
      </c>
      <c r="E179" s="271">
        <f>D179/B179*100</f>
        <v>46.58368751264926</v>
      </c>
      <c r="F179" s="273">
        <f>D179-'[7]Junijs'!D179</f>
        <v>144666</v>
      </c>
      <c r="G179" s="242" t="s">
        <v>211</v>
      </c>
      <c r="H179" s="273">
        <f>SUM(H180:H181)</f>
        <v>2273</v>
      </c>
      <c r="I179" s="244">
        <f>ROUND(C179/1000,0)</f>
        <v>1298</v>
      </c>
      <c r="J179" s="714">
        <f>SUM(J180:J181)</f>
        <v>1058</v>
      </c>
      <c r="K179" s="275">
        <f>J179/H179*100</f>
        <v>46.54641443026837</v>
      </c>
      <c r="L179" s="273">
        <f>J179-'[7]Junijs'!J179</f>
        <v>144</v>
      </c>
    </row>
    <row r="180" spans="1:12" ht="24.75" customHeight="1">
      <c r="A180" s="69" t="s">
        <v>268</v>
      </c>
      <c r="B180" s="244">
        <v>1608660</v>
      </c>
      <c r="C180" s="274"/>
      <c r="D180" s="274">
        <v>684489</v>
      </c>
      <c r="E180" s="271">
        <f>D180/B180*100</f>
        <v>42.550259221961134</v>
      </c>
      <c r="F180" s="273">
        <f>D180-'[7]Junijs'!D180</f>
        <v>89348</v>
      </c>
      <c r="G180" s="69" t="s">
        <v>268</v>
      </c>
      <c r="H180" s="244">
        <f>ROUND(B180/1000,0)</f>
        <v>1609</v>
      </c>
      <c r="I180" s="244"/>
      <c r="J180" s="714">
        <f>ROUND(D180/1000,0)</f>
        <v>684</v>
      </c>
      <c r="K180" s="275">
        <f>J180/H180*100</f>
        <v>42.510876320696084</v>
      </c>
      <c r="L180" s="273">
        <f>J180-'[7]Junijs'!J180</f>
        <v>89</v>
      </c>
    </row>
    <row r="181" spans="1:12" ht="24" customHeight="1">
      <c r="A181" s="69" t="s">
        <v>269</v>
      </c>
      <c r="B181" s="244">
        <v>664200</v>
      </c>
      <c r="C181" s="274"/>
      <c r="D181" s="274">
        <v>374293</v>
      </c>
      <c r="E181" s="271">
        <f>D181/B181*100</f>
        <v>56.35245408009636</v>
      </c>
      <c r="F181" s="273">
        <f>D181-'[7]Junijs'!D181</f>
        <v>55318</v>
      </c>
      <c r="G181" s="69" t="s">
        <v>269</v>
      </c>
      <c r="H181" s="244">
        <f>ROUND(B181/1000,0)</f>
        <v>664</v>
      </c>
      <c r="I181" s="244"/>
      <c r="J181" s="714">
        <f>ROUND(D181/1000,0)</f>
        <v>374</v>
      </c>
      <c r="K181" s="275">
        <f>J181/H181*100</f>
        <v>56.325301204819276</v>
      </c>
      <c r="L181" s="273">
        <f>J181-'[7]Junijs'!J181</f>
        <v>55</v>
      </c>
    </row>
    <row r="182" spans="1:12" ht="12.75" customHeight="1">
      <c r="A182" s="242" t="s">
        <v>213</v>
      </c>
      <c r="B182" s="273">
        <f>B183</f>
        <v>2272860</v>
      </c>
      <c r="C182" s="273">
        <f>C183</f>
        <v>1298000</v>
      </c>
      <c r="D182" s="273">
        <f>D183</f>
        <v>1061683</v>
      </c>
      <c r="E182" s="271">
        <f>D182/B182*100</f>
        <v>46.711324058674975</v>
      </c>
      <c r="F182" s="273">
        <f>D182-'[7]Junijs'!D182</f>
        <v>148194</v>
      </c>
      <c r="G182" s="242" t="s">
        <v>213</v>
      </c>
      <c r="H182" s="273">
        <f>H183</f>
        <v>2273</v>
      </c>
      <c r="I182" s="274">
        <f>I183</f>
        <v>1298</v>
      </c>
      <c r="J182" s="714">
        <f>J183</f>
        <v>1062</v>
      </c>
      <c r="K182" s="275">
        <f>J182/H182*100</f>
        <v>46.72239331280246</v>
      </c>
      <c r="L182" s="273">
        <f>J182-'[7]Junijs'!J182</f>
        <v>149</v>
      </c>
    </row>
    <row r="183" spans="1:12" ht="12.75" customHeight="1">
      <c r="A183" s="242" t="s">
        <v>214</v>
      </c>
      <c r="B183" s="244">
        <v>2272860</v>
      </c>
      <c r="C183" s="274">
        <v>1298000</v>
      </c>
      <c r="D183" s="274">
        <f>'[8]Jūlijs'!$Q$8</f>
        <v>1061683</v>
      </c>
      <c r="E183" s="271">
        <f>D183/B183*100</f>
        <v>46.711324058674975</v>
      </c>
      <c r="F183" s="273">
        <f>D183-'[7]Junijs'!D183</f>
        <v>148194</v>
      </c>
      <c r="G183" s="242" t="s">
        <v>214</v>
      </c>
      <c r="H183" s="244">
        <f>ROUND(B183/1000,0)</f>
        <v>2273</v>
      </c>
      <c r="I183" s="244">
        <f>ROUND(C183/1000,0)</f>
        <v>1298</v>
      </c>
      <c r="J183" s="714">
        <f>ROUND(D183/1000,0)</f>
        <v>1062</v>
      </c>
      <c r="K183" s="275">
        <f>J183/H183*100</f>
        <v>46.72239331280246</v>
      </c>
      <c r="L183" s="273">
        <f>J183-'[7]Junijs'!J183</f>
        <v>149</v>
      </c>
    </row>
    <row r="184" spans="1:12" ht="25.5" customHeight="1">
      <c r="A184" s="76" t="s">
        <v>270</v>
      </c>
      <c r="B184" s="273"/>
      <c r="C184" s="273"/>
      <c r="D184" s="273"/>
      <c r="E184" s="271"/>
      <c r="F184" s="273"/>
      <c r="G184" s="76" t="s">
        <v>270</v>
      </c>
      <c r="H184" s="273"/>
      <c r="I184" s="244"/>
      <c r="J184" s="714"/>
      <c r="K184" s="275"/>
      <c r="L184" s="273"/>
    </row>
    <row r="185" spans="1:12" ht="12.75" customHeight="1">
      <c r="A185" s="282" t="s">
        <v>211</v>
      </c>
      <c r="B185" s="273">
        <f>B186</f>
        <v>129565</v>
      </c>
      <c r="C185" s="277">
        <v>77164</v>
      </c>
      <c r="D185" s="273">
        <f>D186</f>
        <v>-10007</v>
      </c>
      <c r="E185" s="271">
        <f aca="true" t="shared" si="28" ref="E185:E190">D185/B185*100</f>
        <v>-7.723536448886659</v>
      </c>
      <c r="F185" s="273">
        <f>D185-'[7]Junijs'!D185</f>
        <v>-64068</v>
      </c>
      <c r="G185" s="125" t="s">
        <v>211</v>
      </c>
      <c r="H185" s="273">
        <f>H186</f>
        <v>130</v>
      </c>
      <c r="I185" s="244">
        <f>ROUND(C185/1000,0)</f>
        <v>77</v>
      </c>
      <c r="J185" s="714">
        <f>J186</f>
        <v>-10</v>
      </c>
      <c r="K185" s="275">
        <f aca="true" t="shared" si="29" ref="K185:K192">J185/H185*100</f>
        <v>-7.6923076923076925</v>
      </c>
      <c r="L185" s="273">
        <f>J185-'[7]Junijs'!J185</f>
        <v>-64</v>
      </c>
    </row>
    <row r="186" spans="1:12" ht="12.75" customHeight="1">
      <c r="A186" s="69" t="s">
        <v>128</v>
      </c>
      <c r="B186" s="244">
        <v>129565</v>
      </c>
      <c r="C186" s="274"/>
      <c r="D186" s="274">
        <f>'[8]Jūlijs'!$P$6</f>
        <v>-10007</v>
      </c>
      <c r="E186" s="271">
        <f t="shared" si="28"/>
        <v>-7.723536448886659</v>
      </c>
      <c r="F186" s="273">
        <f>D186-'[7]Junijs'!D186</f>
        <v>-64068</v>
      </c>
      <c r="G186" s="69" t="s">
        <v>128</v>
      </c>
      <c r="H186" s="244">
        <f>ROUND(B186/1000,0)</f>
        <v>130</v>
      </c>
      <c r="I186" s="244"/>
      <c r="J186" s="714">
        <f>ROUND(D186/1000,0)</f>
        <v>-10</v>
      </c>
      <c r="K186" s="275">
        <f t="shared" si="29"/>
        <v>-7.6923076923076925</v>
      </c>
      <c r="L186" s="273">
        <f>J186-'[7]Junijs'!J186</f>
        <v>-64</v>
      </c>
    </row>
    <row r="187" spans="1:12" ht="12.75" customHeight="1">
      <c r="A187" s="242" t="s">
        <v>213</v>
      </c>
      <c r="B187" s="273">
        <f>B188+B190</f>
        <v>756987</v>
      </c>
      <c r="C187" s="273">
        <f>C188+C190</f>
        <v>205539</v>
      </c>
      <c r="D187" s="273">
        <f>D188+D190</f>
        <v>71073</v>
      </c>
      <c r="E187" s="271">
        <f t="shared" si="28"/>
        <v>9.388932702939416</v>
      </c>
      <c r="F187" s="273">
        <f>D187-'[7]Junijs'!D187</f>
        <v>8080</v>
      </c>
      <c r="G187" s="242" t="s">
        <v>213</v>
      </c>
      <c r="H187" s="273">
        <f>H188+H190</f>
        <v>757</v>
      </c>
      <c r="I187" s="274">
        <f>I188+I190</f>
        <v>206</v>
      </c>
      <c r="J187" s="714">
        <f>J188+J190</f>
        <v>71</v>
      </c>
      <c r="K187" s="275">
        <f t="shared" si="29"/>
        <v>9.379128137384413</v>
      </c>
      <c r="L187" s="273">
        <f>J187-'[7]Junijs'!J187</f>
        <v>8</v>
      </c>
    </row>
    <row r="188" spans="1:12" ht="12.75" customHeight="1">
      <c r="A188" s="242" t="s">
        <v>214</v>
      </c>
      <c r="B188" s="244">
        <v>753987</v>
      </c>
      <c r="C188" s="274">
        <v>202539</v>
      </c>
      <c r="D188" s="274">
        <f>'[8]Jūlijs'!$P$8</f>
        <v>70903</v>
      </c>
      <c r="E188" s="271">
        <f t="shared" si="28"/>
        <v>9.403743035357373</v>
      </c>
      <c r="F188" s="273">
        <f>D188-'[7]Junijs'!D188</f>
        <v>8080</v>
      </c>
      <c r="G188" s="242" t="s">
        <v>214</v>
      </c>
      <c r="H188" s="244">
        <f>ROUND(B188/1000,0)</f>
        <v>754</v>
      </c>
      <c r="I188" s="244">
        <f>ROUND(C188/1000,0)</f>
        <v>203</v>
      </c>
      <c r="J188" s="714">
        <f>ROUND(D188/1000,0)</f>
        <v>71</v>
      </c>
      <c r="K188" s="275">
        <f t="shared" si="29"/>
        <v>9.416445623342176</v>
      </c>
      <c r="L188" s="273">
        <f>J188-'[7]Junijs'!J188</f>
        <v>8</v>
      </c>
    </row>
    <row r="189" spans="1:12" ht="12.75" customHeight="1">
      <c r="A189" s="276" t="s">
        <v>245</v>
      </c>
      <c r="B189" s="244">
        <v>14999</v>
      </c>
      <c r="C189" s="274"/>
      <c r="D189" s="274">
        <f>'[8]Jūlijs'!$P$15</f>
        <v>5449</v>
      </c>
      <c r="E189" s="271">
        <f t="shared" si="28"/>
        <v>36.32908860590706</v>
      </c>
      <c r="F189" s="273">
        <f>D189-'[7]Junijs'!D189</f>
        <v>0</v>
      </c>
      <c r="G189" s="276" t="s">
        <v>245</v>
      </c>
      <c r="H189" s="244">
        <f>ROUND(B189/1000,0)</f>
        <v>15</v>
      </c>
      <c r="I189" s="244"/>
      <c r="J189" s="714">
        <f>ROUND(D189/1000,0)</f>
        <v>5</v>
      </c>
      <c r="K189" s="275">
        <f t="shared" si="29"/>
        <v>33.33333333333333</v>
      </c>
      <c r="L189" s="273">
        <f>J189-'[7]Junijs'!J189</f>
        <v>0</v>
      </c>
    </row>
    <row r="190" spans="1:12" ht="12.75" customHeight="1">
      <c r="A190" s="242" t="s">
        <v>208</v>
      </c>
      <c r="B190" s="244">
        <v>3000</v>
      </c>
      <c r="C190" s="274">
        <v>3000</v>
      </c>
      <c r="D190" s="274">
        <f>'[8]Jūlijs'!$P$30</f>
        <v>170</v>
      </c>
      <c r="E190" s="271">
        <f t="shared" si="28"/>
        <v>5.666666666666666</v>
      </c>
      <c r="F190" s="273">
        <f>D190-'[7]Junijs'!D190</f>
        <v>0</v>
      </c>
      <c r="G190" s="242" t="s">
        <v>208</v>
      </c>
      <c r="H190" s="244">
        <f>ROUND(B190/1000,0)</f>
        <v>3</v>
      </c>
      <c r="I190" s="244">
        <f>ROUND(C190/1000,0)</f>
        <v>3</v>
      </c>
      <c r="J190" s="714">
        <f>ROUND(D190/1000,0)</f>
        <v>0</v>
      </c>
      <c r="K190" s="275">
        <f t="shared" si="29"/>
        <v>0</v>
      </c>
      <c r="L190" s="273">
        <f>J190-'[7]Junijs'!J190</f>
        <v>0</v>
      </c>
    </row>
    <row r="191" spans="1:12" ht="12.75" customHeight="1">
      <c r="A191" s="242" t="s">
        <v>55</v>
      </c>
      <c r="B191" s="273">
        <f>B185-B187</f>
        <v>-627422</v>
      </c>
      <c r="C191" s="277">
        <f>C185-C187</f>
        <v>-128375</v>
      </c>
      <c r="D191" s="273">
        <f>D185-D187</f>
        <v>-81080</v>
      </c>
      <c r="E191" s="271">
        <f>-D191/B191*100</f>
        <v>-12.92272186821629</v>
      </c>
      <c r="F191" s="273">
        <f>D191-'[7]Junijs'!D191</f>
        <v>-72148</v>
      </c>
      <c r="G191" s="242" t="s">
        <v>55</v>
      </c>
      <c r="H191" s="273">
        <f>H185-H187</f>
        <v>-627</v>
      </c>
      <c r="I191" s="244">
        <f>I185-I187</f>
        <v>-129</v>
      </c>
      <c r="J191" s="717">
        <f>J185-J187</f>
        <v>-81</v>
      </c>
      <c r="K191" s="275">
        <f t="shared" si="29"/>
        <v>12.918660287081341</v>
      </c>
      <c r="L191" s="273">
        <f>J191-'[7]Junijs'!J191</f>
        <v>-72</v>
      </c>
    </row>
    <row r="192" spans="1:12" ht="12.75" customHeight="1">
      <c r="A192" s="242" t="s">
        <v>238</v>
      </c>
      <c r="B192" s="273">
        <v>628375</v>
      </c>
      <c r="C192" s="277">
        <v>628375</v>
      </c>
      <c r="D192" s="277">
        <f>'[8]Jūlijs'!$P$43</f>
        <v>27435</v>
      </c>
      <c r="E192" s="271"/>
      <c r="F192" s="273">
        <f>D192-'[7]Junijs'!D192</f>
        <v>0</v>
      </c>
      <c r="G192" s="242" t="s">
        <v>238</v>
      </c>
      <c r="H192" s="244">
        <f>ROUND(B192/1000,0)</f>
        <v>628</v>
      </c>
      <c r="I192" s="244">
        <f>ROUND(C192/1000,0)</f>
        <v>628</v>
      </c>
      <c r="J192" s="714">
        <f>ROUND(D192/1000,0)</f>
        <v>27</v>
      </c>
      <c r="K192" s="275">
        <f t="shared" si="29"/>
        <v>4.2993630573248405</v>
      </c>
      <c r="L192" s="273">
        <f>J192-'[7]Junijs'!J192</f>
        <v>0</v>
      </c>
    </row>
    <row r="193" spans="2:12" ht="17.25" customHeight="1">
      <c r="B193" s="84"/>
      <c r="C193" s="84"/>
      <c r="D193" s="84"/>
      <c r="E193" s="285"/>
      <c r="F193" s="84"/>
      <c r="G193" s="695" t="s">
        <v>877</v>
      </c>
      <c r="H193" s="84"/>
      <c r="I193" s="84"/>
      <c r="J193" s="720"/>
      <c r="K193" s="286"/>
      <c r="L193" s="84"/>
    </row>
    <row r="194" spans="1:12" ht="17.25" customHeight="1">
      <c r="A194" s="870"/>
      <c r="B194" s="870"/>
      <c r="C194" s="870"/>
      <c r="D194" s="870"/>
      <c r="E194" s="870"/>
      <c r="F194" s="256"/>
      <c r="G194" s="871" t="s">
        <v>787</v>
      </c>
      <c r="H194" s="871"/>
      <c r="I194" s="871"/>
      <c r="J194" s="805">
        <v>17513</v>
      </c>
      <c r="K194" s="872" t="s">
        <v>271</v>
      </c>
      <c r="L194" s="872"/>
    </row>
    <row r="195" spans="3:12" ht="17.25" customHeight="1">
      <c r="C195" s="287"/>
      <c r="D195" s="287"/>
      <c r="E195" s="285"/>
      <c r="F195" s="256"/>
      <c r="I195" s="287"/>
      <c r="J195" s="721"/>
      <c r="K195" s="286"/>
      <c r="L195" s="256"/>
    </row>
    <row r="196" spans="3:12" ht="17.25" customHeight="1">
      <c r="C196" s="256"/>
      <c r="D196" s="256"/>
      <c r="E196" s="288"/>
      <c r="F196" s="256"/>
      <c r="K196" s="289"/>
      <c r="L196" s="256"/>
    </row>
    <row r="197" spans="1:12" ht="17.25" customHeight="1">
      <c r="A197" s="41"/>
      <c r="B197" s="39"/>
      <c r="C197" s="39"/>
      <c r="D197" s="39"/>
      <c r="E197" s="290"/>
      <c r="F197" s="256"/>
      <c r="G197" s="722" t="s">
        <v>878</v>
      </c>
      <c r="H197" s="175"/>
      <c r="I197" s="175"/>
      <c r="J197" s="723" t="s">
        <v>862</v>
      </c>
      <c r="K197" s="291"/>
      <c r="L197" s="256"/>
    </row>
    <row r="198" spans="5:12" ht="17.25" customHeight="1">
      <c r="E198" s="292"/>
      <c r="F198" s="256"/>
      <c r="K198" s="293"/>
      <c r="L198" s="256"/>
    </row>
    <row r="199" spans="2:12" ht="17.25" customHeight="1">
      <c r="B199" s="256"/>
      <c r="C199" s="256"/>
      <c r="D199" s="256"/>
      <c r="E199" s="292"/>
      <c r="F199" s="256"/>
      <c r="H199" s="256"/>
      <c r="I199" s="256"/>
      <c r="J199" s="724"/>
      <c r="K199" s="293"/>
      <c r="L199" s="256"/>
    </row>
    <row r="200" spans="1:12" ht="17.25" customHeight="1">
      <c r="A200" s="256"/>
      <c r="B200" s="256"/>
      <c r="C200" s="256"/>
      <c r="D200" s="256"/>
      <c r="E200" s="292"/>
      <c r="F200" s="256"/>
      <c r="H200" s="256"/>
      <c r="I200" s="256"/>
      <c r="J200" s="724"/>
      <c r="K200" s="293"/>
      <c r="L200" s="256"/>
    </row>
    <row r="201" spans="1:12" ht="17.25" customHeight="1">
      <c r="A201" s="294"/>
      <c r="D201" s="256"/>
      <c r="E201" s="292"/>
      <c r="F201" s="256"/>
      <c r="J201" s="724"/>
      <c r="K201" s="293"/>
      <c r="L201" s="256"/>
    </row>
    <row r="202" spans="1:12" ht="17.25" customHeight="1">
      <c r="A202" s="294"/>
      <c r="B202" s="256"/>
      <c r="C202" s="256"/>
      <c r="D202" s="256"/>
      <c r="E202" s="292"/>
      <c r="F202" s="256"/>
      <c r="H202" s="256"/>
      <c r="I202" s="256"/>
      <c r="J202" s="724"/>
      <c r="K202" s="293"/>
      <c r="L202" s="256"/>
    </row>
    <row r="203" spans="5:12" ht="17.25" customHeight="1">
      <c r="E203" s="292"/>
      <c r="F203" s="256"/>
      <c r="K203" s="293"/>
      <c r="L203" s="256"/>
    </row>
    <row r="204" spans="1:12" ht="17.25" customHeight="1">
      <c r="A204" s="256"/>
      <c r="B204" s="256"/>
      <c r="C204" s="256"/>
      <c r="D204" s="256"/>
      <c r="E204" s="292"/>
      <c r="F204" s="256"/>
      <c r="G204" s="294" t="s">
        <v>272</v>
      </c>
      <c r="H204" s="256"/>
      <c r="I204" s="256"/>
      <c r="J204" s="724"/>
      <c r="K204" s="293"/>
      <c r="L204" s="256"/>
    </row>
    <row r="205" spans="2:12" ht="17.25" customHeight="1">
      <c r="B205" s="256"/>
      <c r="C205" s="256"/>
      <c r="D205" s="256"/>
      <c r="E205" s="292"/>
      <c r="F205" s="256"/>
      <c r="G205" s="294" t="s">
        <v>847</v>
      </c>
      <c r="H205" s="256"/>
      <c r="I205" s="256"/>
      <c r="J205" s="724"/>
      <c r="K205" s="293"/>
      <c r="L205" s="256"/>
    </row>
    <row r="206" ht="17.25" customHeight="1">
      <c r="D206" s="256"/>
    </row>
  </sheetData>
  <mergeCells count="9">
    <mergeCell ref="A5:F5"/>
    <mergeCell ref="G5:L5"/>
    <mergeCell ref="A194:E194"/>
    <mergeCell ref="G194:I194"/>
    <mergeCell ref="K194:L194"/>
    <mergeCell ref="A2:F2"/>
    <mergeCell ref="G2:L2"/>
    <mergeCell ref="A4:F4"/>
    <mergeCell ref="G4:L4"/>
  </mergeCells>
  <printOptions horizontalCentered="1"/>
  <pageMargins left="0.9448818897637796" right="0.35433070866141736" top="0.984251968503937" bottom="0.984251968503937" header="0.5118110236220472" footer="0.5118110236220472"/>
  <pageSetup firstPageNumber="16" useFirstPageNumber="1" horizontalDpi="600" verticalDpi="600" orientation="portrait" paperSize="9" scale="87" r:id="rId1"/>
  <headerFooter alignWithMargins="0">
    <oddFooter>&amp;R&amp;9&amp;P</oddFooter>
  </headerFooter>
  <rowBreaks count="3" manualBreakCount="3">
    <brk id="48" min="6" max="11" man="1"/>
    <brk id="100" min="6" max="11" man="1"/>
    <brk id="157" min="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2"/>
  <sheetViews>
    <sheetView workbookViewId="0" topLeftCell="H1">
      <selection activeCell="A59" sqref="A59"/>
    </sheetView>
  </sheetViews>
  <sheetFormatPr defaultColWidth="9.140625" defaultRowHeight="17.25" customHeight="1"/>
  <cols>
    <col min="1" max="1" width="40.00390625" style="5" hidden="1" customWidth="1"/>
    <col min="2" max="3" width="13.57421875" style="5" hidden="1" customWidth="1"/>
    <col min="4" max="4" width="13.140625" style="5" hidden="1" customWidth="1"/>
    <col min="5" max="5" width="9.57421875" style="299" hidden="1" customWidth="1"/>
    <col min="6" max="6" width="11.8515625" style="300" hidden="1" customWidth="1"/>
    <col min="7" max="7" width="13.851562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299" customWidth="1"/>
    <col min="13" max="13" width="11.8515625" style="300" customWidth="1"/>
    <col min="14" max="14" width="12.00390625" style="5" customWidth="1"/>
  </cols>
  <sheetData>
    <row r="1" spans="1:14" ht="17.25" customHeight="1">
      <c r="A1" s="295" t="s">
        <v>273</v>
      </c>
      <c r="B1" s="295"/>
      <c r="C1" s="295"/>
      <c r="D1" s="295"/>
      <c r="E1" s="296"/>
      <c r="F1" s="297"/>
      <c r="G1" s="298" t="s">
        <v>274</v>
      </c>
      <c r="I1" s="295"/>
      <c r="J1" s="295"/>
      <c r="K1" s="295"/>
      <c r="L1" s="296"/>
      <c r="M1" s="297"/>
      <c r="N1" s="298" t="s">
        <v>274</v>
      </c>
    </row>
    <row r="2" spans="8:14" ht="17.25" customHeight="1">
      <c r="H2" s="864" t="s">
        <v>273</v>
      </c>
      <c r="I2" s="864"/>
      <c r="J2" s="864"/>
      <c r="K2" s="864"/>
      <c r="L2" s="864"/>
      <c r="M2" s="864"/>
      <c r="N2" s="864"/>
    </row>
    <row r="4" spans="1:14" ht="17.25" customHeight="1">
      <c r="A4" s="875" t="s">
        <v>275</v>
      </c>
      <c r="B4" s="875"/>
      <c r="C4" s="875"/>
      <c r="D4" s="875"/>
      <c r="E4" s="875"/>
      <c r="F4" s="875"/>
      <c r="G4" s="875"/>
      <c r="H4" s="876" t="s">
        <v>275</v>
      </c>
      <c r="I4" s="876"/>
      <c r="J4" s="876"/>
      <c r="K4" s="876"/>
      <c r="L4" s="876"/>
      <c r="M4" s="876"/>
      <c r="N4" s="876"/>
    </row>
    <row r="5" spans="1:14" ht="17.25" customHeight="1">
      <c r="A5" s="875" t="s">
        <v>276</v>
      </c>
      <c r="B5" s="875"/>
      <c r="C5" s="875"/>
      <c r="D5" s="875"/>
      <c r="E5" s="875"/>
      <c r="F5" s="875"/>
      <c r="G5" s="875"/>
      <c r="H5" s="876" t="s">
        <v>276</v>
      </c>
      <c r="I5" s="876"/>
      <c r="J5" s="876"/>
      <c r="K5" s="876"/>
      <c r="L5" s="876"/>
      <c r="M5" s="876"/>
      <c r="N5" s="876"/>
    </row>
    <row r="6" spans="1:14" ht="17.25" customHeight="1">
      <c r="A6" s="874" t="s">
        <v>865</v>
      </c>
      <c r="B6" s="874"/>
      <c r="C6" s="874"/>
      <c r="D6" s="874"/>
      <c r="E6" s="874"/>
      <c r="F6" s="874"/>
      <c r="G6" s="874"/>
      <c r="H6" s="874" t="s">
        <v>865</v>
      </c>
      <c r="I6" s="874"/>
      <c r="J6" s="874"/>
      <c r="K6" s="874"/>
      <c r="L6" s="874"/>
      <c r="M6" s="874"/>
      <c r="N6" s="874"/>
    </row>
    <row r="7" spans="7:14" ht="17.25" customHeight="1">
      <c r="G7" s="301" t="s">
        <v>201</v>
      </c>
      <c r="N7" s="301" t="s">
        <v>957</v>
      </c>
    </row>
    <row r="8" spans="1:14" ht="76.5" customHeight="1">
      <c r="A8" s="262" t="s">
        <v>791</v>
      </c>
      <c r="B8" s="262" t="s">
        <v>958</v>
      </c>
      <c r="C8" s="262" t="s">
        <v>120</v>
      </c>
      <c r="D8" s="262" t="s">
        <v>959</v>
      </c>
      <c r="E8" s="302" t="s">
        <v>121</v>
      </c>
      <c r="F8" s="303" t="s">
        <v>277</v>
      </c>
      <c r="G8" s="9" t="s">
        <v>879</v>
      </c>
      <c r="H8" s="262" t="s">
        <v>791</v>
      </c>
      <c r="I8" s="262" t="s">
        <v>958</v>
      </c>
      <c r="J8" s="262" t="s">
        <v>120</v>
      </c>
      <c r="K8" s="262" t="s">
        <v>959</v>
      </c>
      <c r="L8" s="302" t="s">
        <v>121</v>
      </c>
      <c r="M8" s="303" t="s">
        <v>277</v>
      </c>
      <c r="N8" s="262" t="s">
        <v>850</v>
      </c>
    </row>
    <row r="9" spans="1:14" s="49" customFormat="1" ht="12.75">
      <c r="A9" s="304">
        <v>1</v>
      </c>
      <c r="B9" s="304">
        <v>2</v>
      </c>
      <c r="C9" s="304">
        <v>3</v>
      </c>
      <c r="D9" s="304">
        <v>4</v>
      </c>
      <c r="E9" s="305">
        <v>5</v>
      </c>
      <c r="F9" s="306">
        <v>6</v>
      </c>
      <c r="G9" s="304">
        <v>7</v>
      </c>
      <c r="H9" s="304">
        <v>1</v>
      </c>
      <c r="I9" s="304">
        <v>2</v>
      </c>
      <c r="J9" s="304">
        <v>3</v>
      </c>
      <c r="K9" s="304">
        <v>4</v>
      </c>
      <c r="L9" s="305">
        <v>5</v>
      </c>
      <c r="M9" s="306">
        <v>6</v>
      </c>
      <c r="N9" s="304">
        <v>7</v>
      </c>
    </row>
    <row r="10" spans="1:14" ht="17.25" customHeight="1">
      <c r="A10" s="307" t="s">
        <v>278</v>
      </c>
      <c r="B10" s="308">
        <f>SUM(B11:B14)</f>
        <v>727134239</v>
      </c>
      <c r="C10" s="308">
        <f>SUM(C11:C14)</f>
        <v>413536687</v>
      </c>
      <c r="D10" s="308">
        <f>SUM(D11:D14)</f>
        <v>404292584</v>
      </c>
      <c r="E10" s="309">
        <f aca="true" t="shared" si="0" ref="E10:E18">D10/B10*100</f>
        <v>55.60081788419263</v>
      </c>
      <c r="F10" s="310">
        <f aca="true" t="shared" si="1" ref="F10:F18">D10/C10*100</f>
        <v>97.76462323885667</v>
      </c>
      <c r="G10" s="308">
        <f>SUM(G11:G14)</f>
        <v>61513525</v>
      </c>
      <c r="H10" s="307" t="s">
        <v>278</v>
      </c>
      <c r="I10" s="308">
        <f>SUM(I11:I14)</f>
        <v>727134</v>
      </c>
      <c r="J10" s="308">
        <f>SUM(J11:J14)</f>
        <v>413537</v>
      </c>
      <c r="K10" s="311">
        <f>SUM(K11:K14)</f>
        <v>404292</v>
      </c>
      <c r="L10" s="312">
        <f aca="true" t="shared" si="2" ref="L10:L18">K10/I10*100</f>
        <v>55.60075584417727</v>
      </c>
      <c r="M10" s="312">
        <f aca="true" t="shared" si="3" ref="M10:M18">K10/J10*100</f>
        <v>97.76440802153132</v>
      </c>
      <c r="N10" s="308">
        <f>SUM(N11:N14)</f>
        <v>61513</v>
      </c>
    </row>
    <row r="11" spans="1:14" ht="14.25">
      <c r="A11" s="69" t="s">
        <v>279</v>
      </c>
      <c r="B11" s="313">
        <v>721069222</v>
      </c>
      <c r="C11" s="313">
        <f>125762031+37020270+37889203+39825423+40449323+42619883+42381558+43325703</f>
        <v>409273394</v>
      </c>
      <c r="D11" s="313">
        <f>'[7]Jūlijs'!$D$20+'[7]Jūlijs'!$D$28+'[7]Jūlijs'!$D$40+'[7]Jūlijs'!$D$45+'[7]Jūlijs'!$D$51+'[7]Jūlijs'!$D$58+'[7]Jūlijs'!$D$70+'[7]Jūlijs'!$D$79+'[7]Jūlijs'!$D$80+'[7]Jūlijs'!$D$90+'[7]Jūlijs'!$D$96+'[7]Jūlijs'!$D$104+'[7]Jūlijs'!$D$105+'[7]Jūlijs'!$D$115+'[7]Jūlijs'!$D$171+'[7]Jūlijs'!$D$172+'[7]Jūlijs'!$D$179</f>
        <v>401114444</v>
      </c>
      <c r="E11" s="314">
        <f t="shared" si="0"/>
        <v>55.62773056481948</v>
      </c>
      <c r="F11" s="310">
        <f t="shared" si="1"/>
        <v>98.00647925821437</v>
      </c>
      <c r="G11" s="315">
        <f>D11-'[9]Junijs'!D11</f>
        <v>60990941</v>
      </c>
      <c r="H11" s="69" t="s">
        <v>279</v>
      </c>
      <c r="I11" s="313">
        <f>ROUND(B11/1000,0)</f>
        <v>721069</v>
      </c>
      <c r="J11" s="313">
        <f>ROUND(C11/1000,0)+1</f>
        <v>409274</v>
      </c>
      <c r="K11" s="313">
        <f>ROUND(D11/1000,0)</f>
        <v>401114</v>
      </c>
      <c r="L11" s="316">
        <f t="shared" si="2"/>
        <v>55.6276861160305</v>
      </c>
      <c r="M11" s="316">
        <f t="shared" si="3"/>
        <v>98.00622565811656</v>
      </c>
      <c r="N11" s="315">
        <f>K11-'[9]Junijs'!K11</f>
        <v>60991</v>
      </c>
    </row>
    <row r="12" spans="1:14" ht="14.25" hidden="1">
      <c r="A12" s="77" t="s">
        <v>280</v>
      </c>
      <c r="B12" s="313"/>
      <c r="C12" s="313"/>
      <c r="D12" s="313"/>
      <c r="E12" s="314" t="e">
        <f t="shared" si="0"/>
        <v>#DIV/0!</v>
      </c>
      <c r="F12" s="310" t="e">
        <f t="shared" si="1"/>
        <v>#DIV/0!</v>
      </c>
      <c r="G12" s="315">
        <f>D12-'[9]Junijs'!D12</f>
        <v>0</v>
      </c>
      <c r="H12" s="77" t="s">
        <v>280</v>
      </c>
      <c r="I12" s="313">
        <f>ROUND(B12/1000,0)</f>
        <v>0</v>
      </c>
      <c r="J12" s="313">
        <f aca="true" t="shared" si="4" ref="J12:J18">ROUND(C12/1000,0)</f>
        <v>0</v>
      </c>
      <c r="K12" s="313">
        <f>ROUND(D12/1000,0)</f>
        <v>0</v>
      </c>
      <c r="L12" s="316" t="e">
        <f t="shared" si="2"/>
        <v>#DIV/0!</v>
      </c>
      <c r="M12" s="316" t="e">
        <f t="shared" si="3"/>
        <v>#DIV/0!</v>
      </c>
      <c r="N12" s="315">
        <f>K12-'[9]Junijs'!K12</f>
        <v>0</v>
      </c>
    </row>
    <row r="13" spans="1:14" ht="25.5">
      <c r="A13" s="69" t="s">
        <v>49</v>
      </c>
      <c r="B13" s="313">
        <v>3459911</v>
      </c>
      <c r="C13" s="313">
        <f>1918187</f>
        <v>1918187</v>
      </c>
      <c r="D13" s="313">
        <f>'[7]Jūlijs'!$D$81+'[7]Jūlijs'!$D$106+'[7]Jūlijs'!$D$173+'[7]Jūlijs'!$D$185</f>
        <v>1717497</v>
      </c>
      <c r="E13" s="314">
        <f t="shared" si="0"/>
        <v>49.63991848345232</v>
      </c>
      <c r="F13" s="310">
        <f t="shared" si="1"/>
        <v>89.53751641524002</v>
      </c>
      <c r="G13" s="315">
        <f>D13-'[9]Junijs'!D13</f>
        <v>95570</v>
      </c>
      <c r="H13" s="69" t="s">
        <v>49</v>
      </c>
      <c r="I13" s="313">
        <f>ROUND(B13/1000,0)</f>
        <v>3460</v>
      </c>
      <c r="J13" s="313">
        <f t="shared" si="4"/>
        <v>1918</v>
      </c>
      <c r="K13" s="313">
        <f>ROUND(D13/1000,0)</f>
        <v>1717</v>
      </c>
      <c r="L13" s="316">
        <f t="shared" si="2"/>
        <v>49.6242774566474</v>
      </c>
      <c r="M13" s="316">
        <f t="shared" si="3"/>
        <v>89.52033368091762</v>
      </c>
      <c r="N13" s="315">
        <f>K13-'[9]Junijs'!K13</f>
        <v>95</v>
      </c>
    </row>
    <row r="14" spans="1:14" ht="14.25">
      <c r="A14" s="69" t="s">
        <v>50</v>
      </c>
      <c r="B14" s="313">
        <v>2605106</v>
      </c>
      <c r="C14" s="313">
        <v>2345106</v>
      </c>
      <c r="D14" s="313">
        <f>SUM('[7]Jūlijs'!$D$82,'[7]Jūlijs'!$D$107)</f>
        <v>1460643</v>
      </c>
      <c r="E14" s="314">
        <f t="shared" si="0"/>
        <v>56.068467079650496</v>
      </c>
      <c r="F14" s="310">
        <f t="shared" si="1"/>
        <v>62.28473254513869</v>
      </c>
      <c r="G14" s="315">
        <f>D14-'[9]Junijs'!D14</f>
        <v>427014</v>
      </c>
      <c r="H14" s="69" t="s">
        <v>50</v>
      </c>
      <c r="I14" s="313">
        <f>ROUND(B14/1000,0)</f>
        <v>2605</v>
      </c>
      <c r="J14" s="313">
        <f t="shared" si="4"/>
        <v>2345</v>
      </c>
      <c r="K14" s="313">
        <f>ROUND(D14/1000,0)</f>
        <v>1461</v>
      </c>
      <c r="L14" s="316">
        <f t="shared" si="2"/>
        <v>56.08445297504798</v>
      </c>
      <c r="M14" s="316">
        <f t="shared" si="3"/>
        <v>62.30277185501066</v>
      </c>
      <c r="N14" s="315">
        <f>K14-'[9]Junijs'!K14</f>
        <v>427</v>
      </c>
    </row>
    <row r="15" spans="1:14" ht="17.25" customHeight="1">
      <c r="A15" s="307" t="s">
        <v>130</v>
      </c>
      <c r="B15" s="317">
        <f>B16+B42</f>
        <v>769845749</v>
      </c>
      <c r="C15" s="317">
        <f>SUM(C16,C42)</f>
        <v>451403154</v>
      </c>
      <c r="D15" s="317">
        <f>SUM(D16,D42)</f>
        <v>417895741</v>
      </c>
      <c r="E15" s="309">
        <f t="shared" si="0"/>
        <v>54.28304846040008</v>
      </c>
      <c r="F15" s="310">
        <f t="shared" si="1"/>
        <v>92.57705385904326</v>
      </c>
      <c r="G15" s="318">
        <f>SUM(G16,G42)</f>
        <v>64713117</v>
      </c>
      <c r="H15" s="307" t="s">
        <v>130</v>
      </c>
      <c r="I15" s="311">
        <f>SUM(I42,I16)</f>
        <v>769845</v>
      </c>
      <c r="J15" s="311">
        <f t="shared" si="4"/>
        <v>451403</v>
      </c>
      <c r="K15" s="311">
        <f>SUM(K42,K16)</f>
        <v>417896</v>
      </c>
      <c r="L15" s="312">
        <f t="shared" si="2"/>
        <v>54.28313491676896</v>
      </c>
      <c r="M15" s="312">
        <f t="shared" si="3"/>
        <v>92.57714281916603</v>
      </c>
      <c r="N15" s="317">
        <f>SUM(N16,N42)</f>
        <v>64713</v>
      </c>
    </row>
    <row r="16" spans="1:14" ht="17.25" customHeight="1">
      <c r="A16" s="319" t="s">
        <v>281</v>
      </c>
      <c r="B16" s="320">
        <v>736820824</v>
      </c>
      <c r="C16" s="320">
        <f>SUM(C17,C22,C25)</f>
        <v>431849053</v>
      </c>
      <c r="D16" s="320">
        <f>SUM(D17,D22,D25)</f>
        <v>406686643</v>
      </c>
      <c r="E16" s="309">
        <f t="shared" si="0"/>
        <v>55.194781384191714</v>
      </c>
      <c r="F16" s="310">
        <f t="shared" si="1"/>
        <v>94.17333213417976</v>
      </c>
      <c r="G16" s="321">
        <f>SUM(G17,G22,G25)</f>
        <v>62241057</v>
      </c>
      <c r="H16" s="319" t="s">
        <v>281</v>
      </c>
      <c r="I16" s="311">
        <f>ROUND(B16/1000,0)-1</f>
        <v>736820</v>
      </c>
      <c r="J16" s="311">
        <f t="shared" si="4"/>
        <v>431849</v>
      </c>
      <c r="K16" s="311">
        <f>SUM(K25,K22,K17)</f>
        <v>406687</v>
      </c>
      <c r="L16" s="312">
        <f t="shared" si="2"/>
        <v>55.19489156103254</v>
      </c>
      <c r="M16" s="312">
        <f t="shared" si="3"/>
        <v>94.17342635967665</v>
      </c>
      <c r="N16" s="308">
        <f>K16-'[9]Junijs'!K16</f>
        <v>62241</v>
      </c>
    </row>
    <row r="17" spans="1:14" ht="17.25" customHeight="1">
      <c r="A17" s="319" t="s">
        <v>132</v>
      </c>
      <c r="B17" s="320">
        <v>31334901</v>
      </c>
      <c r="C17" s="320">
        <f>20338457+10782</f>
        <v>20349239</v>
      </c>
      <c r="D17" s="320">
        <f>'[8]Jūlijs'!$Z$9</f>
        <v>17452888</v>
      </c>
      <c r="E17" s="309">
        <f t="shared" si="0"/>
        <v>55.69791970940007</v>
      </c>
      <c r="F17" s="310">
        <f t="shared" si="1"/>
        <v>85.76678469401239</v>
      </c>
      <c r="G17" s="315">
        <f>D17-'[9]Junijs'!D17</f>
        <v>1840219</v>
      </c>
      <c r="H17" s="319" t="s">
        <v>132</v>
      </c>
      <c r="I17" s="311">
        <f>ROUND(B17/1000,0)</f>
        <v>31335</v>
      </c>
      <c r="J17" s="311">
        <f t="shared" si="4"/>
        <v>20349</v>
      </c>
      <c r="K17" s="311">
        <f>SUM(K18:K21)</f>
        <v>17453</v>
      </c>
      <c r="L17" s="312">
        <f t="shared" si="2"/>
        <v>55.69810116483166</v>
      </c>
      <c r="M17" s="312">
        <f t="shared" si="3"/>
        <v>85.76834242468917</v>
      </c>
      <c r="N17" s="308">
        <f>K17-'[9]Junijs'!K17</f>
        <v>1840</v>
      </c>
    </row>
    <row r="18" spans="1:14" ht="15">
      <c r="A18" s="242" t="s">
        <v>282</v>
      </c>
      <c r="B18" s="322">
        <v>1539261</v>
      </c>
      <c r="C18" s="322">
        <f>920837</f>
        <v>920837</v>
      </c>
      <c r="D18" s="725">
        <f>'[8]Jūlijs'!$Z$10</f>
        <v>766449</v>
      </c>
      <c r="E18" s="309">
        <f t="shared" si="0"/>
        <v>49.79330990650708</v>
      </c>
      <c r="F18" s="310">
        <f t="shared" si="1"/>
        <v>83.23394911368679</v>
      </c>
      <c r="G18" s="315">
        <f>D18-'[9]Junijs'!D18</f>
        <v>96506</v>
      </c>
      <c r="H18" s="242" t="s">
        <v>282</v>
      </c>
      <c r="I18" s="313">
        <f>ROUND(B18/1000,0)</f>
        <v>1539</v>
      </c>
      <c r="J18" s="313">
        <f t="shared" si="4"/>
        <v>921</v>
      </c>
      <c r="K18" s="313">
        <f>ROUND(D18/1000,0)</f>
        <v>766</v>
      </c>
      <c r="L18" s="316">
        <f t="shared" si="2"/>
        <v>49.772579597141</v>
      </c>
      <c r="M18" s="316">
        <f t="shared" si="3"/>
        <v>83.17046688382193</v>
      </c>
      <c r="N18" s="315">
        <f>K18-'[9]Junijs'!K18</f>
        <v>96</v>
      </c>
    </row>
    <row r="19" spans="1:14" ht="26.25">
      <c r="A19" s="69" t="s">
        <v>283</v>
      </c>
      <c r="B19" s="323" t="s">
        <v>797</v>
      </c>
      <c r="C19" s="323" t="s">
        <v>797</v>
      </c>
      <c r="D19" s="725">
        <f>'[8]Jūlijs'!$Z$11</f>
        <v>190803</v>
      </c>
      <c r="E19" s="309"/>
      <c r="F19" s="113" t="s">
        <v>797</v>
      </c>
      <c r="G19" s="315">
        <f>D19-'[9]Junijs'!D19</f>
        <v>20274</v>
      </c>
      <c r="H19" s="69" t="s">
        <v>283</v>
      </c>
      <c r="I19" s="323" t="s">
        <v>797</v>
      </c>
      <c r="J19" s="323" t="s">
        <v>797</v>
      </c>
      <c r="K19" s="313">
        <f>ROUND(D19/1000,0)</f>
        <v>191</v>
      </c>
      <c r="L19" s="324" t="s">
        <v>797</v>
      </c>
      <c r="M19" s="324" t="s">
        <v>797</v>
      </c>
      <c r="N19" s="315">
        <f>K19-'[9]Junijs'!K19</f>
        <v>20</v>
      </c>
    </row>
    <row r="20" spans="1:14" ht="15">
      <c r="A20" s="69" t="s">
        <v>284</v>
      </c>
      <c r="B20" s="323" t="s">
        <v>797</v>
      </c>
      <c r="C20" s="323">
        <f>C17-C18</f>
        <v>19428402</v>
      </c>
      <c r="D20" s="313">
        <f>'[8]Jūlijs'!$Z$12-193047</f>
        <v>13816056</v>
      </c>
      <c r="E20" s="309"/>
      <c r="F20" s="310">
        <f>D20/C20*100</f>
        <v>71.11267308551676</v>
      </c>
      <c r="G20" s="315">
        <f>D20-'[9]Junijs'!D20</f>
        <v>1488491</v>
      </c>
      <c r="H20" s="69" t="s">
        <v>284</v>
      </c>
      <c r="I20" s="323" t="s">
        <v>797</v>
      </c>
      <c r="J20" s="313">
        <f>ROUND(C20/1000,0)</f>
        <v>19428</v>
      </c>
      <c r="K20" s="313">
        <f>ROUND(D20/1000,0)</f>
        <v>13816</v>
      </c>
      <c r="L20" s="324" t="s">
        <v>797</v>
      </c>
      <c r="M20" s="316">
        <f>K20/J20*100</f>
        <v>71.11385628989088</v>
      </c>
      <c r="N20" s="315">
        <f>K20-'[9]Junijs'!K20</f>
        <v>1488</v>
      </c>
    </row>
    <row r="21" spans="1:14" ht="15">
      <c r="A21" s="69" t="s">
        <v>285</v>
      </c>
      <c r="B21" s="323">
        <v>5690057</v>
      </c>
      <c r="C21" s="323" t="s">
        <v>797</v>
      </c>
      <c r="D21" s="313">
        <f>'[8]Jūlijs'!$Z$15+193047</f>
        <v>2679580</v>
      </c>
      <c r="E21" s="309">
        <f>D21/B21*100</f>
        <v>47.09232262523908</v>
      </c>
      <c r="F21" s="113" t="s">
        <v>797</v>
      </c>
      <c r="G21" s="315">
        <f>D21-'[9]Junijs'!D21</f>
        <v>235948</v>
      </c>
      <c r="H21" s="69" t="s">
        <v>285</v>
      </c>
      <c r="I21" s="313">
        <f>ROUND(B21/1000,0)</f>
        <v>5690</v>
      </c>
      <c r="J21" s="323" t="s">
        <v>797</v>
      </c>
      <c r="K21" s="725">
        <f>ROUND(D21/1000,0)</f>
        <v>2680</v>
      </c>
      <c r="L21" s="316">
        <f>K21/I21*100</f>
        <v>47.10017574692443</v>
      </c>
      <c r="M21" s="324" t="s">
        <v>797</v>
      </c>
      <c r="N21" s="315">
        <f>K21-'[9]Junijs'!K21</f>
        <v>236</v>
      </c>
    </row>
    <row r="22" spans="1:14" ht="30">
      <c r="A22" s="325" t="s">
        <v>136</v>
      </c>
      <c r="B22" s="308">
        <v>8594114</v>
      </c>
      <c r="C22" s="308">
        <f>2641442+1126661+1277020+119000+1267640</f>
        <v>6431763</v>
      </c>
      <c r="D22" s="326">
        <f>'[8]Jūlijs'!$Z$16</f>
        <v>6227279</v>
      </c>
      <c r="E22" s="309">
        <f>D22/B22*100</f>
        <v>72.45981377486964</v>
      </c>
      <c r="F22" s="310">
        <f>D22/C22*100</f>
        <v>96.8207161862152</v>
      </c>
      <c r="G22" s="315">
        <f>D22-'[9]Junijs'!D22</f>
        <v>2360742</v>
      </c>
      <c r="H22" s="325" t="s">
        <v>136</v>
      </c>
      <c r="I22" s="311">
        <f>ROUND(B22/1000,0)</f>
        <v>8594</v>
      </c>
      <c r="J22" s="311">
        <f>ROUND(C22/1000,0)</f>
        <v>6432</v>
      </c>
      <c r="K22" s="311">
        <f>SUM(K23:K24)</f>
        <v>6227</v>
      </c>
      <c r="L22" s="312">
        <f>K22/I22*100</f>
        <v>72.45752850826157</v>
      </c>
      <c r="M22" s="312">
        <f>K22/J22*100</f>
        <v>96.81281094527363</v>
      </c>
      <c r="N22" s="315">
        <f>K22-'[9]Junijs'!K22</f>
        <v>2361</v>
      </c>
    </row>
    <row r="23" spans="1:14" ht="26.25">
      <c r="A23" s="69" t="s">
        <v>286</v>
      </c>
      <c r="B23" s="323" t="s">
        <v>797</v>
      </c>
      <c r="C23" s="323" t="s">
        <v>797</v>
      </c>
      <c r="D23" s="327">
        <f>'[8]Jūlijs'!$Z$17</f>
        <v>4927942</v>
      </c>
      <c r="E23" s="309"/>
      <c r="F23" s="113" t="s">
        <v>797</v>
      </c>
      <c r="G23" s="315">
        <f>D23-'[9]Junijs'!D23</f>
        <v>2360742</v>
      </c>
      <c r="H23" s="69" t="s">
        <v>286</v>
      </c>
      <c r="I23" s="323" t="s">
        <v>797</v>
      </c>
      <c r="J23" s="323" t="s">
        <v>797</v>
      </c>
      <c r="K23" s="313">
        <f>ROUND(D23/1000,0)</f>
        <v>4928</v>
      </c>
      <c r="L23" s="324" t="s">
        <v>797</v>
      </c>
      <c r="M23" s="324" t="s">
        <v>797</v>
      </c>
      <c r="N23" s="315">
        <f>K23-'[9]Junijs'!K23</f>
        <v>2361</v>
      </c>
    </row>
    <row r="24" spans="1:14" ht="26.25">
      <c r="A24" s="69" t="s">
        <v>287</v>
      </c>
      <c r="B24" s="323" t="s">
        <v>797</v>
      </c>
      <c r="C24" s="323" t="s">
        <v>797</v>
      </c>
      <c r="D24" s="328">
        <f>'[8]Jūlijs'!$Z$18</f>
        <v>1299337</v>
      </c>
      <c r="E24" s="309"/>
      <c r="F24" s="113" t="s">
        <v>797</v>
      </c>
      <c r="G24" s="315">
        <f>D24-'[9]Junijs'!D24</f>
        <v>0</v>
      </c>
      <c r="H24" s="69" t="s">
        <v>287</v>
      </c>
      <c r="I24" s="323" t="s">
        <v>797</v>
      </c>
      <c r="J24" s="323" t="s">
        <v>797</v>
      </c>
      <c r="K24" s="313">
        <f>ROUND(D24/1000,0)</f>
        <v>1299</v>
      </c>
      <c r="L24" s="324" t="s">
        <v>797</v>
      </c>
      <c r="M24" s="324" t="s">
        <v>797</v>
      </c>
      <c r="N24" s="315">
        <f>K24-'[9]Junijs'!K24</f>
        <v>0</v>
      </c>
    </row>
    <row r="25" spans="1:14" ht="17.25" customHeight="1">
      <c r="A25" s="32" t="s">
        <v>140</v>
      </c>
      <c r="B25" s="311">
        <v>696891809</v>
      </c>
      <c r="C25" s="329">
        <f>SUM(C26,C33,C34,C35,C40,C41)</f>
        <v>405068051</v>
      </c>
      <c r="D25" s="329">
        <f>SUM(D26,D28,D33,D34,D35,D40,D41)</f>
        <v>383006476</v>
      </c>
      <c r="E25" s="309">
        <f>D25/B25*100</f>
        <v>54.95924490052372</v>
      </c>
      <c r="F25" s="310">
        <f>D25/C25*100</f>
        <v>94.5536126718619</v>
      </c>
      <c r="G25" s="315">
        <f>D25-'[9]Junijs'!D25</f>
        <v>58040096</v>
      </c>
      <c r="H25" s="32" t="s">
        <v>140</v>
      </c>
      <c r="I25" s="311">
        <f>ROUND(B25/1000,0)</f>
        <v>696892</v>
      </c>
      <c r="J25" s="311">
        <f>ROUND(C25/1000,0)</f>
        <v>405068</v>
      </c>
      <c r="K25" s="329">
        <f>SUM(K26,K28,K33,K34,K35,K40,K41)</f>
        <v>383007</v>
      </c>
      <c r="L25" s="312">
        <f>K25/I25*100</f>
        <v>54.95930502861276</v>
      </c>
      <c r="M25" s="312">
        <f>K25/J25*100</f>
        <v>94.55375393761048</v>
      </c>
      <c r="N25" s="315">
        <f>K25-'[9]Junijs'!K25</f>
        <v>58040</v>
      </c>
    </row>
    <row r="26" spans="1:14" ht="14.25">
      <c r="A26" s="242" t="s">
        <v>288</v>
      </c>
      <c r="B26" s="323" t="s">
        <v>797</v>
      </c>
      <c r="C26" s="330">
        <v>15956800</v>
      </c>
      <c r="D26" s="331">
        <f>'[8]Jūlijs'!$Z$20</f>
        <v>3666029</v>
      </c>
      <c r="E26" s="113" t="s">
        <v>797</v>
      </c>
      <c r="F26" s="310">
        <f>D26/C26*100</f>
        <v>22.97471297503259</v>
      </c>
      <c r="G26" s="315">
        <f>D26-'[9]Junijs'!D26</f>
        <v>678964</v>
      </c>
      <c r="H26" s="242" t="s">
        <v>288</v>
      </c>
      <c r="I26" s="323" t="s">
        <v>797</v>
      </c>
      <c r="J26" s="313">
        <f>ROUND(C26/1000,0)</f>
        <v>15957</v>
      </c>
      <c r="K26" s="313">
        <f>ROUND(D26/1000,0)</f>
        <v>3666</v>
      </c>
      <c r="L26" s="324" t="s">
        <v>797</v>
      </c>
      <c r="M26" s="316">
        <f>K26/J26*100</f>
        <v>22.974243278811805</v>
      </c>
      <c r="N26" s="315">
        <f>K26-'[9]Junijs'!K26</f>
        <v>679</v>
      </c>
    </row>
    <row r="27" spans="1:14" ht="14.25">
      <c r="A27" s="276" t="s">
        <v>289</v>
      </c>
      <c r="B27" s="323" t="s">
        <v>797</v>
      </c>
      <c r="C27" s="323" t="s">
        <v>797</v>
      </c>
      <c r="D27" s="332">
        <v>2305398</v>
      </c>
      <c r="E27" s="113" t="s">
        <v>797</v>
      </c>
      <c r="F27" s="113" t="s">
        <v>797</v>
      </c>
      <c r="G27" s="315">
        <f>D27-'[9]Junijs'!D27</f>
        <v>316752</v>
      </c>
      <c r="H27" s="276" t="s">
        <v>290</v>
      </c>
      <c r="I27" s="323" t="s">
        <v>797</v>
      </c>
      <c r="J27" s="323" t="s">
        <v>797</v>
      </c>
      <c r="K27" s="313">
        <f aca="true" t="shared" si="5" ref="K27:K34">ROUND(D27/1000,0)</f>
        <v>2305</v>
      </c>
      <c r="L27" s="324" t="s">
        <v>797</v>
      </c>
      <c r="M27" s="324" t="s">
        <v>797</v>
      </c>
      <c r="N27" s="315">
        <f>K27-'[9]Junijs'!K27</f>
        <v>316</v>
      </c>
    </row>
    <row r="28" spans="1:14" ht="14.25">
      <c r="A28" s="242" t="s">
        <v>291</v>
      </c>
      <c r="B28" s="323" t="s">
        <v>797</v>
      </c>
      <c r="C28" s="323" t="s">
        <v>797</v>
      </c>
      <c r="D28" s="331">
        <f>'[8]Jūlijs'!$Z$21</f>
        <v>10539920</v>
      </c>
      <c r="E28" s="113" t="s">
        <v>797</v>
      </c>
      <c r="F28" s="113" t="s">
        <v>797</v>
      </c>
      <c r="G28" s="315">
        <f>D28-'[9]Junijs'!D28</f>
        <v>2472650</v>
      </c>
      <c r="H28" s="242" t="s">
        <v>291</v>
      </c>
      <c r="I28" s="323" t="s">
        <v>797</v>
      </c>
      <c r="J28" s="323" t="s">
        <v>797</v>
      </c>
      <c r="K28" s="313">
        <f t="shared" si="5"/>
        <v>10540</v>
      </c>
      <c r="L28" s="324" t="s">
        <v>797</v>
      </c>
      <c r="M28" s="324" t="s">
        <v>797</v>
      </c>
      <c r="N28" s="315">
        <f>K28-'[9]Junijs'!K28</f>
        <v>2473</v>
      </c>
    </row>
    <row r="29" spans="1:14" ht="14.25">
      <c r="A29" s="276" t="s">
        <v>292</v>
      </c>
      <c r="B29" s="323" t="s">
        <v>797</v>
      </c>
      <c r="C29" s="323" t="s">
        <v>797</v>
      </c>
      <c r="D29" s="332">
        <v>6329448</v>
      </c>
      <c r="E29" s="113" t="s">
        <v>797</v>
      </c>
      <c r="F29" s="113" t="s">
        <v>797</v>
      </c>
      <c r="G29" s="315">
        <f>D29-'[9]Junijs'!D29</f>
        <v>952374</v>
      </c>
      <c r="H29" s="276" t="s">
        <v>293</v>
      </c>
      <c r="I29" s="323" t="s">
        <v>797</v>
      </c>
      <c r="J29" s="323" t="s">
        <v>797</v>
      </c>
      <c r="K29" s="313">
        <f t="shared" si="5"/>
        <v>6329</v>
      </c>
      <c r="L29" s="324" t="s">
        <v>797</v>
      </c>
      <c r="M29" s="324" t="s">
        <v>797</v>
      </c>
      <c r="N29" s="315">
        <f>K29-'[9]Junijs'!K29</f>
        <v>952</v>
      </c>
    </row>
    <row r="30" spans="1:14" ht="25.5">
      <c r="A30" s="77" t="s">
        <v>294</v>
      </c>
      <c r="B30" s="323" t="s">
        <v>797</v>
      </c>
      <c r="C30" s="323" t="s">
        <v>797</v>
      </c>
      <c r="D30" s="331">
        <f>SUM(D31:D32)</f>
        <v>3050196</v>
      </c>
      <c r="E30" s="113" t="s">
        <v>797</v>
      </c>
      <c r="F30" s="113" t="s">
        <v>797</v>
      </c>
      <c r="G30" s="315">
        <f>D30-'[9]Junijs'!D30</f>
        <v>360000</v>
      </c>
      <c r="H30" s="77" t="s">
        <v>295</v>
      </c>
      <c r="I30" s="323" t="s">
        <v>797</v>
      </c>
      <c r="J30" s="323" t="s">
        <v>797</v>
      </c>
      <c r="K30" s="313">
        <f t="shared" si="5"/>
        <v>3050</v>
      </c>
      <c r="L30" s="324" t="s">
        <v>797</v>
      </c>
      <c r="M30" s="324" t="s">
        <v>797</v>
      </c>
      <c r="N30" s="315">
        <f>K30-'[9]Junijs'!K30</f>
        <v>360</v>
      </c>
    </row>
    <row r="31" spans="1:14" ht="14.25">
      <c r="A31" s="333" t="s">
        <v>296</v>
      </c>
      <c r="B31" s="323" t="s">
        <v>797</v>
      </c>
      <c r="C31" s="323" t="s">
        <v>797</v>
      </c>
      <c r="D31" s="331">
        <v>1588078</v>
      </c>
      <c r="E31" s="113" t="s">
        <v>797</v>
      </c>
      <c r="F31" s="113" t="s">
        <v>797</v>
      </c>
      <c r="G31" s="315">
        <f>D31-'[9]Junijs'!D31</f>
        <v>169253</v>
      </c>
      <c r="H31" s="333" t="s">
        <v>297</v>
      </c>
      <c r="I31" s="323" t="s">
        <v>797</v>
      </c>
      <c r="J31" s="323" t="s">
        <v>797</v>
      </c>
      <c r="K31" s="313">
        <f t="shared" si="5"/>
        <v>1588</v>
      </c>
      <c r="L31" s="324" t="s">
        <v>797</v>
      </c>
      <c r="M31" s="324" t="s">
        <v>797</v>
      </c>
      <c r="N31" s="315">
        <f>K31-'[9]Junijs'!K31</f>
        <v>169</v>
      </c>
    </row>
    <row r="32" spans="1:14" ht="14.25">
      <c r="A32" s="333" t="s">
        <v>298</v>
      </c>
      <c r="B32" s="323" t="s">
        <v>797</v>
      </c>
      <c r="C32" s="323" t="s">
        <v>797</v>
      </c>
      <c r="D32" s="331">
        <v>1462118</v>
      </c>
      <c r="E32" s="113" t="s">
        <v>797</v>
      </c>
      <c r="F32" s="113" t="s">
        <v>797</v>
      </c>
      <c r="G32" s="315">
        <f>D32-'[9]Junijs'!D32</f>
        <v>190747</v>
      </c>
      <c r="H32" s="333" t="s">
        <v>299</v>
      </c>
      <c r="I32" s="323" t="s">
        <v>797</v>
      </c>
      <c r="J32" s="323" t="s">
        <v>797</v>
      </c>
      <c r="K32" s="313">
        <f t="shared" si="5"/>
        <v>1462</v>
      </c>
      <c r="L32" s="324" t="s">
        <v>797</v>
      </c>
      <c r="M32" s="324" t="s">
        <v>797</v>
      </c>
      <c r="N32" s="315">
        <f>K32-'[9]Junijs'!K32</f>
        <v>191</v>
      </c>
    </row>
    <row r="33" spans="1:14" ht="14.25">
      <c r="A33" s="242" t="s">
        <v>300</v>
      </c>
      <c r="B33" s="334" t="s">
        <v>797</v>
      </c>
      <c r="C33" s="334" t="s">
        <v>797</v>
      </c>
      <c r="D33" s="331">
        <v>0</v>
      </c>
      <c r="E33" s="113" t="s">
        <v>797</v>
      </c>
      <c r="F33" s="113" t="s">
        <v>797</v>
      </c>
      <c r="G33" s="315">
        <f>D33-'[9]Junijs'!D33</f>
        <v>0</v>
      </c>
      <c r="H33" s="242" t="s">
        <v>300</v>
      </c>
      <c r="I33" s="334" t="s">
        <v>797</v>
      </c>
      <c r="J33" s="334" t="s">
        <v>797</v>
      </c>
      <c r="K33" s="313">
        <f t="shared" si="5"/>
        <v>0</v>
      </c>
      <c r="L33" s="324" t="s">
        <v>797</v>
      </c>
      <c r="M33" s="324" t="s">
        <v>797</v>
      </c>
      <c r="N33" s="315">
        <f>K33-'[9]Junijs'!K33</f>
        <v>0</v>
      </c>
    </row>
    <row r="34" spans="1:14" ht="26.25">
      <c r="A34" s="69" t="s">
        <v>301</v>
      </c>
      <c r="B34" s="323">
        <v>159181838</v>
      </c>
      <c r="C34" s="335">
        <f>84389769+653315+1118302+1128230+1094947+1111947+1096947+1244948</f>
        <v>91838405</v>
      </c>
      <c r="D34" s="331">
        <f>'[8]Jūlijs'!$Z$23-D41</f>
        <v>88056966</v>
      </c>
      <c r="E34" s="309">
        <f>D34/B34*100</f>
        <v>55.31847546577519</v>
      </c>
      <c r="F34" s="310">
        <f>D34/C34*100</f>
        <v>95.8825079769188</v>
      </c>
      <c r="G34" s="315">
        <f>D34-'[9]Junijs'!D34</f>
        <v>12510589</v>
      </c>
      <c r="H34" s="69" t="s">
        <v>301</v>
      </c>
      <c r="I34" s="313">
        <f>ROUND(B34/1000,0)</f>
        <v>159182</v>
      </c>
      <c r="J34" s="313">
        <f>ROUND(C34/1000,0)</f>
        <v>91838</v>
      </c>
      <c r="K34" s="313">
        <f t="shared" si="5"/>
        <v>88057</v>
      </c>
      <c r="L34" s="316">
        <f>K34/I34*100</f>
        <v>55.31844052719529</v>
      </c>
      <c r="M34" s="316">
        <f>K34/J34*100</f>
        <v>95.8829678346654</v>
      </c>
      <c r="N34" s="315">
        <f>K34-'[9]Junijs'!K34</f>
        <v>12511</v>
      </c>
    </row>
    <row r="35" spans="1:14" ht="17.25" customHeight="1">
      <c r="A35" s="69" t="s">
        <v>302</v>
      </c>
      <c r="B35" s="323">
        <v>509376221</v>
      </c>
      <c r="C35" s="335">
        <f>38906+43369702+42599868+41381667+42298478+43057668+40994265+42816742</f>
        <v>296557296</v>
      </c>
      <c r="D35" s="331">
        <f>SUM(D36:D39)</f>
        <v>280037850</v>
      </c>
      <c r="E35" s="309">
        <f>D35/B35*100</f>
        <v>54.9766240462175</v>
      </c>
      <c r="F35" s="310">
        <f>D35/C35*100</f>
        <v>94.42959380099015</v>
      </c>
      <c r="G35" s="315">
        <f>D35-'[9]Junijs'!D35</f>
        <v>42277793</v>
      </c>
      <c r="H35" s="69" t="s">
        <v>302</v>
      </c>
      <c r="I35" s="313">
        <f>ROUND(B35/1000,0)</f>
        <v>509376</v>
      </c>
      <c r="J35" s="313">
        <f>ROUND(C35/1000,0)</f>
        <v>296557</v>
      </c>
      <c r="K35" s="313">
        <f>SUM(K36:K39)</f>
        <v>280038</v>
      </c>
      <c r="L35" s="316">
        <f>K35/I35*100</f>
        <v>54.97667734640031</v>
      </c>
      <c r="M35" s="316">
        <f>K35/J35*100</f>
        <v>94.42973863371965</v>
      </c>
      <c r="N35" s="315">
        <f>K35-'[9]Junijs'!K35</f>
        <v>42277</v>
      </c>
    </row>
    <row r="36" spans="1:14" ht="17.25" customHeight="1">
      <c r="A36" s="336" t="s">
        <v>303</v>
      </c>
      <c r="B36" s="337" t="s">
        <v>797</v>
      </c>
      <c r="C36" s="337" t="s">
        <v>797</v>
      </c>
      <c r="D36" s="338">
        <v>257822924</v>
      </c>
      <c r="E36" s="309"/>
      <c r="F36" s="113" t="s">
        <v>797</v>
      </c>
      <c r="G36" s="315">
        <f>D36-'[9]Junijs'!D36</f>
        <v>39174226</v>
      </c>
      <c r="H36" s="336" t="s">
        <v>303</v>
      </c>
      <c r="I36" s="337" t="s">
        <v>797</v>
      </c>
      <c r="J36" s="337" t="s">
        <v>797</v>
      </c>
      <c r="K36" s="313">
        <f aca="true" t="shared" si="6" ref="K36:K41">ROUND(D36/1000,0)</f>
        <v>257823</v>
      </c>
      <c r="L36" s="324" t="s">
        <v>797</v>
      </c>
      <c r="M36" s="324" t="s">
        <v>797</v>
      </c>
      <c r="N36" s="315">
        <f>K36-'[9]Junijs'!K36</f>
        <v>39174</v>
      </c>
    </row>
    <row r="37" spans="1:14" ht="17.25" customHeight="1">
      <c r="A37" s="336" t="s">
        <v>304</v>
      </c>
      <c r="B37" s="337" t="s">
        <v>797</v>
      </c>
      <c r="C37" s="337" t="s">
        <v>797</v>
      </c>
      <c r="D37" s="338">
        <v>21259149</v>
      </c>
      <c r="E37" s="309"/>
      <c r="F37" s="113" t="s">
        <v>797</v>
      </c>
      <c r="G37" s="315">
        <f>D37-'[9]Junijs'!D37</f>
        <v>2889343</v>
      </c>
      <c r="H37" s="336" t="s">
        <v>304</v>
      </c>
      <c r="I37" s="337" t="s">
        <v>797</v>
      </c>
      <c r="J37" s="337" t="s">
        <v>797</v>
      </c>
      <c r="K37" s="313">
        <f t="shared" si="6"/>
        <v>21259</v>
      </c>
      <c r="L37" s="324" t="s">
        <v>797</v>
      </c>
      <c r="M37" s="324" t="s">
        <v>797</v>
      </c>
      <c r="N37" s="315">
        <f>K37-'[9]Junijs'!K37</f>
        <v>2889</v>
      </c>
    </row>
    <row r="38" spans="1:14" ht="17.25" customHeight="1">
      <c r="A38" s="336" t="s">
        <v>305</v>
      </c>
      <c r="B38" s="337" t="s">
        <v>797</v>
      </c>
      <c r="C38" s="337" t="s">
        <v>797</v>
      </c>
      <c r="D38" s="806">
        <v>445964</v>
      </c>
      <c r="E38" s="309"/>
      <c r="F38" s="113" t="s">
        <v>797</v>
      </c>
      <c r="G38" s="315">
        <f>D38-'[9]Junijs'!D38</f>
        <v>117325</v>
      </c>
      <c r="H38" s="336" t="s">
        <v>305</v>
      </c>
      <c r="I38" s="337" t="s">
        <v>797</v>
      </c>
      <c r="J38" s="337" t="s">
        <v>797</v>
      </c>
      <c r="K38" s="313">
        <f t="shared" si="6"/>
        <v>446</v>
      </c>
      <c r="L38" s="324" t="s">
        <v>797</v>
      </c>
      <c r="M38" s="324" t="s">
        <v>797</v>
      </c>
      <c r="N38" s="315">
        <f>K38-'[9]Junijs'!K38</f>
        <v>117</v>
      </c>
    </row>
    <row r="39" spans="1:14" ht="17.25" customHeight="1">
      <c r="A39" s="336" t="s">
        <v>306</v>
      </c>
      <c r="B39" s="337" t="s">
        <v>797</v>
      </c>
      <c r="C39" s="337" t="s">
        <v>797</v>
      </c>
      <c r="D39" s="339">
        <f>509328+485</f>
        <v>509813</v>
      </c>
      <c r="E39" s="309"/>
      <c r="F39" s="113" t="s">
        <v>797</v>
      </c>
      <c r="G39" s="315">
        <f>D39-'[9]Junijs'!D39</f>
        <v>96899</v>
      </c>
      <c r="H39" s="336" t="s">
        <v>306</v>
      </c>
      <c r="I39" s="337" t="s">
        <v>797</v>
      </c>
      <c r="J39" s="337" t="s">
        <v>797</v>
      </c>
      <c r="K39" s="313">
        <f t="shared" si="6"/>
        <v>510</v>
      </c>
      <c r="L39" s="324" t="s">
        <v>797</v>
      </c>
      <c r="M39" s="324" t="s">
        <v>797</v>
      </c>
      <c r="N39" s="315">
        <f>K39-'[9]Junijs'!K39</f>
        <v>97</v>
      </c>
    </row>
    <row r="40" spans="1:14" ht="26.25">
      <c r="A40" s="69" t="s">
        <v>307</v>
      </c>
      <c r="B40" s="340">
        <v>279255</v>
      </c>
      <c r="C40" s="341">
        <v>14850</v>
      </c>
      <c r="D40" s="340">
        <f>'[8]Jūlijs'!$Z$29</f>
        <v>5011</v>
      </c>
      <c r="E40" s="309">
        <f aca="true" t="shared" si="7" ref="E40:E45">D40/B40*100</f>
        <v>1.7944172888578538</v>
      </c>
      <c r="F40" s="310">
        <f>D40/C40*100</f>
        <v>33.744107744107744</v>
      </c>
      <c r="G40" s="315">
        <f>D40-'[9]Junijs'!D40</f>
        <v>0</v>
      </c>
      <c r="H40" s="69" t="s">
        <v>307</v>
      </c>
      <c r="I40" s="313">
        <f>ROUND(B40/1000,0)</f>
        <v>279</v>
      </c>
      <c r="J40" s="313">
        <f>ROUND(C40/1000,0)</f>
        <v>15</v>
      </c>
      <c r="K40" s="313">
        <f t="shared" si="6"/>
        <v>5</v>
      </c>
      <c r="L40" s="316">
        <f aca="true" t="shared" si="8" ref="L40:L45">K40/I40*100</f>
        <v>1.7921146953405016</v>
      </c>
      <c r="M40" s="316">
        <f>K40/J40*100</f>
        <v>33.33333333333333</v>
      </c>
      <c r="N40" s="315">
        <f>K40-'[9]Junijs'!K40</f>
        <v>0</v>
      </c>
    </row>
    <row r="41" spans="1:14" ht="39">
      <c r="A41" s="69" t="s">
        <v>308</v>
      </c>
      <c r="B41" s="340">
        <v>1201200</v>
      </c>
      <c r="C41" s="342">
        <v>700700</v>
      </c>
      <c r="D41" s="313">
        <v>700700</v>
      </c>
      <c r="E41" s="309">
        <f t="shared" si="7"/>
        <v>58.333333333333336</v>
      </c>
      <c r="F41" s="113" t="s">
        <v>797</v>
      </c>
      <c r="G41" s="315">
        <f>D41-'[9]Junijs'!D41</f>
        <v>100100</v>
      </c>
      <c r="H41" s="69" t="s">
        <v>308</v>
      </c>
      <c r="I41" s="313">
        <f>ROUND(B41/1000,0)</f>
        <v>1201</v>
      </c>
      <c r="J41" s="313">
        <f>ROUND(C41/1000,0)</f>
        <v>701</v>
      </c>
      <c r="K41" s="313">
        <f t="shared" si="6"/>
        <v>701</v>
      </c>
      <c r="L41" s="316">
        <f t="shared" si="8"/>
        <v>58.368026644462944</v>
      </c>
      <c r="M41" s="316">
        <f>K41/J41*100</f>
        <v>100</v>
      </c>
      <c r="N41" s="315">
        <f>K41-'[9]Junijs'!K41</f>
        <v>100</v>
      </c>
    </row>
    <row r="42" spans="1:14" ht="17.25" customHeight="1">
      <c r="A42" s="343" t="s">
        <v>309</v>
      </c>
      <c r="B42" s="329">
        <f>SUM(B43:B44)</f>
        <v>33024925</v>
      </c>
      <c r="C42" s="329">
        <f>SUM(C43:C44)</f>
        <v>19554101</v>
      </c>
      <c r="D42" s="329">
        <f>SUM(D43:D44)</f>
        <v>11209098</v>
      </c>
      <c r="E42" s="309">
        <f t="shared" si="7"/>
        <v>33.94132764873803</v>
      </c>
      <c r="F42" s="310">
        <f>D42/C42*100</f>
        <v>57.323514898486</v>
      </c>
      <c r="G42" s="315">
        <f>D42-'[9]Junijs'!D42</f>
        <v>2472060</v>
      </c>
      <c r="H42" s="343" t="s">
        <v>309</v>
      </c>
      <c r="I42" s="311">
        <f>SUM(I43:I44)</f>
        <v>33025</v>
      </c>
      <c r="J42" s="311">
        <f>SUM(J43:J44)</f>
        <v>19554</v>
      </c>
      <c r="K42" s="311">
        <f>SUM(K43:K44)</f>
        <v>11209</v>
      </c>
      <c r="L42" s="312">
        <f t="shared" si="8"/>
        <v>33.94095382286147</v>
      </c>
      <c r="M42" s="312">
        <f>K42/J42*100</f>
        <v>57.32330980873479</v>
      </c>
      <c r="N42" s="308">
        <f>K42-'[9]Junijs'!K42</f>
        <v>2472</v>
      </c>
    </row>
    <row r="43" spans="1:14" ht="15">
      <c r="A43" s="69" t="s">
        <v>310</v>
      </c>
      <c r="B43" s="322">
        <v>12560112</v>
      </c>
      <c r="C43" s="322">
        <f>8634103</f>
        <v>8634103</v>
      </c>
      <c r="D43" s="313">
        <f>'[8]Jūlijs'!$Z$31</f>
        <v>6002854</v>
      </c>
      <c r="E43" s="309">
        <f t="shared" si="7"/>
        <v>47.792997387284444</v>
      </c>
      <c r="F43" s="310">
        <f>D43/C43*100</f>
        <v>69.52492922542156</v>
      </c>
      <c r="G43" s="315">
        <f>D43-'[9]Junijs'!D43</f>
        <v>842117</v>
      </c>
      <c r="H43" s="69" t="s">
        <v>310</v>
      </c>
      <c r="I43" s="313">
        <f aca="true" t="shared" si="9" ref="I43:K44">ROUND(B43/1000,0)</f>
        <v>12560</v>
      </c>
      <c r="J43" s="313">
        <f t="shared" si="9"/>
        <v>8634</v>
      </c>
      <c r="K43" s="313">
        <f t="shared" si="9"/>
        <v>6003</v>
      </c>
      <c r="L43" s="316">
        <f t="shared" si="8"/>
        <v>47.794585987261144</v>
      </c>
      <c r="M43" s="316">
        <f>K43/J43*100</f>
        <v>69.52744961779013</v>
      </c>
      <c r="N43" s="315">
        <f>K43-'[9]Junijs'!K43</f>
        <v>842</v>
      </c>
    </row>
    <row r="44" spans="1:14" ht="15">
      <c r="A44" s="69" t="s">
        <v>311</v>
      </c>
      <c r="B44" s="322">
        <v>20464813</v>
      </c>
      <c r="C44" s="322">
        <f>9405998+234780+215420+194320+168470+222820+478190</f>
        <v>10919998</v>
      </c>
      <c r="D44" s="313">
        <f>'[8]Jūlijs'!$Z$32</f>
        <v>5206244</v>
      </c>
      <c r="E44" s="309">
        <f t="shared" si="7"/>
        <v>25.439978366770323</v>
      </c>
      <c r="F44" s="310">
        <f>D44/C44*100</f>
        <v>47.67623583813843</v>
      </c>
      <c r="G44" s="315">
        <f>D44-'[9]Junijs'!D44</f>
        <v>1629943</v>
      </c>
      <c r="H44" s="69" t="s">
        <v>311</v>
      </c>
      <c r="I44" s="313">
        <f t="shared" si="9"/>
        <v>20465</v>
      </c>
      <c r="J44" s="313">
        <f t="shared" si="9"/>
        <v>10920</v>
      </c>
      <c r="K44" s="313">
        <f t="shared" si="9"/>
        <v>5206</v>
      </c>
      <c r="L44" s="316">
        <f t="shared" si="8"/>
        <v>25.438553628145616</v>
      </c>
      <c r="M44" s="316">
        <f>K44/J44*100</f>
        <v>47.67399267399268</v>
      </c>
      <c r="N44" s="315">
        <f>K44-'[9]Junijs'!K44</f>
        <v>1630</v>
      </c>
    </row>
    <row r="45" spans="1:14" ht="30">
      <c r="A45" s="325" t="s">
        <v>312</v>
      </c>
      <c r="B45" s="320">
        <v>6370052</v>
      </c>
      <c r="C45" s="344" t="s">
        <v>797</v>
      </c>
      <c r="D45" s="320">
        <f>D46-D47</f>
        <v>3572368</v>
      </c>
      <c r="E45" s="309">
        <f t="shared" si="7"/>
        <v>56.08067249686501</v>
      </c>
      <c r="F45" s="113" t="s">
        <v>797</v>
      </c>
      <c r="G45" s="315">
        <f>D45-'[9]Junijs'!D45</f>
        <v>68514</v>
      </c>
      <c r="H45" s="325" t="s">
        <v>312</v>
      </c>
      <c r="I45" s="311">
        <f>ROUND(B45/1000,0)</f>
        <v>6370</v>
      </c>
      <c r="J45" s="345" t="s">
        <v>797</v>
      </c>
      <c r="K45" s="311">
        <f>ROUND(D45/1000,0)</f>
        <v>3572</v>
      </c>
      <c r="L45" s="312">
        <f t="shared" si="8"/>
        <v>56.07535321821037</v>
      </c>
      <c r="M45" s="97" t="s">
        <v>797</v>
      </c>
      <c r="N45" s="308">
        <f>K45-'[9]Junijs'!K45</f>
        <v>68</v>
      </c>
    </row>
    <row r="46" spans="1:14" ht="15">
      <c r="A46" s="242" t="s">
        <v>313</v>
      </c>
      <c r="B46" s="344" t="s">
        <v>797</v>
      </c>
      <c r="C46" s="313">
        <v>4068600</v>
      </c>
      <c r="D46" s="313">
        <f>'[8]Jūlijs'!$Z$34</f>
        <v>3701447</v>
      </c>
      <c r="E46" s="309"/>
      <c r="F46" s="310">
        <f>D46/C46*100</f>
        <v>90.97593766897705</v>
      </c>
      <c r="G46" s="315">
        <f>D46-'[9]Junijs'!D46</f>
        <v>76671</v>
      </c>
      <c r="H46" s="242" t="s">
        <v>313</v>
      </c>
      <c r="I46" s="344" t="s">
        <v>797</v>
      </c>
      <c r="J46" s="313">
        <f>ROUND(C46/1000,0)</f>
        <v>4069</v>
      </c>
      <c r="K46" s="313">
        <f>ROUND(D46/1000,0)</f>
        <v>3701</v>
      </c>
      <c r="L46" s="324" t="s">
        <v>797</v>
      </c>
      <c r="M46" s="316"/>
      <c r="N46" s="315">
        <f>K46-'[9]Junijs'!K46</f>
        <v>76</v>
      </c>
    </row>
    <row r="47" spans="1:14" ht="26.25">
      <c r="A47" s="131" t="s">
        <v>314</v>
      </c>
      <c r="B47" s="344" t="s">
        <v>797</v>
      </c>
      <c r="C47" s="313">
        <v>130323</v>
      </c>
      <c r="D47" s="338">
        <f>-'[8]Jūlijs'!$Z$35</f>
        <v>129079</v>
      </c>
      <c r="E47" s="309"/>
      <c r="F47" s="310">
        <f>D47/C47*100</f>
        <v>99.0454486161307</v>
      </c>
      <c r="G47" s="315">
        <f>D47-'[9]Junijs'!D47</f>
        <v>8157</v>
      </c>
      <c r="H47" s="131" t="s">
        <v>314</v>
      </c>
      <c r="I47" s="344" t="s">
        <v>797</v>
      </c>
      <c r="J47" s="313">
        <f>ROUND(C47/1000,0)</f>
        <v>130</v>
      </c>
      <c r="K47" s="313">
        <f>ROUND(D47/1000,0)</f>
        <v>129</v>
      </c>
      <c r="L47" s="324" t="s">
        <v>797</v>
      </c>
      <c r="M47" s="316"/>
      <c r="N47" s="315">
        <f>K47-'[9]Junijs'!K47</f>
        <v>8</v>
      </c>
    </row>
    <row r="48" spans="1:14" ht="17.25" customHeight="1">
      <c r="A48" s="325" t="s">
        <v>315</v>
      </c>
      <c r="B48" s="329">
        <f>B10-B15-B45</f>
        <v>-49081562</v>
      </c>
      <c r="C48" s="344" t="s">
        <v>797</v>
      </c>
      <c r="D48" s="329">
        <f>D10-D15-D45</f>
        <v>-17175525</v>
      </c>
      <c r="E48" s="309">
        <f>D48/B48*100</f>
        <v>34.99384351296725</v>
      </c>
      <c r="F48" s="113" t="s">
        <v>797</v>
      </c>
      <c r="G48" s="329">
        <f>G10-G15-G45</f>
        <v>-3268106</v>
      </c>
      <c r="H48" s="325" t="s">
        <v>315</v>
      </c>
      <c r="I48" s="329">
        <f>I10-I15-I45</f>
        <v>-49081</v>
      </c>
      <c r="J48" s="345" t="s">
        <v>797</v>
      </c>
      <c r="K48" s="311">
        <f>K10-K15-K45</f>
        <v>-17176</v>
      </c>
      <c r="L48" s="312">
        <f>K48/I48*100</f>
        <v>34.99521199649559</v>
      </c>
      <c r="M48" s="324" t="s">
        <v>797</v>
      </c>
      <c r="N48" s="311">
        <f>N10-N15-N45</f>
        <v>-3268</v>
      </c>
    </row>
    <row r="49" spans="1:14" ht="17.25" customHeight="1">
      <c r="A49" s="325" t="s">
        <v>166</v>
      </c>
      <c r="B49" s="320">
        <f>-B48</f>
        <v>49081562</v>
      </c>
      <c r="C49" s="323" t="s">
        <v>797</v>
      </c>
      <c r="D49" s="320">
        <f>-D48</f>
        <v>17175525</v>
      </c>
      <c r="E49" s="309">
        <f>D49/B49*100</f>
        <v>34.99384351296725</v>
      </c>
      <c r="F49" s="113" t="s">
        <v>797</v>
      </c>
      <c r="G49" s="308">
        <f>D49-'[9]Junijs'!D49</f>
        <v>3268106</v>
      </c>
      <c r="H49" s="325" t="s">
        <v>166</v>
      </c>
      <c r="I49" s="320">
        <f>-I48</f>
        <v>49081</v>
      </c>
      <c r="J49" s="346" t="s">
        <v>797</v>
      </c>
      <c r="K49" s="320">
        <f>-K48</f>
        <v>17176</v>
      </c>
      <c r="L49" s="312">
        <f>K49/I49*100</f>
        <v>34.99521199649559</v>
      </c>
      <c r="M49" s="324" t="s">
        <v>797</v>
      </c>
      <c r="N49" s="320">
        <f>-N48</f>
        <v>3268</v>
      </c>
    </row>
    <row r="50" spans="1:14" ht="17.25" customHeight="1">
      <c r="A50" s="69" t="s">
        <v>316</v>
      </c>
      <c r="B50" s="313">
        <v>48047657</v>
      </c>
      <c r="C50" s="323">
        <f>14765212+26581705+500000</f>
        <v>41846917</v>
      </c>
      <c r="D50" s="313">
        <f>'[8]Jūlijs'!$Z$43+'[8]Jūlijs'!$Z$39</f>
        <v>27153656</v>
      </c>
      <c r="E50" s="309">
        <f>D50/B50*100</f>
        <v>56.514006499838274</v>
      </c>
      <c r="F50" s="310">
        <f>D50/C50*100</f>
        <v>64.8880680983022</v>
      </c>
      <c r="G50" s="315">
        <f>D50-'[9]Junijs'!D50</f>
        <v>5103944</v>
      </c>
      <c r="H50" s="69" t="s">
        <v>316</v>
      </c>
      <c r="I50" s="313">
        <f>ROUND(B50/1000,0)-1</f>
        <v>48047</v>
      </c>
      <c r="J50" s="313">
        <f>ROUND(C50/1000,0)</f>
        <v>41847</v>
      </c>
      <c r="K50" s="313">
        <f>ROUND(D50/1000,0)</f>
        <v>27154</v>
      </c>
      <c r="L50" s="316">
        <f>K50/I50*100</f>
        <v>56.51549524424001</v>
      </c>
      <c r="M50" s="316">
        <f>K50/J50*100</f>
        <v>64.88876144048558</v>
      </c>
      <c r="N50" s="315">
        <f>K50-'[9]Junijs'!K50</f>
        <v>5104</v>
      </c>
    </row>
    <row r="51" spans="1:14" ht="39">
      <c r="A51" s="69" t="s">
        <v>317</v>
      </c>
      <c r="B51" s="313">
        <f>-(B48+B50)</f>
        <v>1033905</v>
      </c>
      <c r="C51" s="113" t="s">
        <v>797</v>
      </c>
      <c r="D51" s="313">
        <f>-(D48+D50)</f>
        <v>-9978131</v>
      </c>
      <c r="E51" s="309">
        <f>D51/B51*100</f>
        <v>-965.0916670293693</v>
      </c>
      <c r="F51" s="113" t="s">
        <v>797</v>
      </c>
      <c r="G51" s="315">
        <f>D51-'[9]Junijs'!D51</f>
        <v>-1835838</v>
      </c>
      <c r="H51" s="69" t="s">
        <v>317</v>
      </c>
      <c r="I51" s="313">
        <f>-(I48+I50)</f>
        <v>1034</v>
      </c>
      <c r="J51" s="113" t="s">
        <v>797</v>
      </c>
      <c r="K51" s="313">
        <f>-(K48+K50)</f>
        <v>-9978</v>
      </c>
      <c r="L51" s="316">
        <f>K51/I51*100</f>
        <v>-964.9903288201161</v>
      </c>
      <c r="M51" s="324" t="s">
        <v>797</v>
      </c>
      <c r="N51" s="313">
        <f>-(N48+N50)</f>
        <v>-1836</v>
      </c>
    </row>
    <row r="52" spans="1:14" ht="17.25" customHeight="1">
      <c r="A52" s="347"/>
      <c r="B52" s="348"/>
      <c r="C52" s="348"/>
      <c r="D52" s="349"/>
      <c r="E52" s="350"/>
      <c r="F52" s="351"/>
      <c r="G52" s="83"/>
      <c r="H52" s="347"/>
      <c r="I52" s="348"/>
      <c r="J52" s="348"/>
      <c r="K52" s="349"/>
      <c r="L52" s="350"/>
      <c r="M52" s="351"/>
      <c r="N52" s="83"/>
    </row>
    <row r="53" spans="1:14" ht="14.25" hidden="1">
      <c r="A53" s="352" t="s">
        <v>318</v>
      </c>
      <c r="B53" s="348"/>
      <c r="C53" s="348"/>
      <c r="D53" s="349"/>
      <c r="E53" s="350"/>
      <c r="F53" s="351"/>
      <c r="G53" s="83"/>
      <c r="H53" s="352" t="s">
        <v>318</v>
      </c>
      <c r="I53" s="348"/>
      <c r="J53" s="348"/>
      <c r="K53" s="349"/>
      <c r="L53" s="350"/>
      <c r="M53" s="351"/>
      <c r="N53" s="83"/>
    </row>
    <row r="54" spans="1:14" ht="12.75" hidden="1">
      <c r="A54" s="69" t="s">
        <v>320</v>
      </c>
      <c r="B54" s="334"/>
      <c r="C54" s="334"/>
      <c r="D54" s="250"/>
      <c r="E54" s="353"/>
      <c r="F54" s="113"/>
      <c r="G54" s="60"/>
      <c r="H54" s="69" t="s">
        <v>320</v>
      </c>
      <c r="I54" s="334"/>
      <c r="J54" s="334"/>
      <c r="K54" s="250"/>
      <c r="L54" s="353"/>
      <c r="M54" s="113"/>
      <c r="N54" s="60"/>
    </row>
    <row r="55" spans="1:14" ht="12.75" hidden="1">
      <c r="A55" s="60" t="s">
        <v>211</v>
      </c>
      <c r="B55" s="334"/>
      <c r="C55" s="334"/>
      <c r="D55" s="250"/>
      <c r="E55" s="353"/>
      <c r="F55" s="113"/>
      <c r="G55" s="60"/>
      <c r="H55" s="60" t="s">
        <v>211</v>
      </c>
      <c r="I55" s="334"/>
      <c r="J55" s="334"/>
      <c r="K55" s="250"/>
      <c r="L55" s="353"/>
      <c r="M55" s="113"/>
      <c r="N55" s="60"/>
    </row>
    <row r="56" spans="1:14" ht="25.5" hidden="1">
      <c r="A56" s="69" t="s">
        <v>321</v>
      </c>
      <c r="B56" s="334"/>
      <c r="C56" s="334"/>
      <c r="D56" s="250"/>
      <c r="E56" s="353"/>
      <c r="F56" s="113"/>
      <c r="G56" s="60"/>
      <c r="H56" s="69" t="s">
        <v>321</v>
      </c>
      <c r="I56" s="334"/>
      <c r="J56" s="334"/>
      <c r="K56" s="250"/>
      <c r="L56" s="353"/>
      <c r="M56" s="113"/>
      <c r="N56" s="60"/>
    </row>
    <row r="57" spans="1:14" ht="17.25" customHeight="1">
      <c r="A57" s="83"/>
      <c r="B57" s="348"/>
      <c r="C57" s="348"/>
      <c r="D57" s="349"/>
      <c r="E57" s="350"/>
      <c r="F57" s="351"/>
      <c r="G57" s="83"/>
      <c r="H57" s="83"/>
      <c r="I57" s="348"/>
      <c r="J57" s="348"/>
      <c r="K57" s="349"/>
      <c r="L57" s="350"/>
      <c r="M57" s="351"/>
      <c r="N57" s="83"/>
    </row>
    <row r="58" spans="1:14" ht="17.25" customHeight="1">
      <c r="A58" s="49"/>
      <c r="B58" s="354"/>
      <c r="C58" s="354"/>
      <c r="D58" s="47"/>
      <c r="E58" s="350"/>
      <c r="F58" s="355"/>
      <c r="G58" s="49"/>
      <c r="H58" s="356" t="s">
        <v>880</v>
      </c>
      <c r="I58" s="356"/>
      <c r="J58" s="356"/>
      <c r="K58" s="356"/>
      <c r="M58" s="873" t="s">
        <v>862</v>
      </c>
      <c r="N58" s="873"/>
    </row>
    <row r="59" spans="2:14" ht="17.25" customHeight="1">
      <c r="B59" s="354"/>
      <c r="C59" s="354"/>
      <c r="D59" s="47"/>
      <c r="E59" s="357"/>
      <c r="F59" s="355"/>
      <c r="G59" s="49"/>
      <c r="I59" s="354"/>
      <c r="J59" s="354"/>
      <c r="K59" s="47"/>
      <c r="L59" s="357"/>
      <c r="M59" s="355"/>
      <c r="N59" s="49"/>
    </row>
    <row r="60" spans="2:14" ht="17.25" customHeight="1">
      <c r="B60" s="49"/>
      <c r="C60" s="49"/>
      <c r="D60" s="49"/>
      <c r="E60" s="358"/>
      <c r="F60" s="359"/>
      <c r="G60" s="49"/>
      <c r="I60" s="49"/>
      <c r="J60" s="49"/>
      <c r="K60" s="49"/>
      <c r="L60" s="358"/>
      <c r="M60" s="359"/>
      <c r="N60" s="49"/>
    </row>
    <row r="61" spans="2:14" ht="17.25" customHeight="1">
      <c r="B61" s="354"/>
      <c r="C61" s="360"/>
      <c r="D61" s="47"/>
      <c r="E61" s="360"/>
      <c r="F61" s="355"/>
      <c r="G61" s="49"/>
      <c r="I61" s="354"/>
      <c r="J61" s="360"/>
      <c r="K61" s="47"/>
      <c r="L61" s="360"/>
      <c r="M61" s="355"/>
      <c r="N61" s="49"/>
    </row>
    <row r="62" spans="2:13" ht="17.25" customHeight="1">
      <c r="B62" s="6"/>
      <c r="C62" s="6"/>
      <c r="E62" s="361"/>
      <c r="F62" s="362"/>
      <c r="I62" s="6"/>
      <c r="J62" s="6"/>
      <c r="L62" s="361"/>
      <c r="M62" s="362"/>
    </row>
    <row r="63" spans="2:13" ht="17.25" customHeight="1">
      <c r="B63" s="6"/>
      <c r="C63" s="6"/>
      <c r="E63" s="361"/>
      <c r="F63" s="362"/>
      <c r="H63" s="347"/>
      <c r="I63" s="347"/>
      <c r="J63" s="347"/>
      <c r="K63" s="347"/>
      <c r="L63" s="347"/>
      <c r="M63" s="347"/>
    </row>
    <row r="64" spans="1:6" ht="17.25" customHeight="1">
      <c r="A64" s="41" t="s">
        <v>115</v>
      </c>
      <c r="B64" s="39"/>
      <c r="C64" s="39"/>
      <c r="E64" s="360" t="s">
        <v>116</v>
      </c>
      <c r="F64" s="362"/>
    </row>
    <row r="65" spans="2:13" ht="17.25" customHeight="1">
      <c r="B65" s="363"/>
      <c r="C65" s="361"/>
      <c r="D65" s="364"/>
      <c r="E65" s="361"/>
      <c r="F65" s="362"/>
      <c r="H65" s="5" t="s">
        <v>272</v>
      </c>
      <c r="I65" s="347"/>
      <c r="J65" s="347"/>
      <c r="K65" s="347"/>
      <c r="L65" s="347"/>
      <c r="M65" s="347"/>
    </row>
    <row r="66" spans="2:13" ht="17.25" customHeight="1">
      <c r="B66" s="363"/>
      <c r="C66" s="361"/>
      <c r="D66" s="364"/>
      <c r="E66" s="361"/>
      <c r="F66" s="362"/>
      <c r="H66" s="5" t="s">
        <v>847</v>
      </c>
      <c r="I66" s="363"/>
      <c r="J66" s="361"/>
      <c r="K66" s="364"/>
      <c r="L66" s="361"/>
      <c r="M66" s="362"/>
    </row>
    <row r="67" spans="2:13" ht="17.25" customHeight="1">
      <c r="B67" s="6"/>
      <c r="C67" s="6"/>
      <c r="E67" s="361"/>
      <c r="F67" s="362"/>
      <c r="I67" s="6"/>
      <c r="J67" s="6"/>
      <c r="L67" s="361"/>
      <c r="M67" s="362"/>
    </row>
    <row r="68" spans="2:13" ht="17.25" customHeight="1">
      <c r="B68" s="6"/>
      <c r="C68" s="6"/>
      <c r="E68" s="361"/>
      <c r="F68" s="362"/>
      <c r="I68" s="6"/>
      <c r="J68" s="6"/>
      <c r="L68" s="361"/>
      <c r="M68" s="362"/>
    </row>
    <row r="69" spans="5:13" ht="17.25" customHeight="1">
      <c r="E69" s="361"/>
      <c r="F69" s="362"/>
      <c r="L69" s="361"/>
      <c r="M69" s="362"/>
    </row>
    <row r="70" spans="1:13" ht="17.25" customHeight="1">
      <c r="A70" s="356"/>
      <c r="E70" s="361"/>
      <c r="F70" s="362"/>
      <c r="H70" s="356"/>
      <c r="L70" s="361"/>
      <c r="M70" s="362"/>
    </row>
    <row r="71" spans="5:13" ht="17.25" customHeight="1">
      <c r="E71" s="361"/>
      <c r="F71" s="362"/>
      <c r="L71" s="361"/>
      <c r="M71" s="362"/>
    </row>
    <row r="72" spans="5:13" ht="17.25" customHeight="1">
      <c r="E72" s="361"/>
      <c r="F72" s="362"/>
      <c r="L72" s="361"/>
      <c r="M72" s="362"/>
    </row>
    <row r="79" ht="17.25" customHeight="1">
      <c r="A79" s="5" t="s">
        <v>272</v>
      </c>
    </row>
    <row r="80" ht="17.25" customHeight="1">
      <c r="A80" s="5" t="s">
        <v>322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M58:N58"/>
    <mergeCell ref="A6:G6"/>
    <mergeCell ref="H6:N6"/>
    <mergeCell ref="H2:N2"/>
    <mergeCell ref="A4:G4"/>
    <mergeCell ref="H4:N4"/>
    <mergeCell ref="A5:G5"/>
    <mergeCell ref="H5:N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77" r:id="rId1"/>
  <headerFooter alignWithMargins="0">
    <oddFooter>&amp;R&amp;9&amp;P</oddFooter>
  </headerFooter>
  <rowBreaks count="1" manualBreakCount="1">
    <brk id="44" min="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P108"/>
  <sheetViews>
    <sheetView workbookViewId="0" topLeftCell="G1">
      <selection activeCell="A59" sqref="A59"/>
    </sheetView>
  </sheetViews>
  <sheetFormatPr defaultColWidth="9.140625" defaultRowHeight="17.25" customHeight="1"/>
  <cols>
    <col min="1" max="1" width="46.8515625" style="83" hidden="1" customWidth="1"/>
    <col min="2" max="2" width="10.8515625" style="83" hidden="1" customWidth="1"/>
    <col min="3" max="3" width="13.140625" style="83" hidden="1" customWidth="1"/>
    <col min="4" max="4" width="11.7109375" style="83" hidden="1" customWidth="1"/>
    <col min="5" max="5" width="8.7109375" style="83" hidden="1" customWidth="1"/>
    <col min="6" max="6" width="12.8515625" style="83" hidden="1" customWidth="1"/>
    <col min="7" max="7" width="46.8515625" style="83" customWidth="1"/>
    <col min="8" max="8" width="10.8515625" style="83" customWidth="1"/>
    <col min="9" max="9" width="12.00390625" style="83" customWidth="1"/>
    <col min="10" max="10" width="11.7109375" style="83" customWidth="1"/>
    <col min="11" max="11" width="8.7109375" style="83" customWidth="1"/>
    <col min="12" max="12" width="10.140625" style="83" customWidth="1"/>
  </cols>
  <sheetData>
    <row r="2" spans="1:12" ht="17.25" customHeight="1">
      <c r="A2" s="83" t="s">
        <v>323</v>
      </c>
      <c r="F2" s="365" t="s">
        <v>324</v>
      </c>
      <c r="G2" s="83" t="s">
        <v>323</v>
      </c>
      <c r="L2" s="365" t="s">
        <v>324</v>
      </c>
    </row>
    <row r="4" spans="1:12" ht="17.25" customHeight="1">
      <c r="A4" s="877" t="s">
        <v>325</v>
      </c>
      <c r="B4" s="877"/>
      <c r="C4" s="877"/>
      <c r="D4" s="877"/>
      <c r="E4" s="877"/>
      <c r="F4" s="877"/>
      <c r="G4" s="877" t="s">
        <v>325</v>
      </c>
      <c r="H4" s="877"/>
      <c r="I4" s="877"/>
      <c r="J4" s="877"/>
      <c r="K4" s="877"/>
      <c r="L4" s="877"/>
    </row>
    <row r="5" spans="1:12" ht="17.25" customHeight="1">
      <c r="A5" s="877" t="s">
        <v>864</v>
      </c>
      <c r="B5" s="877"/>
      <c r="C5" s="877"/>
      <c r="D5" s="877"/>
      <c r="E5" s="877"/>
      <c r="F5" s="877"/>
      <c r="G5" s="878" t="s">
        <v>865</v>
      </c>
      <c r="H5" s="878"/>
      <c r="I5" s="878"/>
      <c r="J5" s="878"/>
      <c r="K5" s="878"/>
      <c r="L5" s="878"/>
    </row>
    <row r="6" spans="1:12" ht="17.25" customHeight="1">
      <c r="A6" s="83" t="s">
        <v>756</v>
      </c>
      <c r="F6" s="365" t="s">
        <v>201</v>
      </c>
      <c r="L6" s="367" t="s">
        <v>957</v>
      </c>
    </row>
    <row r="7" spans="1:12" ht="51">
      <c r="A7" s="266" t="s">
        <v>791</v>
      </c>
      <c r="B7" s="304" t="s">
        <v>177</v>
      </c>
      <c r="C7" s="304" t="s">
        <v>958</v>
      </c>
      <c r="D7" s="304" t="s">
        <v>959</v>
      </c>
      <c r="E7" s="304" t="s">
        <v>178</v>
      </c>
      <c r="F7" s="304" t="s">
        <v>1021</v>
      </c>
      <c r="G7" s="266" t="s">
        <v>791</v>
      </c>
      <c r="H7" s="304" t="s">
        <v>177</v>
      </c>
      <c r="I7" s="304" t="s">
        <v>958</v>
      </c>
      <c r="J7" s="304" t="s">
        <v>959</v>
      </c>
      <c r="K7" s="304" t="s">
        <v>179</v>
      </c>
      <c r="L7" s="304" t="s">
        <v>850</v>
      </c>
    </row>
    <row r="8" spans="1:12" ht="17.25" customHeight="1">
      <c r="A8" s="266">
        <v>1</v>
      </c>
      <c r="B8" s="266">
        <v>2</v>
      </c>
      <c r="C8" s="304">
        <v>3</v>
      </c>
      <c r="D8" s="304">
        <v>4</v>
      </c>
      <c r="E8" s="304">
        <v>5</v>
      </c>
      <c r="F8" s="249">
        <v>6</v>
      </c>
      <c r="G8" s="266">
        <v>1</v>
      </c>
      <c r="H8" s="266">
        <v>2</v>
      </c>
      <c r="I8" s="304">
        <v>3</v>
      </c>
      <c r="J8" s="304">
        <v>4</v>
      </c>
      <c r="K8" s="304">
        <v>5</v>
      </c>
      <c r="L8" s="249">
        <v>6</v>
      </c>
    </row>
    <row r="9" spans="1:16" ht="30" customHeight="1">
      <c r="A9" s="98" t="s">
        <v>180</v>
      </c>
      <c r="B9" s="236"/>
      <c r="C9" s="368">
        <f>SUM(C10:C23)-C14</f>
        <v>776215801</v>
      </c>
      <c r="D9" s="368">
        <f>SUM(D10:D13,D15:D24)</f>
        <v>421468109</v>
      </c>
      <c r="E9" s="369">
        <f>D9/C9*100</f>
        <v>54.297800747810335</v>
      </c>
      <c r="F9" s="368">
        <f>D9-'[10]Junijs'!D9</f>
        <v>64782630</v>
      </c>
      <c r="G9" s="107" t="s">
        <v>180</v>
      </c>
      <c r="H9" s="249"/>
      <c r="I9" s="370">
        <f>SUM(I10:I13,I15:I24)</f>
        <v>776215</v>
      </c>
      <c r="J9" s="370">
        <f>SUM(J10:J13,J15:J24)</f>
        <v>421468</v>
      </c>
      <c r="K9" s="371">
        <f>J9/I9*100</f>
        <v>54.297842736870585</v>
      </c>
      <c r="L9" s="370">
        <f>SUM(L10:L13,L15:L24)</f>
        <v>64781</v>
      </c>
      <c r="P9" s="372"/>
    </row>
    <row r="10" spans="1:12" ht="30" customHeight="1">
      <c r="A10" s="242" t="s">
        <v>181</v>
      </c>
      <c r="B10" s="243">
        <v>1</v>
      </c>
      <c r="C10" s="272">
        <v>756987</v>
      </c>
      <c r="D10" s="373">
        <f>'[8]Jūlijs'!$P$7</f>
        <v>71073</v>
      </c>
      <c r="E10" s="369">
        <f>D10/C10*100</f>
        <v>9.388932702939416</v>
      </c>
      <c r="F10" s="368">
        <f>D10-'[10]Junijs'!D10</f>
        <v>8080</v>
      </c>
      <c r="G10" s="242" t="s">
        <v>181</v>
      </c>
      <c r="H10" s="243">
        <v>1</v>
      </c>
      <c r="I10" s="281">
        <f>ROUND(C10/1000,0)</f>
        <v>757</v>
      </c>
      <c r="J10" s="807">
        <f>ROUND(D10/1000,0)</f>
        <v>71</v>
      </c>
      <c r="K10" s="374">
        <f>J10/I10*100</f>
        <v>9.379128137384413</v>
      </c>
      <c r="L10" s="281">
        <f>J10-'[10]Junijs'!J10</f>
        <v>8</v>
      </c>
    </row>
    <row r="11" spans="1:12" ht="30" customHeight="1">
      <c r="A11" s="60" t="s">
        <v>182</v>
      </c>
      <c r="B11" s="243">
        <v>2</v>
      </c>
      <c r="C11" s="272"/>
      <c r="D11" s="373"/>
      <c r="E11" s="369"/>
      <c r="F11" s="368">
        <f>D11-'[10]Junijs'!D11</f>
        <v>0</v>
      </c>
      <c r="G11" s="60" t="s">
        <v>182</v>
      </c>
      <c r="H11" s="243">
        <v>2</v>
      </c>
      <c r="I11" s="281"/>
      <c r="J11" s="807"/>
      <c r="K11" s="374"/>
      <c r="L11" s="281"/>
    </row>
    <row r="12" spans="1:12" ht="30" customHeight="1">
      <c r="A12" s="69" t="s">
        <v>183</v>
      </c>
      <c r="B12" s="243">
        <v>3</v>
      </c>
      <c r="C12" s="272"/>
      <c r="D12" s="373"/>
      <c r="E12" s="369"/>
      <c r="F12" s="368">
        <f>D12-'[10]Junijs'!D12</f>
        <v>0</v>
      </c>
      <c r="G12" s="69" t="s">
        <v>183</v>
      </c>
      <c r="H12" s="243">
        <v>3</v>
      </c>
      <c r="I12" s="281"/>
      <c r="J12" s="807"/>
      <c r="K12" s="374"/>
      <c r="L12" s="281"/>
    </row>
    <row r="13" spans="1:16" ht="30" customHeight="1">
      <c r="A13" s="60" t="s">
        <v>326</v>
      </c>
      <c r="B13" s="243">
        <v>4</v>
      </c>
      <c r="C13" s="272">
        <f>1585878+C14</f>
        <v>7955930</v>
      </c>
      <c r="D13" s="373">
        <f>'[8]Jūlijs'!$O$7+D14</f>
        <v>4506354</v>
      </c>
      <c r="E13" s="369">
        <f>D13/C13*100</f>
        <v>56.64144857986433</v>
      </c>
      <c r="F13" s="368">
        <f>D13-'[10]Junijs'!D13</f>
        <v>414235</v>
      </c>
      <c r="G13" s="60" t="s">
        <v>327</v>
      </c>
      <c r="H13" s="243">
        <v>4</v>
      </c>
      <c r="I13" s="281">
        <f>ROUND(C13/1000,0)-1</f>
        <v>7955</v>
      </c>
      <c r="J13" s="807">
        <f aca="true" t="shared" si="0" ref="J13:J18">ROUND(D13/1000,0)</f>
        <v>4506</v>
      </c>
      <c r="K13" s="374">
        <f aca="true" t="shared" si="1" ref="K13:K18">J13/I13*100</f>
        <v>56.64362036455059</v>
      </c>
      <c r="L13" s="281">
        <f>J13-'[10]Junijs'!J13</f>
        <v>414</v>
      </c>
      <c r="P13" s="375"/>
    </row>
    <row r="14" spans="1:15" ht="30" customHeight="1">
      <c r="A14" s="376" t="s">
        <v>328</v>
      </c>
      <c r="B14" s="243"/>
      <c r="C14" s="272">
        <v>6370052</v>
      </c>
      <c r="D14" s="373">
        <f>'[8]Jūlijs'!$O$33</f>
        <v>3572368</v>
      </c>
      <c r="E14" s="369"/>
      <c r="F14" s="368">
        <f>D14-'[10]Junijs'!D14</f>
        <v>68514</v>
      </c>
      <c r="G14" s="376" t="s">
        <v>328</v>
      </c>
      <c r="H14" s="243"/>
      <c r="I14" s="281">
        <f>ROUND(C14/1000,0)</f>
        <v>6370</v>
      </c>
      <c r="J14" s="807">
        <f t="shared" si="0"/>
        <v>3572</v>
      </c>
      <c r="K14" s="374">
        <f t="shared" si="1"/>
        <v>56.07535321821037</v>
      </c>
      <c r="L14" s="281">
        <f>J14-'[10]Junijs'!J14</f>
        <v>68</v>
      </c>
      <c r="O14" s="377"/>
    </row>
    <row r="15" spans="1:12" ht="30" customHeight="1">
      <c r="A15" s="60" t="s">
        <v>185</v>
      </c>
      <c r="B15" s="243">
        <v>5</v>
      </c>
      <c r="C15" s="272">
        <v>144348387</v>
      </c>
      <c r="D15" s="378">
        <f>'[8]Jūlijs'!$D$7</f>
        <v>81663817</v>
      </c>
      <c r="E15" s="369">
        <f>D15/C15*100</f>
        <v>56.57411121608169</v>
      </c>
      <c r="F15" s="368">
        <f>D15-'[10]Junijs'!D15</f>
        <v>11482073</v>
      </c>
      <c r="G15" s="60" t="s">
        <v>185</v>
      </c>
      <c r="H15" s="243">
        <v>5</v>
      </c>
      <c r="I15" s="281">
        <f>ROUND(C15/1000,0)</f>
        <v>144348</v>
      </c>
      <c r="J15" s="807">
        <f t="shared" si="0"/>
        <v>81664</v>
      </c>
      <c r="K15" s="374">
        <f t="shared" si="1"/>
        <v>56.57438966941004</v>
      </c>
      <c r="L15" s="281">
        <f>J15-'[10]Junijs'!J15</f>
        <v>11482</v>
      </c>
    </row>
    <row r="16" spans="1:12" ht="30" customHeight="1">
      <c r="A16" s="69" t="s">
        <v>186</v>
      </c>
      <c r="B16" s="243">
        <v>6</v>
      </c>
      <c r="C16" s="272">
        <v>531459579</v>
      </c>
      <c r="D16" s="378">
        <f>'[8]Jūlijs'!$C$7</f>
        <v>292618318</v>
      </c>
      <c r="E16" s="369">
        <f>D16/C16*100</f>
        <v>55.05937413915725</v>
      </c>
      <c r="F16" s="368">
        <f>D16-'[10]Junijs'!D16</f>
        <v>45934077</v>
      </c>
      <c r="G16" s="69" t="s">
        <v>186</v>
      </c>
      <c r="H16" s="243">
        <v>6</v>
      </c>
      <c r="I16" s="281">
        <f>ROUND(C16/1000,0)</f>
        <v>531460</v>
      </c>
      <c r="J16" s="807">
        <f t="shared" si="0"/>
        <v>292618</v>
      </c>
      <c r="K16" s="374">
        <f t="shared" si="1"/>
        <v>55.05927068829263</v>
      </c>
      <c r="L16" s="281">
        <f>J16-'[10]Junijs'!J16</f>
        <v>45934</v>
      </c>
    </row>
    <row r="17" spans="1:12" ht="30" customHeight="1">
      <c r="A17" s="69" t="s">
        <v>187</v>
      </c>
      <c r="B17" s="243">
        <v>7</v>
      </c>
      <c r="C17" s="272">
        <f>9370924-215596</f>
        <v>9155328</v>
      </c>
      <c r="D17" s="378">
        <f>'[8]Jūlijs'!$E$7</f>
        <v>2418993</v>
      </c>
      <c r="E17" s="369">
        <f>D17/C17*100</f>
        <v>26.421696743142352</v>
      </c>
      <c r="F17" s="368">
        <f>D17-'[10]Junijs'!D17</f>
        <v>804002</v>
      </c>
      <c r="G17" s="69" t="s">
        <v>187</v>
      </c>
      <c r="H17" s="243">
        <v>7</v>
      </c>
      <c r="I17" s="281">
        <f>ROUND(C17/1000,0)</f>
        <v>9155</v>
      </c>
      <c r="J17" s="807">
        <f t="shared" si="0"/>
        <v>2419</v>
      </c>
      <c r="K17" s="374">
        <f t="shared" si="1"/>
        <v>26.422719825232114</v>
      </c>
      <c r="L17" s="281">
        <f>J17-'[10]Junijs'!J17</f>
        <v>804</v>
      </c>
    </row>
    <row r="18" spans="1:12" ht="30" customHeight="1">
      <c r="A18" s="60" t="s">
        <v>188</v>
      </c>
      <c r="B18" s="243">
        <v>8</v>
      </c>
      <c r="C18" s="272">
        <f>1508663+215596+2272860</f>
        <v>3997119</v>
      </c>
      <c r="D18" s="378">
        <f>'[8]Jūlijs'!$N$7+'[8]Jūlijs'!$Q$7</f>
        <v>2011900</v>
      </c>
      <c r="E18" s="369">
        <f>D18/C18*100</f>
        <v>50.33375288551579</v>
      </c>
      <c r="F18" s="368">
        <f>D18-'[10]Junijs'!D18</f>
        <v>240285</v>
      </c>
      <c r="G18" s="60" t="s">
        <v>188</v>
      </c>
      <c r="H18" s="243">
        <v>8</v>
      </c>
      <c r="I18" s="281">
        <f>ROUND(C18/1000,0)</f>
        <v>3997</v>
      </c>
      <c r="J18" s="807">
        <f t="shared" si="0"/>
        <v>2012</v>
      </c>
      <c r="K18" s="374">
        <f t="shared" si="1"/>
        <v>50.337753314986244</v>
      </c>
      <c r="L18" s="281">
        <f>J18-'[10]Junijs'!J18</f>
        <v>240</v>
      </c>
    </row>
    <row r="19" spans="1:12" ht="30" customHeight="1">
      <c r="A19" s="60" t="s">
        <v>189</v>
      </c>
      <c r="B19" s="243">
        <v>9</v>
      </c>
      <c r="C19" s="272"/>
      <c r="D19" s="378"/>
      <c r="E19" s="369"/>
      <c r="F19" s="368">
        <f>D19-'[10]Junijs'!D19</f>
        <v>0</v>
      </c>
      <c r="G19" s="60" t="s">
        <v>189</v>
      </c>
      <c r="H19" s="243">
        <v>9</v>
      </c>
      <c r="I19" s="281"/>
      <c r="J19" s="807"/>
      <c r="K19" s="374"/>
      <c r="L19" s="281"/>
    </row>
    <row r="20" spans="1:12" ht="30" customHeight="1">
      <c r="A20" s="69" t="s">
        <v>190</v>
      </c>
      <c r="B20" s="379">
        <v>10</v>
      </c>
      <c r="C20" s="272">
        <v>500000</v>
      </c>
      <c r="D20" s="378">
        <f>'[8]Jūlijs'!$L$7</f>
        <v>330371</v>
      </c>
      <c r="E20" s="369">
        <f>D20/C20*100</f>
        <v>66.0742</v>
      </c>
      <c r="F20" s="368">
        <f>D20-'[10]Junijs'!D20</f>
        <v>65056</v>
      </c>
      <c r="G20" s="69" t="s">
        <v>190</v>
      </c>
      <c r="H20" s="379">
        <v>10</v>
      </c>
      <c r="I20" s="281">
        <f>ROUND(C20/1000,0)</f>
        <v>500</v>
      </c>
      <c r="J20" s="807">
        <f>ROUND(D20/1000,0)</f>
        <v>330</v>
      </c>
      <c r="K20" s="374">
        <f>J20/I20*100</f>
        <v>66</v>
      </c>
      <c r="L20" s="281">
        <f>J20-'[10]Junijs'!J20</f>
        <v>64</v>
      </c>
    </row>
    <row r="21" spans="1:12" ht="30" customHeight="1">
      <c r="A21" s="69" t="s">
        <v>191</v>
      </c>
      <c r="B21" s="379">
        <v>11</v>
      </c>
      <c r="C21" s="272"/>
      <c r="D21" s="378"/>
      <c r="E21" s="369"/>
      <c r="F21" s="368">
        <f>D21-'[10]Junijs'!D21</f>
        <v>0</v>
      </c>
      <c r="G21" s="69" t="s">
        <v>191</v>
      </c>
      <c r="H21" s="379">
        <v>11</v>
      </c>
      <c r="I21" s="281"/>
      <c r="J21" s="807"/>
      <c r="K21" s="374"/>
      <c r="L21" s="281"/>
    </row>
    <row r="22" spans="1:12" ht="30" customHeight="1">
      <c r="A22" s="60" t="s">
        <v>192</v>
      </c>
      <c r="B22" s="243">
        <v>12</v>
      </c>
      <c r="C22" s="272">
        <v>73861871</v>
      </c>
      <c r="D22" s="378">
        <f>'[8]Jūlijs'!$F$7+'[8]Jūlijs'!$G$7+'[8]Jūlijs'!$I$7</f>
        <v>36375209</v>
      </c>
      <c r="E22" s="369">
        <f>D22/C22*100</f>
        <v>49.24761383312372</v>
      </c>
      <c r="F22" s="368">
        <f>D22-'[10]Junijs'!D22</f>
        <v>5658267</v>
      </c>
      <c r="G22" s="60" t="s">
        <v>192</v>
      </c>
      <c r="H22" s="243">
        <v>12</v>
      </c>
      <c r="I22" s="281">
        <f>ROUND(C22/1000,0)+1</f>
        <v>73863</v>
      </c>
      <c r="J22" s="807">
        <f>ROUND(D22/1000,0)+1</f>
        <v>36376</v>
      </c>
      <c r="K22" s="374">
        <f>J22/I22*100</f>
        <v>49.24793198218323</v>
      </c>
      <c r="L22" s="281">
        <f>J22-'[10]Junijs'!J22</f>
        <v>5659</v>
      </c>
    </row>
    <row r="23" spans="1:12" ht="30" customHeight="1">
      <c r="A23" s="60" t="s">
        <v>193</v>
      </c>
      <c r="B23" s="243">
        <v>13</v>
      </c>
      <c r="C23" s="272">
        <f>2874300+1306300</f>
        <v>4180600</v>
      </c>
      <c r="D23" s="373">
        <f>'[8]Jūlijs'!$W$7+'[8]Jūlijs'!$X$7+'[8]Jūlijs'!$K$7</f>
        <v>1472074</v>
      </c>
      <c r="E23" s="369">
        <f>D23/C23*100</f>
        <v>35.21202698177295</v>
      </c>
      <c r="F23" s="368">
        <f>D23-'[10]Junijs'!D23</f>
        <v>176555</v>
      </c>
      <c r="G23" s="60" t="s">
        <v>193</v>
      </c>
      <c r="H23" s="243">
        <v>13</v>
      </c>
      <c r="I23" s="281">
        <f>ROUND(C23/1000,0)-1</f>
        <v>4180</v>
      </c>
      <c r="J23" s="807">
        <f>ROUND(D23/1000,0)</f>
        <v>1472</v>
      </c>
      <c r="K23" s="374">
        <f>J23/I23*100</f>
        <v>35.21531100478469</v>
      </c>
      <c r="L23" s="281">
        <f>J23-'[10]Junijs'!J23</f>
        <v>176</v>
      </c>
    </row>
    <row r="24" spans="1:12" ht="30" customHeight="1">
      <c r="A24" s="69" t="s">
        <v>329</v>
      </c>
      <c r="B24" s="243">
        <v>14</v>
      </c>
      <c r="C24" s="373"/>
      <c r="D24" s="373"/>
      <c r="E24" s="369"/>
      <c r="F24" s="368">
        <f>D24-'[10]Junijs'!D24</f>
        <v>0</v>
      </c>
      <c r="G24" s="69" t="s">
        <v>329</v>
      </c>
      <c r="H24" s="243">
        <v>14</v>
      </c>
      <c r="I24" s="281"/>
      <c r="J24" s="807"/>
      <c r="K24" s="374"/>
      <c r="L24" s="281"/>
    </row>
    <row r="25" spans="2:11" ht="17.25" customHeight="1">
      <c r="B25" s="380"/>
      <c r="C25" s="349"/>
      <c r="D25" s="349"/>
      <c r="E25" s="381"/>
      <c r="H25" s="380"/>
      <c r="I25" s="349"/>
      <c r="J25" s="808"/>
      <c r="K25" s="381"/>
    </row>
    <row r="26" spans="2:11" ht="17.25" customHeight="1">
      <c r="B26" s="380"/>
      <c r="C26" s="349"/>
      <c r="D26" s="349"/>
      <c r="E26" s="381"/>
      <c r="H26" s="380"/>
      <c r="I26" s="349"/>
      <c r="J26" s="808"/>
      <c r="K26" s="381"/>
    </row>
    <row r="27" spans="2:11" ht="17.25" customHeight="1">
      <c r="B27" s="380"/>
      <c r="C27" s="349"/>
      <c r="D27" s="349"/>
      <c r="E27" s="381"/>
      <c r="G27" s="41" t="s">
        <v>881</v>
      </c>
      <c r="H27" s="39"/>
      <c r="I27" s="39"/>
      <c r="J27" s="39" t="s">
        <v>862</v>
      </c>
      <c r="K27" s="381"/>
    </row>
    <row r="28" spans="2:11" ht="17.25" customHeight="1">
      <c r="B28" s="380"/>
      <c r="C28" s="349"/>
      <c r="D28" s="349"/>
      <c r="E28" s="381"/>
      <c r="H28" s="380"/>
      <c r="I28" s="349"/>
      <c r="J28" s="349"/>
      <c r="K28" s="381"/>
    </row>
    <row r="29" spans="2:11" ht="17.25" customHeight="1">
      <c r="B29" s="380"/>
      <c r="C29" s="349"/>
      <c r="D29" s="349"/>
      <c r="E29" s="381"/>
      <c r="H29" s="380"/>
      <c r="I29" s="349"/>
      <c r="J29" s="349"/>
      <c r="K29" s="381"/>
    </row>
    <row r="30" spans="2:11" ht="17.25" customHeight="1">
      <c r="B30" s="380"/>
      <c r="C30" s="349"/>
      <c r="D30" s="349"/>
      <c r="E30" s="381"/>
      <c r="H30" s="380"/>
      <c r="I30" s="349"/>
      <c r="J30" s="349"/>
      <c r="K30" s="381"/>
    </row>
    <row r="31" spans="4:11" ht="17.25" customHeight="1">
      <c r="D31" s="349"/>
      <c r="E31" s="381"/>
      <c r="J31" s="349"/>
      <c r="K31" s="381"/>
    </row>
    <row r="32" spans="2:11" ht="17.25" customHeight="1">
      <c r="B32" s="380"/>
      <c r="C32" s="349"/>
      <c r="D32" s="349"/>
      <c r="E32" s="381"/>
      <c r="H32" s="380"/>
      <c r="I32" s="349"/>
      <c r="J32" s="349"/>
      <c r="K32" s="381"/>
    </row>
    <row r="33" spans="2:11" ht="17.25" customHeight="1">
      <c r="B33" s="380"/>
      <c r="C33" s="349"/>
      <c r="D33" s="349"/>
      <c r="E33" s="381"/>
      <c r="H33" s="380"/>
      <c r="I33" s="349"/>
      <c r="J33" s="349"/>
      <c r="K33" s="381"/>
    </row>
    <row r="34" spans="2:11" ht="17.25" customHeight="1">
      <c r="B34" s="380"/>
      <c r="C34" s="349"/>
      <c r="D34" s="349"/>
      <c r="E34" s="381"/>
      <c r="G34" s="83" t="s">
        <v>272</v>
      </c>
      <c r="H34" s="380"/>
      <c r="I34" s="349"/>
      <c r="J34" s="349"/>
      <c r="K34" s="381"/>
    </row>
    <row r="35" spans="1:11" ht="17.25" customHeight="1">
      <c r="A35" s="41" t="s">
        <v>115</v>
      </c>
      <c r="B35" s="39"/>
      <c r="C35" s="39"/>
      <c r="D35" s="39" t="s">
        <v>116</v>
      </c>
      <c r="E35" s="1"/>
      <c r="G35" s="83" t="s">
        <v>847</v>
      </c>
      <c r="I35" s="349"/>
      <c r="J35" s="349"/>
      <c r="K35" s="381"/>
    </row>
    <row r="36" spans="6:12" ht="17.25" customHeight="1">
      <c r="F36" s="349"/>
      <c r="K36" s="1"/>
      <c r="L36" s="349"/>
    </row>
    <row r="37" spans="3:11" ht="17.25" customHeight="1">
      <c r="C37" s="349"/>
      <c r="D37" s="349"/>
      <c r="E37" s="381"/>
      <c r="I37" s="349"/>
      <c r="J37" s="349"/>
      <c r="K37" s="381"/>
    </row>
    <row r="38" spans="3:11" ht="17.25" customHeight="1">
      <c r="C38" s="349"/>
      <c r="D38" s="349"/>
      <c r="E38" s="381"/>
      <c r="I38" s="349"/>
      <c r="J38" s="349"/>
      <c r="K38" s="381"/>
    </row>
    <row r="39" spans="3:11" ht="17.25" customHeight="1">
      <c r="C39" s="349"/>
      <c r="D39" s="349"/>
      <c r="E39" s="381"/>
      <c r="I39" s="349"/>
      <c r="J39" s="349"/>
      <c r="K39" s="381"/>
    </row>
    <row r="40" spans="3:11" ht="17.25" customHeight="1">
      <c r="C40" s="349"/>
      <c r="D40" s="349"/>
      <c r="E40" s="381"/>
      <c r="I40" s="349"/>
      <c r="J40" s="349"/>
      <c r="K40" s="381"/>
    </row>
    <row r="41" spans="3:11" ht="17.25" customHeight="1">
      <c r="C41" s="349"/>
      <c r="D41" s="349"/>
      <c r="E41" s="381"/>
      <c r="I41" s="349"/>
      <c r="J41" s="349"/>
      <c r="K41" s="381"/>
    </row>
    <row r="42" spans="3:11" ht="17.25" customHeight="1">
      <c r="C42" s="349"/>
      <c r="D42" s="349"/>
      <c r="E42" s="381"/>
      <c r="I42" s="349"/>
      <c r="J42" s="349"/>
      <c r="K42" s="381"/>
    </row>
    <row r="43" spans="3:11" ht="17.25" customHeight="1">
      <c r="C43" s="349"/>
      <c r="D43" s="349"/>
      <c r="E43" s="381"/>
      <c r="I43" s="349"/>
      <c r="J43" s="349"/>
      <c r="K43" s="381"/>
    </row>
    <row r="44" spans="3:11" ht="17.25" customHeight="1">
      <c r="C44" s="349"/>
      <c r="D44" s="349"/>
      <c r="E44" s="381"/>
      <c r="I44" s="349"/>
      <c r="J44" s="349"/>
      <c r="K44" s="381"/>
    </row>
    <row r="45" spans="3:11" ht="17.25" customHeight="1">
      <c r="C45" s="349"/>
      <c r="D45" s="349"/>
      <c r="E45" s="381"/>
      <c r="I45" s="349"/>
      <c r="J45" s="349"/>
      <c r="K45" s="381"/>
    </row>
    <row r="46" spans="3:11" ht="17.25" customHeight="1">
      <c r="C46" s="349"/>
      <c r="D46" s="349"/>
      <c r="E46" s="381"/>
      <c r="I46" s="349"/>
      <c r="J46" s="349"/>
      <c r="K46" s="381"/>
    </row>
    <row r="47" spans="1:11" ht="17.25" customHeight="1">
      <c r="A47" s="49"/>
      <c r="C47" s="349"/>
      <c r="D47" s="349"/>
      <c r="E47" s="381"/>
      <c r="G47" s="49"/>
      <c r="I47" s="349"/>
      <c r="J47" s="349"/>
      <c r="K47" s="381"/>
    </row>
    <row r="48" spans="1:11" ht="17.25" customHeight="1">
      <c r="A48" s="49"/>
      <c r="C48" s="349"/>
      <c r="D48" s="349"/>
      <c r="E48" s="381"/>
      <c r="G48" s="49"/>
      <c r="I48" s="349"/>
      <c r="J48" s="349"/>
      <c r="K48" s="381"/>
    </row>
    <row r="49" spans="3:11" ht="17.25" customHeight="1">
      <c r="C49" s="349"/>
      <c r="D49" s="349"/>
      <c r="E49" s="381"/>
      <c r="I49" s="349"/>
      <c r="J49" s="349"/>
      <c r="K49" s="381"/>
    </row>
    <row r="50" spans="3:11" ht="17.25" customHeight="1">
      <c r="C50" s="349"/>
      <c r="D50" s="349"/>
      <c r="E50" s="381"/>
      <c r="I50" s="349"/>
      <c r="J50" s="349"/>
      <c r="K50" s="381"/>
    </row>
    <row r="51" spans="3:11" ht="17.25" customHeight="1">
      <c r="C51" s="349"/>
      <c r="D51" s="349"/>
      <c r="E51" s="381"/>
      <c r="I51" s="349"/>
      <c r="J51" s="349"/>
      <c r="K51" s="381"/>
    </row>
    <row r="52" spans="3:11" ht="17.25" customHeight="1">
      <c r="C52" s="349"/>
      <c r="D52" s="349"/>
      <c r="E52" s="381"/>
      <c r="I52" s="349"/>
      <c r="J52" s="349"/>
      <c r="K52" s="381"/>
    </row>
    <row r="53" spans="3:11" ht="17.25" customHeight="1">
      <c r="C53" s="349"/>
      <c r="E53" s="381"/>
      <c r="I53" s="349"/>
      <c r="K53" s="381"/>
    </row>
    <row r="54" spans="3:11" ht="17.25" customHeight="1">
      <c r="C54" s="349"/>
      <c r="E54" s="381"/>
      <c r="I54" s="349"/>
      <c r="K54" s="381"/>
    </row>
    <row r="55" spans="3:11" ht="17.25" customHeight="1">
      <c r="C55" s="349"/>
      <c r="E55" s="381"/>
      <c r="I55" s="349"/>
      <c r="K55" s="381"/>
    </row>
    <row r="56" spans="3:11" ht="17.25" customHeight="1">
      <c r="C56" s="349"/>
      <c r="E56" s="381"/>
      <c r="I56" s="349"/>
      <c r="K56" s="381"/>
    </row>
    <row r="57" spans="3:11" ht="17.25" customHeight="1">
      <c r="C57" s="349"/>
      <c r="E57" s="381"/>
      <c r="I57" s="349"/>
      <c r="K57" s="381"/>
    </row>
    <row r="58" spans="3:11" ht="17.25" customHeight="1">
      <c r="C58" s="349"/>
      <c r="E58" s="381"/>
      <c r="I58" s="349"/>
      <c r="K58" s="381"/>
    </row>
    <row r="59" spans="3:11" ht="17.25" customHeight="1">
      <c r="C59" s="349"/>
      <c r="E59" s="381"/>
      <c r="I59" s="349"/>
      <c r="K59" s="381"/>
    </row>
    <row r="60" spans="3:11" ht="17.25" customHeight="1">
      <c r="C60" s="349"/>
      <c r="E60" s="381"/>
      <c r="I60" s="349"/>
      <c r="K60" s="381"/>
    </row>
    <row r="61" spans="3:11" ht="17.25" customHeight="1">
      <c r="C61" s="349"/>
      <c r="E61" s="381"/>
      <c r="I61" s="349"/>
      <c r="K61" s="381"/>
    </row>
    <row r="62" spans="3:11" ht="17.25" customHeight="1">
      <c r="C62" s="349"/>
      <c r="E62" s="381"/>
      <c r="I62" s="349"/>
      <c r="K62" s="381"/>
    </row>
    <row r="63" spans="3:11" ht="17.25" customHeight="1">
      <c r="C63" s="349"/>
      <c r="E63" s="381"/>
      <c r="I63" s="349"/>
      <c r="K63" s="381"/>
    </row>
    <row r="64" spans="3:11" ht="17.25" customHeight="1">
      <c r="C64" s="349"/>
      <c r="E64" s="381"/>
      <c r="I64" s="349"/>
      <c r="K64" s="381"/>
    </row>
    <row r="65" spans="3:11" ht="17.25" customHeight="1">
      <c r="C65" s="349"/>
      <c r="E65" s="381"/>
      <c r="I65" s="349"/>
      <c r="K65" s="381"/>
    </row>
    <row r="66" spans="3:11" ht="17.25" customHeight="1">
      <c r="C66" s="349"/>
      <c r="E66" s="381"/>
      <c r="I66" s="349"/>
      <c r="K66" s="381"/>
    </row>
    <row r="67" spans="3:11" ht="17.25" customHeight="1">
      <c r="C67" s="349"/>
      <c r="E67" s="381"/>
      <c r="I67" s="349"/>
      <c r="K67" s="381"/>
    </row>
    <row r="68" spans="3:11" ht="17.25" customHeight="1">
      <c r="C68" s="349"/>
      <c r="E68" s="381"/>
      <c r="I68" s="349"/>
      <c r="K68" s="381"/>
    </row>
    <row r="69" spans="3:11" ht="17.25" customHeight="1">
      <c r="C69" s="349"/>
      <c r="E69" s="381"/>
      <c r="I69" s="349"/>
      <c r="K69" s="381"/>
    </row>
    <row r="70" spans="3:11" ht="17.25" customHeight="1">
      <c r="C70" s="349"/>
      <c r="E70" s="381"/>
      <c r="I70" s="349"/>
      <c r="K70" s="381"/>
    </row>
    <row r="71" spans="3:11" ht="17.25" customHeight="1">
      <c r="C71" s="349"/>
      <c r="E71" s="381"/>
      <c r="I71" s="349"/>
      <c r="K71" s="381"/>
    </row>
    <row r="72" spans="3:11" ht="17.25" customHeight="1">
      <c r="C72" s="349"/>
      <c r="E72" s="381"/>
      <c r="I72" s="349"/>
      <c r="K72" s="381"/>
    </row>
    <row r="73" spans="3:11" ht="17.25" customHeight="1">
      <c r="C73" s="349"/>
      <c r="E73" s="381"/>
      <c r="I73" s="349"/>
      <c r="K73" s="381"/>
    </row>
    <row r="74" spans="3:11" ht="17.25" customHeight="1">
      <c r="C74" s="349"/>
      <c r="E74" s="381"/>
      <c r="I74" s="349"/>
      <c r="K74" s="381"/>
    </row>
    <row r="75" spans="3:11" ht="17.25" customHeight="1">
      <c r="C75" s="349"/>
      <c r="E75" s="381"/>
      <c r="I75" s="349"/>
      <c r="K75" s="381"/>
    </row>
    <row r="76" spans="3:11" ht="17.25" customHeight="1">
      <c r="C76" s="349"/>
      <c r="E76" s="381"/>
      <c r="I76" s="349"/>
      <c r="K76" s="381"/>
    </row>
    <row r="77" spans="3:11" ht="17.25" customHeight="1">
      <c r="C77" s="349"/>
      <c r="E77" s="381"/>
      <c r="I77" s="349"/>
      <c r="K77" s="381"/>
    </row>
    <row r="78" spans="3:11" ht="17.25" customHeight="1">
      <c r="C78" s="349"/>
      <c r="E78" s="381"/>
      <c r="I78" s="349"/>
      <c r="K78" s="381"/>
    </row>
    <row r="79" spans="3:11" ht="17.25" customHeight="1">
      <c r="C79" s="349"/>
      <c r="E79" s="381"/>
      <c r="I79" s="349"/>
      <c r="K79" s="381"/>
    </row>
    <row r="80" spans="2:10" ht="17.25" customHeight="1">
      <c r="B80" s="349"/>
      <c r="D80" s="381"/>
      <c r="H80" s="349"/>
      <c r="J80" s="381"/>
    </row>
    <row r="81" spans="2:10" ht="17.25" customHeight="1">
      <c r="B81" s="349"/>
      <c r="D81" s="381"/>
      <c r="H81" s="349"/>
      <c r="J81" s="381"/>
    </row>
    <row r="82" spans="2:10" ht="17.25" customHeight="1">
      <c r="B82" s="349"/>
      <c r="D82" s="381"/>
      <c r="H82" s="349"/>
      <c r="J82" s="381"/>
    </row>
    <row r="83" spans="2:10" ht="17.25" customHeight="1">
      <c r="B83" s="349"/>
      <c r="D83" s="381"/>
      <c r="H83" s="349"/>
      <c r="J83" s="381"/>
    </row>
    <row r="84" spans="2:10" ht="17.25" customHeight="1">
      <c r="B84" s="349"/>
      <c r="D84" s="381"/>
      <c r="H84" s="349"/>
      <c r="J84" s="381"/>
    </row>
    <row r="85" spans="2:10" ht="17.25" customHeight="1">
      <c r="B85" s="349"/>
      <c r="D85" s="381"/>
      <c r="H85" s="349"/>
      <c r="J85" s="381"/>
    </row>
    <row r="86" spans="2:10" ht="17.25" customHeight="1">
      <c r="B86" s="349"/>
      <c r="D86" s="381"/>
      <c r="H86" s="349"/>
      <c r="J86" s="381"/>
    </row>
    <row r="87" spans="2:10" ht="17.25" customHeight="1">
      <c r="B87" s="349"/>
      <c r="D87" s="381"/>
      <c r="H87" s="349"/>
      <c r="J87" s="381"/>
    </row>
    <row r="88" spans="2:10" ht="17.25" customHeight="1">
      <c r="B88" s="349"/>
      <c r="D88" s="381"/>
      <c r="H88" s="349"/>
      <c r="J88" s="381"/>
    </row>
    <row r="89" spans="2:10" ht="17.25" customHeight="1">
      <c r="B89" s="349"/>
      <c r="D89" s="381"/>
      <c r="H89" s="349"/>
      <c r="J89" s="381"/>
    </row>
    <row r="90" spans="2:10" ht="17.25" customHeight="1">
      <c r="B90" s="349"/>
      <c r="D90" s="381"/>
      <c r="H90" s="349"/>
      <c r="J90" s="381"/>
    </row>
    <row r="91" spans="2:10" ht="17.25" customHeight="1">
      <c r="B91" s="349"/>
      <c r="D91" s="381"/>
      <c r="H91" s="349"/>
      <c r="J91" s="381"/>
    </row>
    <row r="92" spans="2:10" ht="17.25" customHeight="1">
      <c r="B92" s="349"/>
      <c r="D92" s="381"/>
      <c r="H92" s="349"/>
      <c r="J92" s="381"/>
    </row>
    <row r="93" spans="2:10" ht="17.25" customHeight="1">
      <c r="B93" s="349"/>
      <c r="D93" s="381"/>
      <c r="H93" s="349"/>
      <c r="J93" s="381"/>
    </row>
    <row r="94" spans="2:10" ht="17.25" customHeight="1">
      <c r="B94" s="349"/>
      <c r="D94" s="381"/>
      <c r="H94" s="349"/>
      <c r="J94" s="381"/>
    </row>
    <row r="95" spans="2:10" ht="17.25" customHeight="1">
      <c r="B95" s="349"/>
      <c r="D95" s="381"/>
      <c r="H95" s="349"/>
      <c r="J95" s="381"/>
    </row>
    <row r="96" spans="2:10" ht="17.25" customHeight="1">
      <c r="B96" s="349"/>
      <c r="D96" s="381"/>
      <c r="H96" s="349"/>
      <c r="J96" s="381"/>
    </row>
    <row r="97" spans="2:10" ht="17.25" customHeight="1">
      <c r="B97" s="349"/>
      <c r="D97" s="381"/>
      <c r="H97" s="349"/>
      <c r="J97" s="381"/>
    </row>
    <row r="98" spans="2:10" ht="17.25" customHeight="1">
      <c r="B98" s="349"/>
      <c r="D98" s="381"/>
      <c r="H98" s="349"/>
      <c r="J98" s="381"/>
    </row>
    <row r="99" spans="2:10" ht="17.25" customHeight="1">
      <c r="B99" s="349"/>
      <c r="D99" s="381"/>
      <c r="H99" s="349"/>
      <c r="J99" s="381"/>
    </row>
    <row r="100" spans="2:8" ht="17.25" customHeight="1">
      <c r="B100" s="349"/>
      <c r="H100" s="349"/>
    </row>
    <row r="101" spans="2:8" ht="17.25" customHeight="1">
      <c r="B101" s="349"/>
      <c r="H101" s="349"/>
    </row>
    <row r="102" spans="2:8" ht="17.25" customHeight="1">
      <c r="B102" s="349"/>
      <c r="H102" s="349"/>
    </row>
    <row r="103" spans="2:8" ht="17.25" customHeight="1">
      <c r="B103" s="349"/>
      <c r="H103" s="349"/>
    </row>
    <row r="104" spans="2:8" ht="17.25" customHeight="1">
      <c r="B104" s="349"/>
      <c r="H104" s="349"/>
    </row>
    <row r="105" spans="2:8" ht="17.25" customHeight="1">
      <c r="B105" s="349"/>
      <c r="H105" s="349"/>
    </row>
    <row r="106" spans="2:8" ht="17.25" customHeight="1">
      <c r="B106" s="349"/>
      <c r="H106" s="349"/>
    </row>
    <row r="107" spans="2:8" ht="17.25" customHeight="1">
      <c r="B107" s="349"/>
      <c r="H107" s="349"/>
    </row>
    <row r="108" spans="2:8" ht="17.25" customHeight="1">
      <c r="B108" s="349"/>
      <c r="H108" s="349"/>
    </row>
  </sheetData>
  <mergeCells count="4">
    <mergeCell ref="A4:F4"/>
    <mergeCell ref="G4:L4"/>
    <mergeCell ref="A5:F5"/>
    <mergeCell ref="G5:L5"/>
  </mergeCells>
  <printOptions horizontalCentered="1"/>
  <pageMargins left="0.9448818897637796" right="0.35433070866141736" top="0.984251968503937" bottom="0.984251968503937" header="0.5118110236220472" footer="0.5118110236220472"/>
  <pageSetup firstPageNumber="22" useFirstPageNumber="1" horizontalDpi="600" verticalDpi="600" orientation="portrait" paperSize="9" scale="84" r:id="rId1"/>
  <headerFooter alignWithMargins="0">
    <oddFooter>&amp;R&amp;9&amp;P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2001-08-15T08:36:38Z</cp:lastPrinted>
  <dcterms:created xsi:type="dcterms:W3CDTF">2001-06-15T10:50:04Z</dcterms:created>
  <dcterms:modified xsi:type="dcterms:W3CDTF">2002-09-26T10:19:59Z</dcterms:modified>
  <cp:category/>
  <cp:version/>
  <cp:contentType/>
  <cp:contentStatus/>
</cp:coreProperties>
</file>